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<sst xmlns="http://schemas.openxmlformats.org/spreadsheetml/2006/main" count="2410" uniqueCount="893">
  <si>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</si>
  <si>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</si>
  <si>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</si>
  <si>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</si>
  <si>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</si>
  <si>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</si>
  <si>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</si>
  <si>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</si>
  <si>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</si>
  <si>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</si>
  <si>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</si>
  <si>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</si>
  <si>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</si>
  <si>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</si>
  <si>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</si>
  <si>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</si>
  <si>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</si>
  <si>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</si>
  <si>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</si>
  <si>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</si>
  <si>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</si>
  <si>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</si>
  <si>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</si>
  <si>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</si>
  <si>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</si>
  <si>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</si>
  <si>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</si>
  <si>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</si>
  <si>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</si>
  <si>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</si>
  <si>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</si>
  <si>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</si>
  <si>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</si>
  <si>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</si>
  <si>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</si>
  <si>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</si>
  <si>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</si>
  <si>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</si>
  <si>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</si>
  <si>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</si>
  <si>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</si>
  <si>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</si>
  <si>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</si>
  <si>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</si>
  <si>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</si>
  <si>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</si>
  <si>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</si>
  <si>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</si>
  <si>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</si>
  <si>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</si>
  <si>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</si>
  <si>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</si>
  <si>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</si>
  <si>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</si>
  <si>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</si>
  <si>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</si>
  <si>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</si>
  <si>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</si>
  <si>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</si>
  <si>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</si>
  <si>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</si>
  <si>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</si>
  <si>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</si>
  <si>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</si>
  <si>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</si>
  <si>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</si>
  <si>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</si>
  <si>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</si>
  <si>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</si>
  <si>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</si>
  <si>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</si>
  <si>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</si>
  <si>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</si>
  <si>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</si>
  <si>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</si>
  <si>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</si>
  <si>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</si>
  <si>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</si>
  <si>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</si>
  <si>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</si>
  <si>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</si>
  <si>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</si>
  <si>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</si>
  <si>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</si>
  <si>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</si>
  <si>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</si>
  <si>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</si>
  <si>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</si>
  <si>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</si>
  <si>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</si>
  <si>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</si>
  <si>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</si>
  <si>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</si>
  <si>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</si>
  <si>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</si>
  <si>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</si>
  <si>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</si>
  <si>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</si>
  <si>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</si>
  <si>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</si>
  <si>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</si>
  <si>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</si>
  <si>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</si>
  <si>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</si>
  <si>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</si>
  <si>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</si>
  <si>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</si>
  <si>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</si>
  <si>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</si>
  <si>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</si>
  <si>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</si>
  <si>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</si>
  <si>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</si>
  <si>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</si>
  <si>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</si>
  <si>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</si>
  <si>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</si>
  <si>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</si>
  <si>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</si>
  <si>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</si>
  <si>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</si>
  <si>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</si>
  <si>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</si>
  <si>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</si>
  <si>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</si>
  <si>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</si>
  <si>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</si>
  <si>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</si>
  <si>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</si>
  <si>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</si>
  <si>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</si>
  <si>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</si>
  <si>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</si>
  <si>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</si>
  <si>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</si>
  <si>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</si>
  <si>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</si>
  <si>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</si>
  <si>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</si>
  <si>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</si>
  <si>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</si>
  <si>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</si>
  <si>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</si>
  <si>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</si>
  <si>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</si>
  <si>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</si>
  <si>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</si>
  <si>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</si>
  <si>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</si>
  <si>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</si>
  <si>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</si>
  <si>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</si>
  <si>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</si>
  <si>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</si>
  <si>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</si>
  <si>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</si>
  <si>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</si>
  <si>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</si>
  <si>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</si>
  <si>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</si>
  <si>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</si>
  <si>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</si>
  <si>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</si>
  <si>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</si>
  <si>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</si>
  <si>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</si>
  <si>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</si>
  <si>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</si>
  <si>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</si>
  <si>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</si>
  <si>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</si>
  <si>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</si>
  <si>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</si>
  <si>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</si>
  <si>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</si>
  <si>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</si>
  <si>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</si>
  <si>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</si>
  <si>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</si>
  <si>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</si>
  <si>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</si>
  <si>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</si>
  <si>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</si>
  <si>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</si>
  <si>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</si>
  <si>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</si>
  <si>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</si>
  <si>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</si>
  <si>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</si>
  <si>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</si>
  <si>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</si>
  <si>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</si>
  <si>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</si>
  <si>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</si>
  <si>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</si>
  <si>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</si>
  <si>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</si>
  <si>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</si>
  <si>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</si>
  <si>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</si>
  <si>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</si>
  <si>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</si>
  <si>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</si>
  <si>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</si>
  <si>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</si>
  <si>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</si>
  <si>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</si>
  <si>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</si>
  <si>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</si>
  <si>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</si>
  <si>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</si>
  <si>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</si>
  <si>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</si>
  <si>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</si>
  <si>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</si>
  <si>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</si>
  <si>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</si>
  <si>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</si>
  <si>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</si>
  <si>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</si>
  <si>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</si>
  <si>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</si>
  <si>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</si>
  <si>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</si>
  <si>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</si>
  <si>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</si>
  <si>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</si>
  <si>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</si>
  <si>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</si>
  <si>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</si>
  <si>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</si>
  <si>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</si>
  <si>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</si>
  <si>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</si>
  <si>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</si>
  <si>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</si>
  <si>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</si>
  <si>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</si>
  <si>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</si>
  <si>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</si>
  <si>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</si>
  <si>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</si>
  <si>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</si>
  <si>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</si>
  <si>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</si>
  <si>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</si>
  <si>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</si>
  <si>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</si>
  <si>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</si>
  <si>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</si>
  <si>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</si>
  <si>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</si>
  <si>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</si>
  <si>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</si>
  <si>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</si>
  <si>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</si>
  <si>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</si>
  <si>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</si>
  <si>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</si>
  <si>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</si>
  <si>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</si>
  <si>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</si>
  <si>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</si>
  <si>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</si>
  <si>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</si>
  <si>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</si>
  <si>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</si>
  <si>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</si>
  <si>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</si>
  <si>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</si>
  <si>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</si>
  <si>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</si>
  <si>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</si>
  <si>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</si>
  <si>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</si>
  <si>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</si>
  <si>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</si>
  <si>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</si>
  <si>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</si>
  <si>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</si>
  <si>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</si>
  <si>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</si>
  <si>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</si>
  <si>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</si>
  <si>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</si>
  <si>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</si>
  <si>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</si>
  <si>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</si>
  <si>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</si>
  <si>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</si>
  <si>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</si>
  <si>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</si>
  <si>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</si>
  <si>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</si>
  <si>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</si>
  <si>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</si>
  <si>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</si>
  <si>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</si>
  <si>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</si>
  <si>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</si>
  <si>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</si>
  <si>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</si>
  <si>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</si>
  <si>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</si>
  <si>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</si>
  <si>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</si>
  <si>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</si>
  <si>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</si>
  <si>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</si>
  <si>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</si>
  <si>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</si>
  <si>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</si>
  <si>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</si>
  <si>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</si>
  <si>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</si>
  <si>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</si>
  <si>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</si>
  <si>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</si>
  <si>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</si>
  <si>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</si>
  <si>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</si>
  <si>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</si>
  <si>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</si>
  <si>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</si>
  <si>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</si>
  <si>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</si>
  <si>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</si>
  <si>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</si>
  <si>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</si>
  <si>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</si>
  <si>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</si>
  <si>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</si>
  <si>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</si>
  <si>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</si>
  <si>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</si>
  <si>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</si>
  <si>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</si>
  <si>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</si>
  <si>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</si>
  <si>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</si>
  <si>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</si>
  <si>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</si>
  <si>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</si>
  <si>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</si>
  <si>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</si>
  <si>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</si>
  <si>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</si>
  <si>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</si>
  <si>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</si>
  <si>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</si>
  <si>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</si>
  <si>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</si>
  <si>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</si>
  <si>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</si>
  <si>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</si>
  <si>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</si>
  <si>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</si>
  <si>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</si>
  <si>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</si>
  <si>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</si>
  <si>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</si>
  <si>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</si>
  <si>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</si>
  <si>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</si>
  <si>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</si>
  <si>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</si>
  <si>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</si>
  <si>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</si>
  <si>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</si>
  <si>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</si>
  <si>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</si>
  <si>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</si>
  <si>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</si>
  <si>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</si>
  <si>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</si>
  <si>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</si>
  <si>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</si>
  <si>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</si>
  <si>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</si>
  <si>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</si>
  <si>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</si>
  <si>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</si>
  <si>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</si>
  <si>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</si>
  <si>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</si>
  <si>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</si>
  <si>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</si>
  <si>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</si>
  <si>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</si>
  <si>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</si>
  <si>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</si>
  <si>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</si>
  <si>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</si>
  <si>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</si>
  <si>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</si>
  <si>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</si>
  <si>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</si>
  <si>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</si>
  <si>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</si>
  <si>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</si>
  <si>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</si>
  <si>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</si>
  <si>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</si>
  <si>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</si>
  <si>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</si>
  <si>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</si>
  <si>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</si>
  <si>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</si>
  <si>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</si>
  <si>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</si>
  <si>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</si>
  <si>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</si>
  <si>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</si>
  <si>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</si>
  <si>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</si>
  <si>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</si>
  <si>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</si>
  <si>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</si>
  <si>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</si>
  <si>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</si>
  <si>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</si>
  <si>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</si>
  <si>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</si>
  <si>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</si>
  <si>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</si>
  <si>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</si>
  <si>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</si>
  <si>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</si>
  <si>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</si>
  <si>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</si>
  <si>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</si>
  <si>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</si>
  <si>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</si>
  <si>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</si>
  <si>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</si>
  <si>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</si>
  <si>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</si>
  <si>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</si>
  <si>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</si>
  <si>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</si>
  <si>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</si>
  <si>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</si>
  <si>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</si>
  <si>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</si>
  <si>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</si>
  <si>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</si>
  <si>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</si>
  <si>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</si>
  <si>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</si>
  <si>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</si>
  <si>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</si>
  <si>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</si>
  <si>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</si>
  <si>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</si>
  <si>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</si>
  <si>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</si>
  <si>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</si>
  <si>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</si>
  <si>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</si>
  <si>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</si>
  <si>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</si>
  <si>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</si>
  <si>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</si>
  <si>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</si>
  <si>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</si>
  <si>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</si>
  <si>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</si>
  <si>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</si>
  <si>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</si>
  <si>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</si>
  <si>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</si>
  <si>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</si>
  <si>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</si>
  <si>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</si>
  <si>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</si>
  <si>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</si>
  <si>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</si>
  <si>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</si>
  <si>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</si>
  <si>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</si>
  <si>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</si>
  <si>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</si>
  <si>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</si>
  <si>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</si>
  <si>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</si>
  <si>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</si>
  <si>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</si>
  <si>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</si>
  <si>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</si>
  <si>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</si>
  <si>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</si>
  <si>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</si>
  <si>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</si>
  <si>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</si>
  <si>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</si>
  <si>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</si>
  <si>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</si>
  <si>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</si>
  <si>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</si>
  <si>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</si>
  <si>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</si>
  <si>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</si>
  <si>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</si>
  <si>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</si>
  <si>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</si>
  <si>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</si>
  <si>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</si>
  <si>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</si>
  <si>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</si>
  <si>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</si>
  <si>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</si>
  <si>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</si>
  <si>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</si>
  <si>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</si>
  <si>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</si>
  <si>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</si>
  <si>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</si>
  <si>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</si>
  <si>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</si>
  <si>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</si>
  <si>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</si>
  <si>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</si>
  <si>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</si>
  <si>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</si>
  <si>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</si>
  <si>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</si>
  <si>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</si>
  <si>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</si>
  <si>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</si>
  <si>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</si>
  <si>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</si>
  <si>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</si>
  <si>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</si>
  <si>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</si>
  <si>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</si>
  <si>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</si>
  <si>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</si>
  <si>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</si>
  <si>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</si>
  <si>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</si>
  <si>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</si>
  <si>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</si>
  <si>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</si>
  <si>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</si>
  <si>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</si>
  <si>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</si>
  <si>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</si>
  <si>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</si>
  <si>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</si>
  <si>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</si>
  <si>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</si>
  <si>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</si>
  <si>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</si>
  <si>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</si>
  <si>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</si>
  <si>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</si>
  <si>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</si>
  <si>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</si>
  <si>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</si>
  <si>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</si>
  <si>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</si>
  <si>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</si>
  <si>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</si>
  <si>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</si>
  <si>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</si>
  <si>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</si>
  <si>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</si>
  <si>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</si>
  <si>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</si>
  <si>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</si>
  <si>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</si>
  <si>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</si>
  <si>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</si>
  <si>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</si>
  <si>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</si>
  <si>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</si>
  <si>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</si>
  <si>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</si>
  <si>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</si>
  <si>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</si>
  <si>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</si>
  <si>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</si>
  <si>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</si>
  <si>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</si>
  <si>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</si>
  <si>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</si>
  <si>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</si>
  <si>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</si>
  <si>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</si>
  <si>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</si>
  <si>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</si>
  <si>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</si>
  <si>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</si>
  <si>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</si>
  <si>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</si>
  <si>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</si>
  <si>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</si>
  <si>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</si>
  <si>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</si>
  <si>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</si>
  <si>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</si>
  <si>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</si>
  <si>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</si>
  <si>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</si>
  <si>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</si>
  <si>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</si>
  <si>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</si>
  <si>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</si>
  <si>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</si>
  <si>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</si>
  <si>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</si>
  <si>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</si>
  <si>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</si>
  <si>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</si>
  <si>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</si>
  <si>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</si>
  <si>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</si>
  <si>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</si>
  <si>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</si>
  <si>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</si>
  <si>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</si>
  <si>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</si>
  <si>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</si>
  <si>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</si>
  <si>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</si>
  <si>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</si>
  <si>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</si>
  <si>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</si>
  <si>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</si>
  <si>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</si>
  <si>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</si>
  <si>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</si>
  <si>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</si>
  <si>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</si>
  <si>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</si>
  <si>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</si>
  <si>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</si>
  <si>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</si>
  <si>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</si>
  <si>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</si>
  <si>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</si>
  <si>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</si>
  <si>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</si>
  <si>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</si>
  <si>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</si>
  <si>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</si>
  <si>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</si>
  <si>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</si>
  <si>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</si>
  <si>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</si>
  <si>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</si>
  <si>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</si>
  <si>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</si>
  <si>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</si>
  <si>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</si>
  <si>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</si>
  <si>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</si>
  <si>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</si>
  <si>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</si>
  <si>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</si>
  <si>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</si>
  <si>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</si>
  <si>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</si>
  <si>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</si>
  <si>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</si>
  <si>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</si>
  <si>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</si>
  <si>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</si>
  <si>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</si>
  <si>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</si>
  <si>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</si>
  <si>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</si>
  <si>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</si>
  <si>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</si>
  <si>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</si>
  <si>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</si>
  <si>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</si>
  <si>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</si>
  <si>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</si>
  <si>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</si>
  <si>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</si>
  <si>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</si>
  <si>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</si>
  <si>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</si>
  <si>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</si>
  <si>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</si>
  <si>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</si>
  <si>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</si>
  <si>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</si>
  <si>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</si>
  <si>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</si>
  <si>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</si>
  <si>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</si>
  <si>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</si>
  <si>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</si>
  <si>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</si>
  <si>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</si>
  <si>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</si>
  <si>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</si>
  <si>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</si>
  <si>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</si>
  <si>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</si>
  <si>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</si>
  <si>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</si>
  <si>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</si>
  <si>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</si>
  <si>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</si>
  <si>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</si>
  <si>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</si>
  <si>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</si>
  <si>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</si>
  <si>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</si>
  <si>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</si>
  <si>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</si>
  <si>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</si>
  <si>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</si>
  <si>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</si>
  <si>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</si>
  <si>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</si>
  <si>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</si>
  <si>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</si>
  <si>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</si>
  <si>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</si>
  <si>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</si>
  <si>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</si>
  <si>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</si>
  <si>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</si>
  <si>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</si>
  <si>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</si>
  <si>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</si>
  <si>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</si>
  <si>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</si>
  <si>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</si>
  <si>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</si>
  <si>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</si>
  <si>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</si>
  <si>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</si>
  <si>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</si>
  <si>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</si>
  <si>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</si>
  <si>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</si>
  <si>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</si>
  <si>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</si>
  <si>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</si>
  <si>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</si>
  <si>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</si>
  <si>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</si>
  <si>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</si>
  <si>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</si>
  <si>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</si>
  <si>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</si>
  <si>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</si>
  <si>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</si>
  <si>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</si>
  <si>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</si>
  <si>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</si>
  <si>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</si>
  <si>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</si>
  <si>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</si>
  <si>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</si>
  <si>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</si>
  <si>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</si>
  <si>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</si>
  <si>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</si>
  <si>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</si>
  <si>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</si>
  <si>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</si>
  <si>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</si>
  <si>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</si>
  <si>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</si>
  <si>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</si>
  <si>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</si>
  <si>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</si>
  <si>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</si>
  <si>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</si>
  <si>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</si>
  <si>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</si>
  <si>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</si>
  <si>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</si>
  <si>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</si>
  <si>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</si>
  <si>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</si>
  <si>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</si>
  <si>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</si>
  <si>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</si>
  <si>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</si>
  <si>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</si>
  <si>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</si>
  <si>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</si>
  <si>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</si>
  <si>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</si>
  <si>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</si>
  <si>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</si>
  <si>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</si>
  <si>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</si>
  <si>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</si>
  <si>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</si>
  <si>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</si>
  <si>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</si>
  <si>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</si>
  <si>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</si>
  <si>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</si>
  <si>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</si>
  <si>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</si>
  <si>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</si>
  <si>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</si>
  <si>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</si>
  <si>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</si>
  <si>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</si>
  <si>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</si>
  <si>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</si>
  <si>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</si>
  <si>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</si>
  <si>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</si>
  <si>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</si>
  <si>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</si>
  <si>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</si>
  <si>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</si>
  <si>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</si>
  <si>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</si>
  <si>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</si>
  <si>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</si>
  <si>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</si>
  <si>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</si>
  <si>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</si>
  <si>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</si>
  <si>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</si>
  <si>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</si>
  <si>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</si>
  <si>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</si>
  <si>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</si>
  <si>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</si>
  <si>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</si>
  <si>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</si>
  <si>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</si>
  <si>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</si>
  <si>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</si>
  <si>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</si>
  <si>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</si>
  <si>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</si>
  <si>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</si>
  <si>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</si>
  <si>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</si>
  <si>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</si>
  <si>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</si>
  <si>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</si>
  <si>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</si>
  <si>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</si>
  <si>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</si>
  <si>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</si>
  <si>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</si>
  <si>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</si>
  <si>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</si>
  <si>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</si>
  <si>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</si>
  <si>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</si>
  <si>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</si>
  <si>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</si>
  <si>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</si>
  <si>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</si>
  <si>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</si>
  <si>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</si>
  <si>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</si>
  <si>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</si>
  <si>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</si>
  <si>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</si>
  <si>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</si>
  <si>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</si>
  <si>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</si>
  <si>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</si>
  <si>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</si>
  <si>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</si>
  <si>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</si>
  <si>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12002</t>
  </si>
  <si>
    <t>BERLAAR</t>
  </si>
  <si>
    <t>Eandis (januari 2018); Infrax (juni 2018)</t>
  </si>
  <si>
    <t>MOW (september 2017)</t>
  </si>
  <si>
    <t>referentietaak LNE (2017); Jaarverslag De Lijn (2016)</t>
  </si>
  <si>
    <t>VEA (april 2018)</t>
  </si>
  <si>
    <t>VEA (januari 2017)</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</si>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</sst>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95070.493682883534</c:v>
                </c:pt>
                <c:pt idx="1">
                  <c:v>25813.108811126622</c:v>
                </c:pt>
                <c:pt idx="2">
                  <c:v>633.34199999999998</c:v>
                </c:pt>
                <c:pt idx="3">
                  <c:v>37915.669913428508</c:v>
                </c:pt>
                <c:pt idx="4">
                  <c:v>5754.4845284809353</c:v>
                </c:pt>
                <c:pt idx="5">
                  <c:v>41053.431910827829</c:v>
                </c:pt>
                <c:pt idx="6">
                  <c:v>493.21813040524239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95070.493682883534</c:v>
                </c:pt>
                <c:pt idx="1">
                  <c:v>25813.108811126622</c:v>
                </c:pt>
                <c:pt idx="2">
                  <c:v>633.34199999999998</c:v>
                </c:pt>
                <c:pt idx="3">
                  <c:v>37915.669913428508</c:v>
                </c:pt>
                <c:pt idx="4">
                  <c:v>5754.4845284809353</c:v>
                </c:pt>
                <c:pt idx="5">
                  <c:v>41053.431910827829</c:v>
                </c:pt>
                <c:pt idx="6">
                  <c:v>493.21813040524239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17586.993322403181</c:v>
                </c:pt>
                <c:pt idx="2">
                  <c:v>5148.562273754108</c:v>
                </c:pt>
                <c:pt idx="3">
                  <c:v>136.54643199353146</c:v>
                </c:pt>
                <c:pt idx="4">
                  <c:v>9124.4129554436749</c:v>
                </c:pt>
                <c:pt idx="5">
                  <c:v>1163.9205181949717</c:v>
                </c:pt>
                <c:pt idx="6">
                  <c:v>10269.712929914796</c:v>
                </c:pt>
                <c:pt idx="7">
                  <c:v>124.61183849988569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82304"/>
        <c:axId val="183341440"/>
      </c:barChart>
      <c:catAx>
        <c:axId val="183282304"/>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2823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17586.993322403181</c:v>
                </c:pt>
                <c:pt idx="2">
                  <c:v>5148.562273754108</c:v>
                </c:pt>
                <c:pt idx="3">
                  <c:v>136.54643199353146</c:v>
                </c:pt>
                <c:pt idx="4">
                  <c:v>9124.4129554436749</c:v>
                </c:pt>
                <c:pt idx="5">
                  <c:v>1163.9205181949717</c:v>
                </c:pt>
                <c:pt idx="6">
                  <c:v>10269.712929914796</c:v>
                </c:pt>
                <c:pt idx="7">
                  <c:v>124.61183849988569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12002</v>
      </c>
      <c r="B6" s="415"/>
      <c r="C6" s="416"/>
    </row>
    <row r="7" spans="1:7" s="413" customFormat="1" ht="15.75" customHeight="1">
      <c r="A7" s="417" t="str">
        <f>txtMunicipality</f>
        <v>BERLAAR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0.21559667919312386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0.21559667919312386</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4625</v>
      </c>
      <c r="C9" s="342">
        <v>4809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1315.84</v>
      </c>
    </row>
    <row r="15" spans="1:6">
      <c r="A15" s="348" t="s">
        <v>184</v>
      </c>
      <c r="B15" s="334">
        <v>13</v>
      </c>
    </row>
    <row r="16" spans="1:6">
      <c r="A16" s="348" t="s">
        <v>6</v>
      </c>
      <c r="B16" s="334">
        <v>626</v>
      </c>
    </row>
    <row r="17" spans="1:6">
      <c r="A17" s="348" t="s">
        <v>7</v>
      </c>
      <c r="B17" s="334">
        <v>71</v>
      </c>
    </row>
    <row r="18" spans="1:6">
      <c r="A18" s="348" t="s">
        <v>8</v>
      </c>
      <c r="B18" s="334">
        <v>441</v>
      </c>
    </row>
    <row r="19" spans="1:6">
      <c r="A19" s="348" t="s">
        <v>9</v>
      </c>
      <c r="B19" s="334">
        <v>382</v>
      </c>
    </row>
    <row r="20" spans="1:6">
      <c r="A20" s="348" t="s">
        <v>10</v>
      </c>
      <c r="B20" s="334">
        <v>231</v>
      </c>
    </row>
    <row r="21" spans="1:6">
      <c r="A21" s="348" t="s">
        <v>11</v>
      </c>
      <c r="B21" s="334">
        <v>579</v>
      </c>
    </row>
    <row r="22" spans="1:6">
      <c r="A22" s="348" t="s">
        <v>12</v>
      </c>
      <c r="B22" s="334">
        <v>2247</v>
      </c>
    </row>
    <row r="23" spans="1:6">
      <c r="A23" s="348" t="s">
        <v>13</v>
      </c>
      <c r="B23" s="334">
        <v>0</v>
      </c>
    </row>
    <row r="24" spans="1:6">
      <c r="A24" s="348" t="s">
        <v>14</v>
      </c>
      <c r="B24" s="334">
        <v>0</v>
      </c>
    </row>
    <row r="25" spans="1:6">
      <c r="A25" s="348" t="s">
        <v>15</v>
      </c>
      <c r="B25" s="334">
        <v>0</v>
      </c>
    </row>
    <row r="26" spans="1:6">
      <c r="A26" s="348" t="s">
        <v>16</v>
      </c>
      <c r="B26" s="334">
        <v>380</v>
      </c>
    </row>
    <row r="27" spans="1:6">
      <c r="A27" s="348" t="s">
        <v>17</v>
      </c>
      <c r="B27" s="334">
        <v>5</v>
      </c>
    </row>
    <row r="28" spans="1:6" s="356" customFormat="1">
      <c r="A28" s="355" t="s">
        <v>18</v>
      </c>
      <c r="B28" s="355">
        <v>0</v>
      </c>
    </row>
    <row r="29" spans="1:6">
      <c r="A29" s="355" t="s">
        <v>744</v>
      </c>
      <c r="B29" s="355">
        <v>148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2349.9360312164999</v>
      </c>
    </row>
    <row r="39" spans="1:6">
      <c r="A39" s="348" t="s">
        <v>30</v>
      </c>
      <c r="B39" s="348" t="s">
        <v>31</v>
      </c>
      <c r="C39" s="334">
        <v>3266</v>
      </c>
      <c r="D39" s="334">
        <v>57228715.187962502</v>
      </c>
      <c r="E39" s="334">
        <v>4578</v>
      </c>
      <c r="F39" s="334">
        <v>16154837.5669183</v>
      </c>
    </row>
    <row r="40" spans="1:6">
      <c r="A40" s="348" t="s">
        <v>30</v>
      </c>
      <c r="B40" s="348" t="s">
        <v>29</v>
      </c>
      <c r="C40" s="334">
        <v>0</v>
      </c>
      <c r="D40" s="334">
        <v>0</v>
      </c>
      <c r="E40" s="334">
        <v>0</v>
      </c>
      <c r="F40" s="334">
        <v>0</v>
      </c>
    </row>
    <row r="41" spans="1:6">
      <c r="A41" s="348" t="s">
        <v>32</v>
      </c>
      <c r="B41" s="348" t="s">
        <v>33</v>
      </c>
      <c r="C41" s="334">
        <v>45</v>
      </c>
      <c r="D41" s="334">
        <v>899417.439014373</v>
      </c>
      <c r="E41" s="334">
        <v>103</v>
      </c>
      <c r="F41" s="334">
        <v>1105819.05059409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60477.812456852997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831650.23322380194</v>
      </c>
      <c r="E48" s="334">
        <v>29</v>
      </c>
      <c r="F48" s="334">
        <v>451655.62032179401</v>
      </c>
    </row>
    <row r="49" spans="1:6">
      <c r="A49" s="348" t="s">
        <v>32</v>
      </c>
      <c r="B49" s="348" t="s">
        <v>40</v>
      </c>
      <c r="C49" s="334">
        <v>0</v>
      </c>
      <c r="D49" s="334">
        <v>0</v>
      </c>
      <c r="E49" s="334">
        <v>0</v>
      </c>
      <c r="F49" s="334">
        <v>0</v>
      </c>
    </row>
    <row r="50" spans="1:6">
      <c r="A50" s="348" t="s">
        <v>32</v>
      </c>
      <c r="B50" s="348" t="s">
        <v>41</v>
      </c>
      <c r="C50" s="334">
        <v>3</v>
      </c>
      <c r="D50" s="334">
        <v>512185.34512852901</v>
      </c>
      <c r="E50" s="334">
        <v>9</v>
      </c>
      <c r="F50" s="334">
        <v>274483.55028727697</v>
      </c>
    </row>
    <row r="51" spans="1:6">
      <c r="A51" s="348" t="s">
        <v>42</v>
      </c>
      <c r="B51" s="348" t="s">
        <v>43</v>
      </c>
      <c r="C51" s="334">
        <v>5</v>
      </c>
      <c r="D51" s="334">
        <v>68337273.684161499</v>
      </c>
      <c r="E51" s="334">
        <v>43</v>
      </c>
      <c r="F51" s="334">
        <v>959957.88247088005</v>
      </c>
    </row>
    <row r="52" spans="1:6">
      <c r="A52" s="348" t="s">
        <v>42</v>
      </c>
      <c r="B52" s="348" t="s">
        <v>29</v>
      </c>
      <c r="C52" s="334">
        <v>4</v>
      </c>
      <c r="D52" s="334">
        <v>80021.715774690194</v>
      </c>
      <c r="E52" s="334">
        <v>4</v>
      </c>
      <c r="F52" s="334">
        <v>15114.470660733999</v>
      </c>
    </row>
    <row r="53" spans="1:6">
      <c r="A53" s="348" t="s">
        <v>44</v>
      </c>
      <c r="B53" s="348" t="s">
        <v>45</v>
      </c>
      <c r="C53" s="334">
        <v>70</v>
      </c>
      <c r="D53" s="334">
        <v>1985997.6894136399</v>
      </c>
      <c r="E53" s="334">
        <v>219</v>
      </c>
      <c r="F53" s="334">
        <v>951390.70523218205</v>
      </c>
    </row>
    <row r="54" spans="1:6">
      <c r="A54" s="348" t="s">
        <v>46</v>
      </c>
      <c r="B54" s="348" t="s">
        <v>47</v>
      </c>
      <c r="C54" s="334">
        <v>0</v>
      </c>
      <c r="D54" s="334">
        <v>0</v>
      </c>
      <c r="E54" s="334">
        <v>1</v>
      </c>
      <c r="F54" s="334">
        <v>633342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611629.16395871702</v>
      </c>
      <c r="E57" s="334">
        <v>57</v>
      </c>
      <c r="F57" s="334">
        <v>1617994.88088712</v>
      </c>
    </row>
    <row r="58" spans="1:6">
      <c r="A58" s="348" t="s">
        <v>49</v>
      </c>
      <c r="B58" s="348" t="s">
        <v>51</v>
      </c>
      <c r="C58" s="334">
        <v>11</v>
      </c>
      <c r="D58" s="334">
        <v>2164810.17473015</v>
      </c>
      <c r="E58" s="334">
        <v>14</v>
      </c>
      <c r="F58" s="334">
        <v>290398.88185524498</v>
      </c>
    </row>
    <row r="59" spans="1:6">
      <c r="A59" s="348" t="s">
        <v>49</v>
      </c>
      <c r="B59" s="348" t="s">
        <v>52</v>
      </c>
      <c r="C59" s="334">
        <v>50</v>
      </c>
      <c r="D59" s="334">
        <v>1743843.1902955801</v>
      </c>
      <c r="E59" s="334">
        <v>96</v>
      </c>
      <c r="F59" s="334">
        <v>3161502.8628102602</v>
      </c>
    </row>
    <row r="60" spans="1:6">
      <c r="A60" s="348" t="s">
        <v>49</v>
      </c>
      <c r="B60" s="348" t="s">
        <v>53</v>
      </c>
      <c r="C60" s="334">
        <v>32</v>
      </c>
      <c r="D60" s="334">
        <v>1201809.57672492</v>
      </c>
      <c r="E60" s="334">
        <v>46</v>
      </c>
      <c r="F60" s="334">
        <v>816443.32568285498</v>
      </c>
    </row>
    <row r="61" spans="1:6">
      <c r="A61" s="348" t="s">
        <v>49</v>
      </c>
      <c r="B61" s="348" t="s">
        <v>54</v>
      </c>
      <c r="C61" s="334">
        <v>104</v>
      </c>
      <c r="D61" s="334">
        <v>3574941.55846661</v>
      </c>
      <c r="E61" s="334">
        <v>161</v>
      </c>
      <c r="F61" s="334">
        <v>1666838.5743406699</v>
      </c>
    </row>
    <row r="62" spans="1:6">
      <c r="A62" s="348" t="s">
        <v>49</v>
      </c>
      <c r="B62" s="348" t="s">
        <v>55</v>
      </c>
      <c r="C62" s="334">
        <v>5</v>
      </c>
      <c r="D62" s="334">
        <v>283143.409094384</v>
      </c>
      <c r="E62" s="334">
        <v>0</v>
      </c>
      <c r="F62" s="334">
        <v>0</v>
      </c>
    </row>
    <row r="63" spans="1:6">
      <c r="A63" s="348" t="s">
        <v>49</v>
      </c>
      <c r="B63" s="348" t="s">
        <v>29</v>
      </c>
      <c r="C63" s="334">
        <v>72</v>
      </c>
      <c r="D63" s="334">
        <v>3534673.9001959902</v>
      </c>
      <c r="E63" s="334">
        <v>96</v>
      </c>
      <c r="F63" s="334">
        <v>2720405.1476618</v>
      </c>
    </row>
    <row r="64" spans="1:6">
      <c r="A64" s="348" t="s">
        <v>56</v>
      </c>
      <c r="B64" s="348" t="s">
        <v>57</v>
      </c>
      <c r="C64" s="334">
        <v>0</v>
      </c>
      <c r="D64" s="334">
        <v>0</v>
      </c>
      <c r="E64" s="334">
        <v>0</v>
      </c>
      <c r="F64" s="334">
        <v>0</v>
      </c>
    </row>
    <row r="65" spans="1:6">
      <c r="A65" s="348" t="s">
        <v>56</v>
      </c>
      <c r="B65" s="348" t="s">
        <v>29</v>
      </c>
      <c r="C65" s="334">
        <v>2</v>
      </c>
      <c r="D65" s="334">
        <v>32060.925627320201</v>
      </c>
      <c r="E65" s="334">
        <v>3</v>
      </c>
      <c r="F65" s="334">
        <v>61541.759009672001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42990.742328095599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44949227</v>
      </c>
      <c r="E73" s="475">
        <v>39271175.270700134</v>
      </c>
    </row>
    <row r="74" spans="1:6">
      <c r="A74" s="348" t="s">
        <v>64</v>
      </c>
      <c r="B74" s="348" t="s">
        <v>657</v>
      </c>
      <c r="C74" s="1295" t="s">
        <v>659</v>
      </c>
      <c r="D74" s="475">
        <v>3254231.5</v>
      </c>
      <c r="E74" s="475">
        <v>3589761.4591423152</v>
      </c>
    </row>
    <row r="75" spans="1:6">
      <c r="A75" s="348" t="s">
        <v>65</v>
      </c>
      <c r="B75" s="348" t="s">
        <v>656</v>
      </c>
      <c r="C75" s="1295" t="s">
        <v>660</v>
      </c>
      <c r="D75" s="475">
        <v>6275202</v>
      </c>
      <c r="E75" s="475">
        <v>5533174.9406044483</v>
      </c>
    </row>
    <row r="76" spans="1:6">
      <c r="A76" s="348" t="s">
        <v>65</v>
      </c>
      <c r="B76" s="348" t="s">
        <v>657</v>
      </c>
      <c r="C76" s="1295" t="s">
        <v>661</v>
      </c>
      <c r="D76" s="475">
        <v>31390.5</v>
      </c>
      <c r="E76" s="475">
        <v>42375.521010337092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133769</v>
      </c>
      <c r="C83" s="475">
        <v>134357.47544764268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2066.8763214079672</v>
      </c>
    </row>
    <row r="92" spans="1:6">
      <c r="A92" s="341" t="s">
        <v>69</v>
      </c>
      <c r="B92" s="342">
        <v>463.82986379922772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2012</v>
      </c>
    </row>
    <row r="98" spans="1:6">
      <c r="A98" s="348" t="s">
        <v>72</v>
      </c>
      <c r="B98" s="334">
        <v>4</v>
      </c>
    </row>
    <row r="99" spans="1:6">
      <c r="A99" s="348" t="s">
        <v>73</v>
      </c>
      <c r="B99" s="334">
        <v>39</v>
      </c>
    </row>
    <row r="100" spans="1:6">
      <c r="A100" s="348" t="s">
        <v>74</v>
      </c>
      <c r="B100" s="334">
        <v>182</v>
      </c>
    </row>
    <row r="101" spans="1:6">
      <c r="A101" s="348" t="s">
        <v>75</v>
      </c>
      <c r="B101" s="334">
        <v>46</v>
      </c>
    </row>
    <row r="102" spans="1:6">
      <c r="A102" s="348" t="s">
        <v>76</v>
      </c>
      <c r="B102" s="334">
        <v>34</v>
      </c>
    </row>
    <row r="103" spans="1:6">
      <c r="A103" s="348" t="s">
        <v>77</v>
      </c>
      <c r="B103" s="334">
        <v>111</v>
      </c>
    </row>
    <row r="104" spans="1:6">
      <c r="A104" s="348" t="s">
        <v>78</v>
      </c>
      <c r="B104" s="334">
        <v>1499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31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32967.690513687274</v>
      </c>
      <c r="C3" s="43" t="s">
        <v>170</v>
      </c>
      <c r="D3" s="43"/>
      <c r="E3" s="154"/>
      <c r="F3" s="43"/>
      <c r="G3" s="43"/>
      <c r="H3" s="43"/>
      <c r="I3" s="43"/>
      <c r="J3" s="43"/>
      <c r="K3" s="96"/>
    </row>
    <row r="4" spans="1:11">
      <c r="A4" s="383" t="s">
        <v>171</v>
      </c>
      <c r="B4" s="49">
        <f>IF(ISERROR('SEAP template'!B78+'SEAP template'!C78),0,'SEAP template'!B78+'SEAP template'!C78)</f>
        <v>25426.706185207193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5441.1670588235302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0.21559667919312386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7773.0957983193293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32708.571428571431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633.34199999999998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633.34199999999998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0.21559667919312386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136.54643199353146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16154.837566918301</v>
      </c>
      <c r="C5" s="17">
        <f>IF(ISERROR('Eigen informatie GS &amp; warmtenet'!B57),0,'Eigen informatie GS &amp; warmtenet'!B57)</f>
        <v>0</v>
      </c>
      <c r="D5" s="30">
        <f>(SUM(HH_hh_gas_kWh,HH_rest_gas_kWh)/1000)*0.902</f>
        <v>51620.301099542179</v>
      </c>
      <c r="E5" s="17">
        <f>B46*B57</f>
        <v>2955.4307948846395</v>
      </c>
      <c r="F5" s="17">
        <f>B51*B62</f>
        <v>9589.0213720092779</v>
      </c>
      <c r="G5" s="18"/>
      <c r="H5" s="17"/>
      <c r="I5" s="17"/>
      <c r="J5" s="17">
        <f>B50*B61+C50*C61</f>
        <v>0</v>
      </c>
      <c r="K5" s="17"/>
      <c r="L5" s="17"/>
      <c r="M5" s="17"/>
      <c r="N5" s="17">
        <f>B48*B59+C48*C59</f>
        <v>11879.733194787836</v>
      </c>
      <c r="O5" s="17">
        <f>B69*B70*B71</f>
        <v>175.09333333333336</v>
      </c>
      <c r="P5" s="17">
        <f>B77*B78*B79/1000-B77*B78*B79/1000/B80</f>
        <v>629.20000000000005</v>
      </c>
    </row>
    <row r="6" spans="1:16">
      <c r="A6" s="16" t="s">
        <v>621</v>
      </c>
      <c r="B6" s="788">
        <f>kWh_PV_kleiner_dan_10kW</f>
        <v>2066.8763214079672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18221.713888326267</v>
      </c>
      <c r="C8" s="21">
        <f>C5</f>
        <v>0</v>
      </c>
      <c r="D8" s="21">
        <f>D5</f>
        <v>51620.301099542179</v>
      </c>
      <c r="E8" s="21">
        <f>E5</f>
        <v>2955.4307948846395</v>
      </c>
      <c r="F8" s="21">
        <f>F5</f>
        <v>9589.0213720092779</v>
      </c>
      <c r="G8" s="21"/>
      <c r="H8" s="21"/>
      <c r="I8" s="21"/>
      <c r="J8" s="21">
        <f>J5</f>
        <v>0</v>
      </c>
      <c r="K8" s="21"/>
      <c r="L8" s="21">
        <f>L5</f>
        <v>0</v>
      </c>
      <c r="M8" s="21">
        <f>M5</f>
        <v>0</v>
      </c>
      <c r="N8" s="21">
        <f>N5</f>
        <v>11879.733194787836</v>
      </c>
      <c r="O8" s="21">
        <f>O5</f>
        <v>175.09333333333336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0.21559667919312386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3928.541003530368</v>
      </c>
      <c r="C12" s="23">
        <f ca="1">C10*C8</f>
        <v>0</v>
      </c>
      <c r="D12" s="23">
        <f>D8*D10</f>
        <v>10427.300822107522</v>
      </c>
      <c r="E12" s="23">
        <f>E10*E8</f>
        <v>670.88279043881323</v>
      </c>
      <c r="F12" s="23">
        <f>F10*F8</f>
        <v>2560.2687063264775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2012</v>
      </c>
      <c r="C18" s="166" t="s">
        <v>111</v>
      </c>
      <c r="D18" s="228"/>
      <c r="E18" s="15"/>
    </row>
    <row r="19" spans="1:7">
      <c r="A19" s="171" t="s">
        <v>72</v>
      </c>
      <c r="B19" s="37">
        <f>aantalw2001_ander</f>
        <v>4</v>
      </c>
      <c r="C19" s="166" t="s">
        <v>111</v>
      </c>
      <c r="D19" s="229"/>
      <c r="E19" s="15"/>
    </row>
    <row r="20" spans="1:7">
      <c r="A20" s="171" t="s">
        <v>73</v>
      </c>
      <c r="B20" s="37">
        <f>aantalw2001_propaan</f>
        <v>39</v>
      </c>
      <c r="C20" s="167">
        <f>IF(ISERROR(B20/SUM($B$20,$B$21,$B$22)*100),0,B20/SUM($B$20,$B$21,$B$22)*100)</f>
        <v>14.606741573033707</v>
      </c>
      <c r="D20" s="229"/>
      <c r="E20" s="15"/>
    </row>
    <row r="21" spans="1:7">
      <c r="A21" s="171" t="s">
        <v>74</v>
      </c>
      <c r="B21" s="37">
        <f>aantalw2001_elektriciteit</f>
        <v>182</v>
      </c>
      <c r="C21" s="167">
        <f>IF(ISERROR(B21/SUM($B$20,$B$21,$B$22)*100),0,B21/SUM($B$20,$B$21,$B$22)*100)</f>
        <v>68.164794007490642</v>
      </c>
      <c r="D21" s="229"/>
      <c r="E21" s="15"/>
    </row>
    <row r="22" spans="1:7">
      <c r="A22" s="171" t="s">
        <v>75</v>
      </c>
      <c r="B22" s="37">
        <f>aantalw2001_hout</f>
        <v>46</v>
      </c>
      <c r="C22" s="167">
        <f>IF(ISERROR(B22/SUM($B$20,$B$21,$B$22)*100),0,B22/SUM($B$20,$B$21,$B$22)*100)</f>
        <v>17.228464419475657</v>
      </c>
      <c r="D22" s="229"/>
      <c r="E22" s="15"/>
    </row>
    <row r="23" spans="1:7">
      <c r="A23" s="171" t="s">
        <v>76</v>
      </c>
      <c r="B23" s="37">
        <f>aantalw2001_niet_gespec</f>
        <v>34</v>
      </c>
      <c r="C23" s="166" t="s">
        <v>111</v>
      </c>
      <c r="D23" s="228"/>
      <c r="E23" s="15"/>
    </row>
    <row r="24" spans="1:7">
      <c r="A24" s="171" t="s">
        <v>77</v>
      </c>
      <c r="B24" s="37">
        <f>aantalw2001_steenkool</f>
        <v>111</v>
      </c>
      <c r="C24" s="166" t="s">
        <v>111</v>
      </c>
      <c r="D24" s="229"/>
      <c r="E24" s="15"/>
    </row>
    <row r="25" spans="1:7">
      <c r="A25" s="171" t="s">
        <v>78</v>
      </c>
      <c r="B25" s="37">
        <f>aantalw2001_stookolie</f>
        <v>1499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4625</v>
      </c>
      <c r="C28" s="36"/>
      <c r="D28" s="228"/>
    </row>
    <row r="29" spans="1:7" s="15" customFormat="1">
      <c r="A29" s="230" t="s">
        <v>794</v>
      </c>
      <c r="B29" s="37">
        <f>SUM(HH_hh_gas_aantal,HH_rest_gas_aantal)</f>
        <v>3266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3266</v>
      </c>
      <c r="C32" s="167">
        <f>IF(ISERROR(B32/SUM($B$32,$B$34,$B$35,$B$36,$B$38,$B$39)*100),0,B32/SUM($B$32,$B$34,$B$35,$B$36,$B$38,$B$39)*100)</f>
        <v>71.123693379790936</v>
      </c>
      <c r="D32" s="233"/>
      <c r="G32" s="15"/>
    </row>
    <row r="33" spans="1:7">
      <c r="A33" s="171" t="s">
        <v>72</v>
      </c>
      <c r="B33" s="34" t="s">
        <v>111</v>
      </c>
      <c r="C33" s="167"/>
      <c r="D33" s="233"/>
      <c r="G33" s="15"/>
    </row>
    <row r="34" spans="1:7">
      <c r="A34" s="171" t="s">
        <v>73</v>
      </c>
      <c r="B34" s="33">
        <f>IF((($B$28-$B$32-$B$39-$B$77-$B$38)*C20/100)&lt;0,0,($B$28-$B$32-$B$39-$B$77-$B$38)*C20/100)</f>
        <v>139.58202247191014</v>
      </c>
      <c r="C34" s="167">
        <f>IF(ISERROR(B34/SUM($B$32,$B$34,$B$35,$B$36,$B$38,$B$39)*100),0,B34/SUM($B$32,$B$34,$B$35,$B$36,$B$38,$B$39)*100)</f>
        <v>3.0396781897192975</v>
      </c>
      <c r="D34" s="233"/>
      <c r="G34" s="15"/>
    </row>
    <row r="35" spans="1:7">
      <c r="A35" s="171" t="s">
        <v>74</v>
      </c>
      <c r="B35" s="33">
        <f>IF((($B$28-$B$32-$B$39-$B$77-$B$38)*C21/100)&lt;0,0,($B$28-$B$32-$B$39-$B$77-$B$38)*C21/100)</f>
        <v>651.38277153558067</v>
      </c>
      <c r="C35" s="167">
        <f>IF(ISERROR(B35/SUM($B$32,$B$34,$B$35,$B$36,$B$38,$B$39)*100),0,B35/SUM($B$32,$B$34,$B$35,$B$36,$B$38,$B$39)*100)</f>
        <v>14.185164885356722</v>
      </c>
      <c r="D35" s="233"/>
      <c r="G35" s="15"/>
    </row>
    <row r="36" spans="1:7">
      <c r="A36" s="171" t="s">
        <v>75</v>
      </c>
      <c r="B36" s="33">
        <f>IF((($B$28-$B$32-$B$39-$B$77-$B$38)*C22/100)&lt;0,0,($B$28-$B$32-$B$39-$B$77-$B$38)*C22/100)</f>
        <v>164.63520599250941</v>
      </c>
      <c r="C36" s="167">
        <f>IF(ISERROR(B36/SUM($B$32,$B$34,$B$35,$B$36,$B$38,$B$39)*100),0,B36/SUM($B$32,$B$34,$B$35,$B$36,$B$38,$B$39)*100)</f>
        <v>3.58526145454071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370.39999999999986</v>
      </c>
      <c r="C39" s="167">
        <f>IF(ISERROR(B39/SUM($B$32,$B$34,$B$35,$B$36,$B$38,$B$39)*100),0,B39/SUM($B$32,$B$34,$B$35,$B$36,$B$38,$B$39)*100)</f>
        <v>8.0662020905923306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3266</v>
      </c>
      <c r="C44" s="34" t="s">
        <v>111</v>
      </c>
      <c r="D44" s="174"/>
    </row>
    <row r="45" spans="1:7">
      <c r="A45" s="171" t="s">
        <v>72</v>
      </c>
      <c r="B45" s="33" t="str">
        <f t="shared" si="0"/>
        <v>-</v>
      </c>
      <c r="C45" s="34" t="s">
        <v>111</v>
      </c>
      <c r="D45" s="174"/>
    </row>
    <row r="46" spans="1:7">
      <c r="A46" s="171" t="s">
        <v>73</v>
      </c>
      <c r="B46" s="33">
        <f t="shared" si="0"/>
        <v>139.58202247191014</v>
      </c>
      <c r="C46" s="34" t="s">
        <v>111</v>
      </c>
      <c r="D46" s="174"/>
    </row>
    <row r="47" spans="1:7">
      <c r="A47" s="171" t="s">
        <v>74</v>
      </c>
      <c r="B47" s="33">
        <f t="shared" si="0"/>
        <v>651.38277153558067</v>
      </c>
      <c r="C47" s="34" t="s">
        <v>111</v>
      </c>
      <c r="D47" s="174"/>
    </row>
    <row r="48" spans="1:7">
      <c r="A48" s="171" t="s">
        <v>75</v>
      </c>
      <c r="B48" s="33">
        <f t="shared" si="0"/>
        <v>164.63520599250941</v>
      </c>
      <c r="C48" s="33">
        <f>B48*10</f>
        <v>1646.3520599250942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370.39999999999986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10273.58367323795</v>
      </c>
      <c r="C5" s="17">
        <f>IF(ISERROR('Eigen informatie GS &amp; warmtenet'!B58),0,'Eigen informatie GS &amp; warmtenet'!B58)</f>
        <v>0</v>
      </c>
      <c r="D5" s="30">
        <f>SUM(D6:D12)</f>
        <v>11829.59557806665</v>
      </c>
      <c r="E5" s="17">
        <f>SUM(E6:E12)</f>
        <v>162.09781565741415</v>
      </c>
      <c r="F5" s="17">
        <f>SUM(F6:F12)</f>
        <v>1899.7096437697121</v>
      </c>
      <c r="G5" s="18"/>
      <c r="H5" s="17"/>
      <c r="I5" s="17"/>
      <c r="J5" s="17">
        <f>SUM(J6:J12)</f>
        <v>4.1707856217868301E-2</v>
      </c>
      <c r="K5" s="17"/>
      <c r="L5" s="17"/>
      <c r="M5" s="17"/>
      <c r="N5" s="17">
        <f>SUM(N6:N12)</f>
        <v>1648.0803925386801</v>
      </c>
      <c r="O5" s="17">
        <f>B38*B39*B40</f>
        <v>0</v>
      </c>
      <c r="P5" s="17">
        <f>B46*B47*B48/1000-B46*B47*B48/1000/B49</f>
        <v>0</v>
      </c>
      <c r="R5" s="32"/>
    </row>
    <row r="6" spans="1:18">
      <c r="A6" s="32" t="s">
        <v>54</v>
      </c>
      <c r="B6" s="37">
        <f>B26</f>
        <v>1666.83857434067</v>
      </c>
      <c r="C6" s="33"/>
      <c r="D6" s="37">
        <f>IF(ISERROR(TER_kantoor_gas_kWh/1000),0,TER_kantoor_gas_kWh/1000)*0.902</f>
        <v>3224.597285736882</v>
      </c>
      <c r="E6" s="33">
        <f>$C$26*'E Balans VL '!I12/100/3.6*1000000</f>
        <v>1.0447189802142666E-2</v>
      </c>
      <c r="F6" s="33">
        <f>$C$26*('E Balans VL '!L12+'E Balans VL '!N12)/100/3.6*1000000</f>
        <v>250.47926181151561</v>
      </c>
      <c r="G6" s="34"/>
      <c r="H6" s="33"/>
      <c r="I6" s="33"/>
      <c r="J6" s="33">
        <f>$C$26*('E Balans VL '!D12+'E Balans VL '!E12)/100/3.6*1000000</f>
        <v>0</v>
      </c>
      <c r="K6" s="33"/>
      <c r="L6" s="33"/>
      <c r="M6" s="33"/>
      <c r="N6" s="33">
        <f>$C$26*'E Balans VL '!Y12/100/3.6*1000000</f>
        <v>1.5940839604164769</v>
      </c>
      <c r="O6" s="33"/>
      <c r="P6" s="33"/>
      <c r="R6" s="32"/>
    </row>
    <row r="7" spans="1:18">
      <c r="A7" s="32" t="s">
        <v>53</v>
      </c>
      <c r="B7" s="37">
        <f t="shared" ref="B7:B12" si="0">B27</f>
        <v>816.44332568285495</v>
      </c>
      <c r="C7" s="33"/>
      <c r="D7" s="37">
        <f>IF(ISERROR(TER_horeca_gas_kWh/1000),0,TER_horeca_gas_kWh/1000)*0.902</f>
        <v>1084.0322382058778</v>
      </c>
      <c r="E7" s="33">
        <f>$C$27*'E Balans VL '!I9/100/3.6*1000000</f>
        <v>11.691332430281326</v>
      </c>
      <c r="F7" s="33">
        <f>$C$27*('E Balans VL '!L9+'E Balans VL '!N9)/100/3.6*1000000</f>
        <v>103.38865236972944</v>
      </c>
      <c r="G7" s="34"/>
      <c r="H7" s="33"/>
      <c r="I7" s="33"/>
      <c r="J7" s="33">
        <f>$C$27*('E Balans VL '!D9+'E Balans VL '!E9)/100/3.6*1000000</f>
        <v>0</v>
      </c>
      <c r="K7" s="33"/>
      <c r="L7" s="33"/>
      <c r="M7" s="33"/>
      <c r="N7" s="33">
        <f>$C$27*'E Balans VL '!Y9/100/3.6*1000000</f>
        <v>0.23470945510369193</v>
      </c>
      <c r="O7" s="33"/>
      <c r="P7" s="33"/>
      <c r="R7" s="32"/>
    </row>
    <row r="8" spans="1:18">
      <c r="A8" s="6" t="s">
        <v>52</v>
      </c>
      <c r="B8" s="37">
        <f t="shared" si="0"/>
        <v>3161.50286281026</v>
      </c>
      <c r="C8" s="33"/>
      <c r="D8" s="37">
        <f>IF(ISERROR(TER_handel_gas_kWh/1000),0,TER_handel_gas_kWh/1000)*0.902</f>
        <v>1572.9465576466134</v>
      </c>
      <c r="E8" s="33">
        <f>$C$28*'E Balans VL '!I13/100/3.6*1000000</f>
        <v>114.66731897506139</v>
      </c>
      <c r="F8" s="33">
        <f>$C$28*('E Balans VL '!L13+'E Balans VL '!N13)/100/3.6*1000000</f>
        <v>608.93746362901754</v>
      </c>
      <c r="G8" s="34"/>
      <c r="H8" s="33"/>
      <c r="I8" s="33"/>
      <c r="J8" s="33">
        <f>$C$28*('E Balans VL '!D13+'E Balans VL '!E13)/100/3.6*1000000</f>
        <v>0</v>
      </c>
      <c r="K8" s="33"/>
      <c r="L8" s="33"/>
      <c r="M8" s="33"/>
      <c r="N8" s="33">
        <f>$C$28*'E Balans VL '!Y13/100/3.6*1000000</f>
        <v>4.3794088943585656</v>
      </c>
      <c r="O8" s="33"/>
      <c r="P8" s="33"/>
      <c r="R8" s="32"/>
    </row>
    <row r="9" spans="1:18">
      <c r="A9" s="32" t="s">
        <v>51</v>
      </c>
      <c r="B9" s="37">
        <f t="shared" si="0"/>
        <v>290.39888185524501</v>
      </c>
      <c r="C9" s="33"/>
      <c r="D9" s="37">
        <f>IF(ISERROR(TER_gezond_gas_kWh/1000),0,TER_gezond_gas_kWh/1000)*0.902</f>
        <v>1952.6587776065951</v>
      </c>
      <c r="E9" s="33">
        <f>$C$29*'E Balans VL '!I10/100/3.6*1000000</f>
        <v>1.8181837175112271E-2</v>
      </c>
      <c r="F9" s="33">
        <f>$C$29*('E Balans VL '!L10+'E Balans VL '!N10)/100/3.6*1000000</f>
        <v>43.139638079987009</v>
      </c>
      <c r="G9" s="34"/>
      <c r="H9" s="33"/>
      <c r="I9" s="33"/>
      <c r="J9" s="33">
        <f>$C$29*('E Balans VL '!D10+'E Balans VL '!E10)/100/3.6*1000000</f>
        <v>0</v>
      </c>
      <c r="K9" s="33"/>
      <c r="L9" s="33"/>
      <c r="M9" s="33"/>
      <c r="N9" s="33">
        <f>$C$29*'E Balans VL '!Y10/100/3.6*1000000</f>
        <v>4.4919179256337811</v>
      </c>
      <c r="O9" s="33"/>
      <c r="P9" s="33"/>
      <c r="R9" s="32"/>
    </row>
    <row r="10" spans="1:18">
      <c r="A10" s="32" t="s">
        <v>50</v>
      </c>
      <c r="B10" s="37">
        <f t="shared" si="0"/>
        <v>1617.99488088712</v>
      </c>
      <c r="C10" s="33"/>
      <c r="D10" s="37">
        <f>IF(ISERROR(TER_ander_gas_kWh/1000),0,TER_ander_gas_kWh/1000)*0.902</f>
        <v>551.6895058907628</v>
      </c>
      <c r="E10" s="33">
        <f>$C$30*'E Balans VL '!I14/100/3.6*1000000</f>
        <v>1.9285920806498227</v>
      </c>
      <c r="F10" s="33">
        <f>$C$30*('E Balans VL '!L14+'E Balans VL '!N14)/100/3.6*1000000</f>
        <v>423.33939124283495</v>
      </c>
      <c r="G10" s="34"/>
      <c r="H10" s="33"/>
      <c r="I10" s="33"/>
      <c r="J10" s="33">
        <f>$C$30*('E Balans VL '!D14+'E Balans VL '!E14)/100/3.6*1000000</f>
        <v>3.5120326499251411E-2</v>
      </c>
      <c r="K10" s="33"/>
      <c r="L10" s="33"/>
      <c r="M10" s="33"/>
      <c r="N10" s="33">
        <f>$C$30*'E Balans VL '!Y14/100/3.6*1000000</f>
        <v>1373.9616610719008</v>
      </c>
      <c r="O10" s="33"/>
      <c r="P10" s="33"/>
      <c r="R10" s="32"/>
    </row>
    <row r="11" spans="1:18">
      <c r="A11" s="32" t="s">
        <v>55</v>
      </c>
      <c r="B11" s="37">
        <f t="shared" si="0"/>
        <v>0</v>
      </c>
      <c r="C11" s="33"/>
      <c r="D11" s="37">
        <f>IF(ISERROR(TER_onderwijs_gas_kWh/1000),0,TER_onderwijs_gas_kWh/1000)*0.902</f>
        <v>255.3953550031344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2720.4051476618001</v>
      </c>
      <c r="C12" s="33"/>
      <c r="D12" s="37">
        <f>IF(ISERROR(TER_rest_gas_kWh/1000),0,TER_rest_gas_kWh/1000)*0.902</f>
        <v>3188.2758579767833</v>
      </c>
      <c r="E12" s="33">
        <f>$C$32*'E Balans VL '!I8/100/3.6*1000000</f>
        <v>33.781943144444334</v>
      </c>
      <c r="F12" s="33">
        <f>$C$32*('E Balans VL '!L8+'E Balans VL '!N8)/100/3.6*1000000</f>
        <v>470.4252366366274</v>
      </c>
      <c r="G12" s="34"/>
      <c r="H12" s="33"/>
      <c r="I12" s="33"/>
      <c r="J12" s="33">
        <f>$C$32*('E Balans VL '!D8+'E Balans VL '!E8)/100/3.6*1000000</f>
        <v>6.587529718616889E-3</v>
      </c>
      <c r="K12" s="33"/>
      <c r="L12" s="33"/>
      <c r="M12" s="33"/>
      <c r="N12" s="33">
        <f>$C$32*'E Balans VL '!Y8/100/3.6*1000000</f>
        <v>263.41861123126677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10273.58367323795</v>
      </c>
      <c r="C16" s="21">
        <f t="shared" ca="1" si="1"/>
        <v>0</v>
      </c>
      <c r="D16" s="21">
        <f t="shared" ca="1" si="1"/>
        <v>11829.59557806665</v>
      </c>
      <c r="E16" s="21">
        <f t="shared" si="1"/>
        <v>162.09781565741415</v>
      </c>
      <c r="F16" s="21">
        <f t="shared" ca="1" si="1"/>
        <v>1899.7096437697121</v>
      </c>
      <c r="G16" s="21">
        <f t="shared" si="1"/>
        <v>0</v>
      </c>
      <c r="H16" s="21">
        <f t="shared" si="1"/>
        <v>0</v>
      </c>
      <c r="I16" s="21">
        <f t="shared" si="1"/>
        <v>0</v>
      </c>
      <c r="J16" s="21">
        <f t="shared" si="1"/>
        <v>4.1707856217868301E-2</v>
      </c>
      <c r="K16" s="21">
        <f t="shared" si="1"/>
        <v>0</v>
      </c>
      <c r="L16" s="21">
        <f t="shared" ca="1" si="1"/>
        <v>0</v>
      </c>
      <c r="M16" s="21">
        <f t="shared" si="1"/>
        <v>0</v>
      </c>
      <c r="N16" s="21">
        <f t="shared" ca="1" si="1"/>
        <v>1648.0803925386801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0.21559667919312386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2214.9505233627974</v>
      </c>
      <c r="C20" s="23">
        <f t="shared" ref="C20:P20" ca="1" si="2">C16*C18</f>
        <v>0</v>
      </c>
      <c r="D20" s="23">
        <f t="shared" ca="1" si="2"/>
        <v>2389.5783067694633</v>
      </c>
      <c r="E20" s="23">
        <f t="shared" si="2"/>
        <v>36.79620415423301</v>
      </c>
      <c r="F20" s="23">
        <f t="shared" ca="1" si="2"/>
        <v>507.22247488651317</v>
      </c>
      <c r="G20" s="23">
        <f t="shared" si="2"/>
        <v>0</v>
      </c>
      <c r="H20" s="23">
        <f t="shared" si="2"/>
        <v>0</v>
      </c>
      <c r="I20" s="23">
        <f t="shared" si="2"/>
        <v>0</v>
      </c>
      <c r="J20" s="23">
        <f t="shared" si="2"/>
        <v>1.4764581101125378E-2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1666.83857434067</v>
      </c>
      <c r="C26" s="39">
        <f>IF(ISERROR(B26*3.6/1000000/'E Balans VL '!Z12*100),0,B26*3.6/1000000/'E Balans VL '!Z12*100)</f>
        <v>3.5234326975974596E-2</v>
      </c>
      <c r="D26" s="237" t="s">
        <v>754</v>
      </c>
      <c r="F26" s="6"/>
    </row>
    <row r="27" spans="1:18">
      <c r="A27" s="231" t="s">
        <v>53</v>
      </c>
      <c r="B27" s="33">
        <f>IF(ISERROR(TER_horeca_ele_kWh/1000),0,TER_horeca_ele_kWh/1000)</f>
        <v>816.44332568285495</v>
      </c>
      <c r="C27" s="39">
        <f>IF(ISERROR(B27*3.6/1000000/'E Balans VL '!Z9*100),0,B27*3.6/1000000/'E Balans VL '!Z9*100)</f>
        <v>6.43599230596167E-2</v>
      </c>
      <c r="D27" s="237" t="s">
        <v>754</v>
      </c>
      <c r="F27" s="6"/>
    </row>
    <row r="28" spans="1:18">
      <c r="A28" s="171" t="s">
        <v>52</v>
      </c>
      <c r="B28" s="33">
        <f>IF(ISERROR(TER_handel_ele_kWh/1000),0,TER_handel_ele_kWh/1000)</f>
        <v>3161.50286281026</v>
      </c>
      <c r="C28" s="39">
        <f>IF(ISERROR(B28*3.6/1000000/'E Balans VL '!Z13*100),0,B28*3.6/1000000/'E Balans VL '!Z13*100)</f>
        <v>9.1759586981713312E-2</v>
      </c>
      <c r="D28" s="237" t="s">
        <v>754</v>
      </c>
      <c r="F28" s="6"/>
    </row>
    <row r="29" spans="1:18">
      <c r="A29" s="231" t="s">
        <v>51</v>
      </c>
      <c r="B29" s="33">
        <f>IF(ISERROR(TER_gezond_ele_kWh/1000),0,TER_gezond_ele_kWh/1000)</f>
        <v>290.39888185524501</v>
      </c>
      <c r="C29" s="39">
        <f>IF(ISERROR(B29*3.6/1000000/'E Balans VL '!Z10*100),0,B29*3.6/1000000/'E Balans VL '!Z10*100)</f>
        <v>3.0583770734866685E-2</v>
      </c>
      <c r="D29" s="237" t="s">
        <v>754</v>
      </c>
      <c r="F29" s="6"/>
    </row>
    <row r="30" spans="1:18">
      <c r="A30" s="231" t="s">
        <v>50</v>
      </c>
      <c r="B30" s="33">
        <f>IF(ISERROR(TER_ander_ele_kWh/1000),0,TER_ander_ele_kWh/1000)</f>
        <v>1617.99488088712</v>
      </c>
      <c r="C30" s="39">
        <f>IF(ISERROR(B30*3.6/1000000/'E Balans VL '!Z14*100),0,B30*3.6/1000000/'E Balans VL '!Z14*100)</f>
        <v>0.11934365384097398</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2720.4051476618001</v>
      </c>
      <c r="C32" s="39">
        <f>IF(ISERROR(B32*3.6/1000000/'E Balans VL '!Z8*100),0,B32*3.6/1000000/'E Balans VL '!Z8*100)</f>
        <v>2.2385323394487802E-2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1892.4360336600139</v>
      </c>
      <c r="C5" s="17">
        <f>IF(ISERROR('Eigen informatie GS &amp; warmtenet'!B59),0,'Eigen informatie GS &amp; warmtenet'!B59)</f>
        <v>0</v>
      </c>
      <c r="D5" s="30">
        <f>SUM(D6:D15)</f>
        <v>2023.414221664767</v>
      </c>
      <c r="E5" s="17">
        <f>SUM(E6:E15)</f>
        <v>349.32773573158238</v>
      </c>
      <c r="F5" s="17">
        <f>SUM(F6:F15)</f>
        <v>1001.1915198677974</v>
      </c>
      <c r="G5" s="18"/>
      <c r="H5" s="17"/>
      <c r="I5" s="17"/>
      <c r="J5" s="17">
        <f>SUM(J6:J15)</f>
        <v>1.6169185322368684</v>
      </c>
      <c r="K5" s="17"/>
      <c r="L5" s="17"/>
      <c r="M5" s="17"/>
      <c r="N5" s="17">
        <f>SUM(N6:N15)</f>
        <v>486.4980990245374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60.477812456852995</v>
      </c>
      <c r="C8" s="33"/>
      <c r="D8" s="37">
        <f>IF( ISERROR(IND_metaal_Gas_kWH/1000),0,IND_metaal_Gas_kWH/1000)*0.902</f>
        <v>0</v>
      </c>
      <c r="E8" s="33">
        <f>C30*'E Balans VL '!I18/100/3.6*1000000</f>
        <v>0.55603507551401143</v>
      </c>
      <c r="F8" s="33">
        <f>C30*'E Balans VL '!L18/100/3.6*1000000+C30*'E Balans VL '!N18/100/3.6*1000000</f>
        <v>5.6708052982593893</v>
      </c>
      <c r="G8" s="34"/>
      <c r="H8" s="33"/>
      <c r="I8" s="33"/>
      <c r="J8" s="40">
        <f>C30*'E Balans VL '!D18/100/3.6*1000000+C30*'E Balans VL '!E18/100/3.6*1000000</f>
        <v>0</v>
      </c>
      <c r="K8" s="33"/>
      <c r="L8" s="33"/>
      <c r="M8" s="33"/>
      <c r="N8" s="33">
        <f>C30*'E Balans VL '!Y18/100/3.6*1000000</f>
        <v>0.86281593849083071</v>
      </c>
      <c r="O8" s="33"/>
      <c r="P8" s="33"/>
      <c r="R8" s="32"/>
    </row>
    <row r="9" spans="1:18">
      <c r="A9" s="6" t="s">
        <v>33</v>
      </c>
      <c r="B9" s="37">
        <f t="shared" si="0"/>
        <v>1105.81905059409</v>
      </c>
      <c r="C9" s="33"/>
      <c r="D9" s="37">
        <f>IF( ISERROR(IND_andere_gas_kWh/1000),0,IND_andere_gas_kWh/1000)*0.902</f>
        <v>811.27452999096454</v>
      </c>
      <c r="E9" s="33">
        <f>C31*'E Balans VL '!I19/100/3.6*1000000</f>
        <v>323.25243624638313</v>
      </c>
      <c r="F9" s="33">
        <f>C31*'E Balans VL '!L19/100/3.6*1000000+C31*'E Balans VL '!N19/100/3.6*1000000</f>
        <v>888.60930996337117</v>
      </c>
      <c r="G9" s="34"/>
      <c r="H9" s="33"/>
      <c r="I9" s="33"/>
      <c r="J9" s="40">
        <f>C31*'E Balans VL '!D19/100/3.6*1000000+C31*'E Balans VL '!E19/100/3.6*1000000</f>
        <v>0</v>
      </c>
      <c r="K9" s="33"/>
      <c r="L9" s="33"/>
      <c r="M9" s="33"/>
      <c r="N9" s="33">
        <f>C31*'E Balans VL '!Y19/100/3.6*1000000</f>
        <v>365.3797643538233</v>
      </c>
      <c r="O9" s="33"/>
      <c r="P9" s="33"/>
      <c r="R9" s="32"/>
    </row>
    <row r="10" spans="1:18">
      <c r="A10" s="6" t="s">
        <v>41</v>
      </c>
      <c r="B10" s="37">
        <f t="shared" si="0"/>
        <v>274.48355028727696</v>
      </c>
      <c r="C10" s="33"/>
      <c r="D10" s="37">
        <f>IF( ISERROR(IND_voed_gas_kWh/1000),0,IND_voed_gas_kWh/1000)*0.902</f>
        <v>461.99118130593314</v>
      </c>
      <c r="E10" s="33">
        <f>C32*'E Balans VL '!I20/100/3.6*1000000</f>
        <v>0.5806742065505881</v>
      </c>
      <c r="F10" s="33">
        <f>C32*'E Balans VL '!L20/100/3.6*1000000+C32*'E Balans VL '!N20/100/3.6*1000000</f>
        <v>17.451944503989761</v>
      </c>
      <c r="G10" s="34"/>
      <c r="H10" s="33"/>
      <c r="I10" s="33"/>
      <c r="J10" s="40">
        <f>C32*'E Balans VL '!D20/100/3.6*1000000+C32*'E Balans VL '!E20/100/3.6*1000000</f>
        <v>0</v>
      </c>
      <c r="K10" s="33"/>
      <c r="L10" s="33"/>
      <c r="M10" s="33"/>
      <c r="N10" s="33">
        <f>C32*'E Balans VL '!Y20/100/3.6*1000000</f>
        <v>18.94207363968156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451.655620321794</v>
      </c>
      <c r="C15" s="33"/>
      <c r="D15" s="37">
        <f>IF( ISERROR(IND_rest_gas_kWh/1000),0,IND_rest_gas_kWh/1000)*0.902</f>
        <v>750.14851036786933</v>
      </c>
      <c r="E15" s="33">
        <f>C37*'E Balans VL '!I15/100/3.6*1000000</f>
        <v>24.938590203134659</v>
      </c>
      <c r="F15" s="33">
        <f>C37*'E Balans VL '!L15/100/3.6*1000000+C37*'E Balans VL '!N15/100/3.6*1000000</f>
        <v>89.459460102176962</v>
      </c>
      <c r="G15" s="34"/>
      <c r="H15" s="33"/>
      <c r="I15" s="33"/>
      <c r="J15" s="40">
        <f>C37*'E Balans VL '!D15/100/3.6*1000000+C37*'E Balans VL '!E15/100/3.6*1000000</f>
        <v>1.6169185322368684</v>
      </c>
      <c r="K15" s="33"/>
      <c r="L15" s="33"/>
      <c r="M15" s="33"/>
      <c r="N15" s="33">
        <f>C37*'E Balans VL '!Y15/100/3.6*1000000</f>
        <v>101.31344509254174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1892.4360336600139</v>
      </c>
      <c r="C18" s="21">
        <f>C5+C16</f>
        <v>0</v>
      </c>
      <c r="D18" s="21">
        <f>MAX((D5+D16),0)</f>
        <v>2023.414221664767</v>
      </c>
      <c r="E18" s="21">
        <f>MAX((E5+E16),0)</f>
        <v>349.32773573158238</v>
      </c>
      <c r="F18" s="21">
        <f>MAX((F5+F16),0)</f>
        <v>1001.1915198677974</v>
      </c>
      <c r="G18" s="21"/>
      <c r="H18" s="21"/>
      <c r="I18" s="21"/>
      <c r="J18" s="21">
        <f>MAX((J5+J16),0)</f>
        <v>1.6169185322368684</v>
      </c>
      <c r="K18" s="21"/>
      <c r="L18" s="21">
        <f>MAX((L5+L16),0)</f>
        <v>0</v>
      </c>
      <c r="M18" s="21"/>
      <c r="N18" s="21">
        <f>MAX((N5+N16),0)</f>
        <v>486.4980990245374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0.21559667919312386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408.00292444250579</v>
      </c>
      <c r="C22" s="23">
        <f ca="1">C18*C20</f>
        <v>0</v>
      </c>
      <c r="D22" s="23">
        <f>D18*D20</f>
        <v>408.72967277628294</v>
      </c>
      <c r="E22" s="23">
        <f>E18*E20</f>
        <v>79.297396011069196</v>
      </c>
      <c r="F22" s="23">
        <f>F18*F20</f>
        <v>267.31813580470191</v>
      </c>
      <c r="G22" s="23"/>
      <c r="H22" s="23"/>
      <c r="I22" s="23"/>
      <c r="J22" s="23">
        <f>J18*J20</f>
        <v>0.57238916041185139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60.477812456852995</v>
      </c>
      <c r="C30" s="39">
        <f>IF(ISERROR(B30*3.6/1000000/'E Balans VL '!Z18*100),0,B30*3.6/1000000/'E Balans VL '!Z18*100)</f>
        <v>3.4274327071836708E-3</v>
      </c>
      <c r="D30" s="237" t="s">
        <v>754</v>
      </c>
    </row>
    <row r="31" spans="1:18">
      <c r="A31" s="6" t="s">
        <v>33</v>
      </c>
      <c r="B31" s="37">
        <f>IF( ISERROR(IND_ander_ele_kWh/1000),0,IND_ander_ele_kWh/1000)</f>
        <v>1105.81905059409</v>
      </c>
      <c r="C31" s="39">
        <f>IF(ISERROR(B31*3.6/1000000/'E Balans VL '!Z19*100),0,B31*3.6/1000000/'E Balans VL '!Z19*100)</f>
        <v>5.0155347584562034E-2</v>
      </c>
      <c r="D31" s="237" t="s">
        <v>754</v>
      </c>
    </row>
    <row r="32" spans="1:18">
      <c r="A32" s="171" t="s">
        <v>41</v>
      </c>
      <c r="B32" s="37">
        <f>IF( ISERROR(IND_voed_ele_kWh/1000),0,IND_voed_ele_kWh/1000)</f>
        <v>274.48355028727696</v>
      </c>
      <c r="C32" s="39">
        <f>IF(ISERROR(B32*3.6/1000000/'E Balans VL '!Z20*100),0,B32*3.6/1000000/'E Balans VL '!Z20*100)</f>
        <v>8.491022260492925E-3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451.655620321794</v>
      </c>
      <c r="C37" s="39">
        <f>IF(ISERROR(B37*3.6/1000000/'E Balans VL '!Z15*100),0,B37*3.6/1000000/'E Balans VL '!Z15*100)</f>
        <v>3.5799254769052677E-3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975.07235313161402</v>
      </c>
      <c r="C5" s="17">
        <f>'Eigen informatie GS &amp; warmtenet'!B60</f>
        <v>0</v>
      </c>
      <c r="D5" s="30">
        <f>IF(ISERROR(SUM(LB_lb_gas_kWh,LB_rest_gas_kWh)/1000),0,SUM(LB_lb_gas_kWh,LB_rest_gas_kWh)/1000)*0.902</f>
        <v>61712.400450742432</v>
      </c>
      <c r="E5" s="17">
        <f>B17*'E Balans VL '!I25/3.6*1000000/100</f>
        <v>28.660354673254602</v>
      </c>
      <c r="F5" s="17">
        <f>B17*('E Balans VL '!L25/3.6*1000000+'E Balans VL '!N25/3.6*1000000)/100</f>
        <v>4062.0987330019234</v>
      </c>
      <c r="G5" s="18"/>
      <c r="H5" s="17"/>
      <c r="I5" s="17"/>
      <c r="J5" s="17">
        <f>('E Balans VL '!D25+'E Balans VL '!E25)/3.6*1000000*landbouw!B17/100</f>
        <v>141.26704405029048</v>
      </c>
      <c r="K5" s="17"/>
      <c r="L5" s="17">
        <f>L6*(-1)</f>
        <v>0</v>
      </c>
      <c r="M5" s="17"/>
      <c r="N5" s="17">
        <f>N6*(-1)</f>
        <v>0</v>
      </c>
      <c r="O5" s="17"/>
      <c r="P5" s="17"/>
      <c r="R5" s="32"/>
    </row>
    <row r="6" spans="1:18">
      <c r="A6" s="16" t="s">
        <v>488</v>
      </c>
      <c r="B6" s="17" t="s">
        <v>211</v>
      </c>
      <c r="C6" s="17">
        <f>'lokale energieproductie'!O92+'lokale energieproductie'!O61</f>
        <v>32708.571428571431</v>
      </c>
      <c r="D6" s="310">
        <f>('lokale energieproductie'!P61+'lokale energieproductie'!P92)*(-1)</f>
        <v>-65417.14285714287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975.07235313161402</v>
      </c>
      <c r="C8" s="21">
        <f>C5+C6</f>
        <v>32708.571428571431</v>
      </c>
      <c r="D8" s="21">
        <f>MAX((D5+D6),0)</f>
        <v>0</v>
      </c>
      <c r="E8" s="21">
        <f>MAX((E5+E6),0)</f>
        <v>28.660354673254602</v>
      </c>
      <c r="F8" s="21">
        <f>MAX((F5+F6),0)</f>
        <v>4062.0987330019234</v>
      </c>
      <c r="G8" s="21"/>
      <c r="H8" s="21"/>
      <c r="I8" s="21"/>
      <c r="J8" s="21">
        <f>MAX((J5+J6),0)</f>
        <v>141.26704405029048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0.21559667919312386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210.22236130820096</v>
      </c>
      <c r="C12" s="23">
        <f ca="1">C8*C10</f>
        <v>7773.0957983193293</v>
      </c>
      <c r="D12" s="23">
        <f>D8*D10</f>
        <v>0</v>
      </c>
      <c r="E12" s="23">
        <f>E8*E10</f>
        <v>6.5059005108287948</v>
      </c>
      <c r="F12" s="23">
        <f>F8*F10</f>
        <v>1084.5803617115137</v>
      </c>
      <c r="G12" s="23"/>
      <c r="H12" s="23"/>
      <c r="I12" s="23"/>
      <c r="J12" s="23">
        <f>J8*J10</f>
        <v>50.008533593802824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0.13836582610558801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153.92243044047521</v>
      </c>
      <c r="C26" s="247">
        <f>B26*'GWP N2O_CH4'!B5</f>
        <v>3232.3710392499793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38.874960298217282</v>
      </c>
      <c r="C27" s="247">
        <f>B27*'GWP N2O_CH4'!B5</f>
        <v>816.37416626256288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1.6997690385876405</v>
      </c>
      <c r="C28" s="247">
        <f>B28*'GWP N2O_CH4'!B4</f>
        <v>526.92840196216855</v>
      </c>
      <c r="D28" s="50"/>
    </row>
    <row r="29" spans="1:4">
      <c r="A29" s="41" t="s">
        <v>277</v>
      </c>
      <c r="B29" s="247">
        <f>B34*'ha_N2O bodem landbouw'!B4</f>
        <v>8.5611713482237306</v>
      </c>
      <c r="C29" s="247">
        <f>B29*'GWP N2O_CH4'!B4</f>
        <v>2653.9631179493563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1.9536297985556822E-3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7.2546696357285413E-5</v>
      </c>
      <c r="C5" s="463" t="s">
        <v>211</v>
      </c>
      <c r="D5" s="448">
        <f>SUM(D6:D11)</f>
        <v>2.3833766225432853E-4</v>
      </c>
      <c r="E5" s="448">
        <f>SUM(E6:E11)</f>
        <v>3.2081935746142962E-4</v>
      </c>
      <c r="F5" s="461" t="s">
        <v>211</v>
      </c>
      <c r="G5" s="448">
        <f>SUM(G6:G11)</f>
        <v>0.11280882304809491</v>
      </c>
      <c r="H5" s="448">
        <f>SUM(H6:H11)</f>
        <v>2.6965460904063217E-2</v>
      </c>
      <c r="I5" s="463" t="s">
        <v>211</v>
      </c>
      <c r="J5" s="463" t="s">
        <v>211</v>
      </c>
      <c r="K5" s="463" t="s">
        <v>211</v>
      </c>
      <c r="L5" s="463" t="s">
        <v>211</v>
      </c>
      <c r="M5" s="448">
        <f>SUM(M6:M11)</f>
        <v>7.3863672107490281E-3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6.3659429423092159E-5</v>
      </c>
      <c r="C6" s="449"/>
      <c r="D6" s="892">
        <f>vkm_2011_GW_PW*SUMIFS(TableVerdeelsleutelVkm[CNG],TableVerdeelsleutelVkm[Voertuigtype],"Lichte voertuigen")*SUMIFS(TableECFTransport[EnergieConsumptieFactor (PJ per km)],TableECFTransport[Index],CONCATENATE($A6,"_CNG_CNG"))</f>
        <v>1.9094175108024639E-4</v>
      </c>
      <c r="E6" s="892">
        <f>vkm_2011_GW_PW*SUMIFS(TableVerdeelsleutelVkm[LPG],TableVerdeelsleutelVkm[Voertuigtype],"Lichte voertuigen")*SUMIFS(TableECFTransport[EnergieConsumptieFactor (PJ per km)],TableECFTransport[Index],CONCATENATE($A6,"_LPG_LPG"))</f>
        <v>2.6085385940647358E-4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6.7444850315743696E-2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2.1717427107282347E-2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4.5810923881497581E-3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3.0537868138363958E-2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9.3073216759397278E-6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1.7845299850869701E-3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8.8872669341932566E-6</v>
      </c>
      <c r="C8" s="449"/>
      <c r="D8" s="451">
        <f>vkm_2011_NGW_PW*SUMIFS(TableVerdeelsleutelVkm[CNG],TableVerdeelsleutelVkm[Voertuigtype],"Lichte voertuigen")*SUMIFS(TableECFTransport[EnergieConsumptieFactor (PJ per km)],TableECFTransport[Index],CONCATENATE($A8,"_CNG_CNG"))</f>
        <v>4.7395911174082145E-5</v>
      </c>
      <c r="E8" s="451">
        <f>vkm_2011_NGW_PW*SUMIFS(TableVerdeelsleutelVkm[LPG],TableVerdeelsleutelVkm[Voertuigtype],"Lichte voertuigen")*SUMIFS(TableECFTransport[EnergieConsumptieFactor (PJ per km)],TableECFTransport[Index],CONCATENATE($A8,"_LPG_LPG"))</f>
        <v>5.9965498054956062E-5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1.4448394076787321E-2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5.2386181009963732E-3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9.9867290810257896E-4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3.7771051719993985E-4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1.083741085552138E-7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2.2071929409720137E-5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20.151860099245948</v>
      </c>
      <c r="C14" s="21"/>
      <c r="D14" s="21">
        <f t="shared" ref="D14:M14" si="0">((D5)*10^9/3600)+D12</f>
        <v>66.20490618175792</v>
      </c>
      <c r="E14" s="21">
        <f t="shared" si="0"/>
        <v>89.116488183730453</v>
      </c>
      <c r="F14" s="21"/>
      <c r="G14" s="21">
        <f t="shared" si="0"/>
        <v>31335.78418002636</v>
      </c>
      <c r="H14" s="21">
        <f t="shared" si="0"/>
        <v>7490.4058066842272</v>
      </c>
      <c r="I14" s="21"/>
      <c r="J14" s="21"/>
      <c r="K14" s="21"/>
      <c r="L14" s="21"/>
      <c r="M14" s="21">
        <f t="shared" si="0"/>
        <v>2051.7686696525079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0.21559667919312386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4.3446741169618415</v>
      </c>
      <c r="C18" s="23"/>
      <c r="D18" s="23">
        <f t="shared" ref="D18:M18" si="1">D14*D16</f>
        <v>13.373391048715101</v>
      </c>
      <c r="E18" s="23">
        <f t="shared" si="1"/>
        <v>20.229442817706815</v>
      </c>
      <c r="F18" s="23"/>
      <c r="G18" s="23">
        <f t="shared" si="1"/>
        <v>8366.6543760670393</v>
      </c>
      <c r="H18" s="23">
        <f t="shared" si="1"/>
        <v>1865.1110458643725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1.6801596202231778E-3</v>
      </c>
      <c r="H50" s="321">
        <f t="shared" si="2"/>
        <v>0</v>
      </c>
      <c r="I50" s="321">
        <f t="shared" si="2"/>
        <v>0</v>
      </c>
      <c r="J50" s="321">
        <f t="shared" si="2"/>
        <v>0</v>
      </c>
      <c r="K50" s="321">
        <f t="shared" si="2"/>
        <v>0</v>
      </c>
      <c r="L50" s="321">
        <f t="shared" si="2"/>
        <v>0</v>
      </c>
      <c r="M50" s="321">
        <f t="shared" si="2"/>
        <v>9.5425649235694748E-5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1.6801596202231778E-3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9.5425649235694748E-5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466.7110056175494</v>
      </c>
      <c r="H54" s="21">
        <f t="shared" si="3"/>
        <v>0</v>
      </c>
      <c r="I54" s="21">
        <f t="shared" si="3"/>
        <v>0</v>
      </c>
      <c r="J54" s="21">
        <f t="shared" si="3"/>
        <v>0</v>
      </c>
      <c r="K54" s="21">
        <f t="shared" si="3"/>
        <v>0</v>
      </c>
      <c r="L54" s="21">
        <f t="shared" si="3"/>
        <v>0</v>
      </c>
      <c r="M54" s="21">
        <f t="shared" si="3"/>
        <v>26.507124787692984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0.21559667919312386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124.61183849988569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10906.925673237951</v>
      </c>
      <c r="D10" s="1013">
        <f ca="1">tertiair!C16</f>
        <v>0</v>
      </c>
      <c r="E10" s="1013">
        <f ca="1">tertiair!D16</f>
        <v>11829.59557806665</v>
      </c>
      <c r="F10" s="1013">
        <f>tertiair!E16</f>
        <v>162.09781565741415</v>
      </c>
      <c r="G10" s="1013">
        <f ca="1">tertiair!F16</f>
        <v>1899.7096437697121</v>
      </c>
      <c r="H10" s="1013">
        <f>tertiair!G16</f>
        <v>0</v>
      </c>
      <c r="I10" s="1013">
        <f>tertiair!H16</f>
        <v>0</v>
      </c>
      <c r="J10" s="1013">
        <f>tertiair!I16</f>
        <v>0</v>
      </c>
      <c r="K10" s="1013">
        <f>tertiair!J16</f>
        <v>4.1707856217868301E-2</v>
      </c>
      <c r="L10" s="1013">
        <f>tertiair!K16</f>
        <v>0</v>
      </c>
      <c r="M10" s="1013">
        <f ca="1">tertiair!L16</f>
        <v>0</v>
      </c>
      <c r="N10" s="1013">
        <f>tertiair!M16</f>
        <v>0</v>
      </c>
      <c r="O10" s="1013">
        <f ca="1">tertiair!N16</f>
        <v>1648.0803925386801</v>
      </c>
      <c r="P10" s="1013">
        <f>tertiair!O16</f>
        <v>0</v>
      </c>
      <c r="Q10" s="1014">
        <f>tertiair!P16</f>
        <v>0</v>
      </c>
      <c r="R10" s="700">
        <f ca="1">SUM(C10:Q10)</f>
        <v>26446.450811126619</v>
      </c>
      <c r="S10" s="67"/>
    </row>
    <row r="11" spans="1:19" s="473" customFormat="1">
      <c r="A11" s="809" t="s">
        <v>225</v>
      </c>
      <c r="B11" s="814"/>
      <c r="C11" s="1013">
        <f>huishoudens!B8</f>
        <v>18221.713888326267</v>
      </c>
      <c r="D11" s="1013">
        <f>huishoudens!C8</f>
        <v>0</v>
      </c>
      <c r="E11" s="1013">
        <f>huishoudens!D8</f>
        <v>51620.301099542179</v>
      </c>
      <c r="F11" s="1013">
        <f>huishoudens!E8</f>
        <v>2955.4307948846395</v>
      </c>
      <c r="G11" s="1013">
        <f>huishoudens!F8</f>
        <v>9589.0213720092779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11879.733194787836</v>
      </c>
      <c r="P11" s="1013">
        <f>huishoudens!O8</f>
        <v>175.09333333333336</v>
      </c>
      <c r="Q11" s="1014">
        <f>huishoudens!P8</f>
        <v>629.20000000000005</v>
      </c>
      <c r="R11" s="700">
        <f>SUM(C11:Q11)</f>
        <v>95070.493682883534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1892.4360336600139</v>
      </c>
      <c r="D13" s="1013">
        <f>industrie!C18</f>
        <v>0</v>
      </c>
      <c r="E13" s="1013">
        <f>industrie!D18</f>
        <v>2023.414221664767</v>
      </c>
      <c r="F13" s="1013">
        <f>industrie!E18</f>
        <v>349.32773573158238</v>
      </c>
      <c r="G13" s="1013">
        <f>industrie!F18</f>
        <v>1001.1915198677974</v>
      </c>
      <c r="H13" s="1013">
        <f>industrie!G18</f>
        <v>0</v>
      </c>
      <c r="I13" s="1013">
        <f>industrie!H18</f>
        <v>0</v>
      </c>
      <c r="J13" s="1013">
        <f>industrie!I18</f>
        <v>0</v>
      </c>
      <c r="K13" s="1013">
        <f>industrie!J18</f>
        <v>1.6169185322368684</v>
      </c>
      <c r="L13" s="1013">
        <f>industrie!K18</f>
        <v>0</v>
      </c>
      <c r="M13" s="1013">
        <f>industrie!L18</f>
        <v>0</v>
      </c>
      <c r="N13" s="1013">
        <f>industrie!M18</f>
        <v>0</v>
      </c>
      <c r="O13" s="1013">
        <f>industrie!N18</f>
        <v>486.4980990245374</v>
      </c>
      <c r="P13" s="1013">
        <f>industrie!O18</f>
        <v>0</v>
      </c>
      <c r="Q13" s="1014">
        <f>industrie!P18</f>
        <v>0</v>
      </c>
      <c r="R13" s="700">
        <f>SUM(C13:Q13)</f>
        <v>5754.4845284809353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31021.075595224233</v>
      </c>
      <c r="D16" s="732">
        <f t="shared" ref="D16:R16" ca="1" si="0">SUM(D9:D15)</f>
        <v>0</v>
      </c>
      <c r="E16" s="732">
        <f t="shared" ca="1" si="0"/>
        <v>65473.310899273594</v>
      </c>
      <c r="F16" s="732">
        <f t="shared" si="0"/>
        <v>3466.8563462736361</v>
      </c>
      <c r="G16" s="732">
        <f t="shared" ca="1" si="0"/>
        <v>12489.922535646789</v>
      </c>
      <c r="H16" s="732">
        <f t="shared" si="0"/>
        <v>0</v>
      </c>
      <c r="I16" s="732">
        <f t="shared" si="0"/>
        <v>0</v>
      </c>
      <c r="J16" s="732">
        <f t="shared" si="0"/>
        <v>0</v>
      </c>
      <c r="K16" s="732">
        <f t="shared" si="0"/>
        <v>1.6586263884547368</v>
      </c>
      <c r="L16" s="732">
        <f t="shared" si="0"/>
        <v>0</v>
      </c>
      <c r="M16" s="732">
        <f t="shared" ca="1" si="0"/>
        <v>0</v>
      </c>
      <c r="N16" s="732">
        <f t="shared" si="0"/>
        <v>0</v>
      </c>
      <c r="O16" s="732">
        <f t="shared" ca="1" si="0"/>
        <v>14014.311686351053</v>
      </c>
      <c r="P16" s="732">
        <f t="shared" si="0"/>
        <v>175.09333333333336</v>
      </c>
      <c r="Q16" s="732">
        <f t="shared" si="0"/>
        <v>629.20000000000005</v>
      </c>
      <c r="R16" s="732">
        <f t="shared" ca="1" si="0"/>
        <v>127271.42902249109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466.7110056175494</v>
      </c>
      <c r="I19" s="1013">
        <f>transport!H54</f>
        <v>0</v>
      </c>
      <c r="J19" s="1013">
        <f>transport!I54</f>
        <v>0</v>
      </c>
      <c r="K19" s="1013">
        <f>transport!J54</f>
        <v>0</v>
      </c>
      <c r="L19" s="1013">
        <f>transport!K54</f>
        <v>0</v>
      </c>
      <c r="M19" s="1013">
        <f>transport!L54</f>
        <v>0</v>
      </c>
      <c r="N19" s="1013">
        <f>transport!M54</f>
        <v>26.507124787692984</v>
      </c>
      <c r="O19" s="1013">
        <f>transport!N54</f>
        <v>0</v>
      </c>
      <c r="P19" s="1013">
        <f>transport!O54</f>
        <v>0</v>
      </c>
      <c r="Q19" s="1014">
        <f>transport!P54</f>
        <v>0</v>
      </c>
      <c r="R19" s="700">
        <f>SUM(C19:Q19)</f>
        <v>493.21813040524239</v>
      </c>
      <c r="S19" s="67"/>
    </row>
    <row r="20" spans="1:19" s="473" customFormat="1">
      <c r="A20" s="809" t="s">
        <v>307</v>
      </c>
      <c r="B20" s="814"/>
      <c r="C20" s="1013">
        <f>transport!B14</f>
        <v>20.151860099245948</v>
      </c>
      <c r="D20" s="1013">
        <f>transport!C14</f>
        <v>0</v>
      </c>
      <c r="E20" s="1013">
        <f>transport!D14</f>
        <v>66.20490618175792</v>
      </c>
      <c r="F20" s="1013">
        <f>transport!E14</f>
        <v>89.116488183730453</v>
      </c>
      <c r="G20" s="1013">
        <f>transport!F14</f>
        <v>0</v>
      </c>
      <c r="H20" s="1013">
        <f>transport!G14</f>
        <v>31335.78418002636</v>
      </c>
      <c r="I20" s="1013">
        <f>transport!H14</f>
        <v>7490.4058066842272</v>
      </c>
      <c r="J20" s="1013">
        <f>transport!I14</f>
        <v>0</v>
      </c>
      <c r="K20" s="1013">
        <f>transport!J14</f>
        <v>0</v>
      </c>
      <c r="L20" s="1013">
        <f>transport!K14</f>
        <v>0</v>
      </c>
      <c r="M20" s="1013">
        <f>transport!L14</f>
        <v>0</v>
      </c>
      <c r="N20" s="1013">
        <f>transport!M14</f>
        <v>2051.7686696525079</v>
      </c>
      <c r="O20" s="1013">
        <f>transport!N14</f>
        <v>0</v>
      </c>
      <c r="P20" s="1013">
        <f>transport!O14</f>
        <v>0</v>
      </c>
      <c r="Q20" s="1014">
        <f>transport!P14</f>
        <v>0</v>
      </c>
      <c r="R20" s="700">
        <f>SUM(C20:Q20)</f>
        <v>41053.431910827829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20.151860099245948</v>
      </c>
      <c r="D22" s="812">
        <f t="shared" ref="D22:R22" si="1">SUM(D18:D21)</f>
        <v>0</v>
      </c>
      <c r="E22" s="812">
        <f t="shared" si="1"/>
        <v>66.20490618175792</v>
      </c>
      <c r="F22" s="812">
        <f t="shared" si="1"/>
        <v>89.116488183730453</v>
      </c>
      <c r="G22" s="812">
        <f t="shared" si="1"/>
        <v>0</v>
      </c>
      <c r="H22" s="812">
        <f t="shared" si="1"/>
        <v>31802.495185643907</v>
      </c>
      <c r="I22" s="812">
        <f t="shared" si="1"/>
        <v>7490.4058066842272</v>
      </c>
      <c r="J22" s="812">
        <f t="shared" si="1"/>
        <v>0</v>
      </c>
      <c r="K22" s="812">
        <f t="shared" si="1"/>
        <v>0</v>
      </c>
      <c r="L22" s="812">
        <f t="shared" si="1"/>
        <v>0</v>
      </c>
      <c r="M22" s="812">
        <f t="shared" si="1"/>
        <v>0</v>
      </c>
      <c r="N22" s="812">
        <f t="shared" si="1"/>
        <v>2078.275794440201</v>
      </c>
      <c r="O22" s="812">
        <f t="shared" si="1"/>
        <v>0</v>
      </c>
      <c r="P22" s="812">
        <f t="shared" si="1"/>
        <v>0</v>
      </c>
      <c r="Q22" s="812">
        <f t="shared" si="1"/>
        <v>0</v>
      </c>
      <c r="R22" s="812">
        <f t="shared" si="1"/>
        <v>41546.650041233072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975.07235313161402</v>
      </c>
      <c r="D24" s="1013">
        <f>+landbouw!C8</f>
        <v>32708.571428571431</v>
      </c>
      <c r="E24" s="1013">
        <f>+landbouw!D8</f>
        <v>0</v>
      </c>
      <c r="F24" s="1013">
        <f>+landbouw!E8</f>
        <v>28.660354673254602</v>
      </c>
      <c r="G24" s="1013">
        <f>+landbouw!F8</f>
        <v>4062.0987330019234</v>
      </c>
      <c r="H24" s="1013">
        <f>+landbouw!G8</f>
        <v>0</v>
      </c>
      <c r="I24" s="1013">
        <f>+landbouw!H8</f>
        <v>0</v>
      </c>
      <c r="J24" s="1013">
        <f>+landbouw!I8</f>
        <v>0</v>
      </c>
      <c r="K24" s="1013">
        <f>+landbouw!J8</f>
        <v>141.26704405029048</v>
      </c>
      <c r="L24" s="1013">
        <f>+landbouw!K8</f>
        <v>0</v>
      </c>
      <c r="M24" s="1013">
        <f>+landbouw!L8</f>
        <v>0</v>
      </c>
      <c r="N24" s="1013">
        <f>+landbouw!M8</f>
        <v>0</v>
      </c>
      <c r="O24" s="1013">
        <f>+landbouw!N8</f>
        <v>0</v>
      </c>
      <c r="P24" s="1013">
        <f>+landbouw!O8</f>
        <v>0</v>
      </c>
      <c r="Q24" s="1014">
        <f>+landbouw!P8</f>
        <v>0</v>
      </c>
      <c r="R24" s="700">
        <f>SUM(C24:Q24)</f>
        <v>37915.669913428508</v>
      </c>
      <c r="S24" s="67"/>
    </row>
    <row r="25" spans="1:19" s="473" customFormat="1" ht="15" thickBot="1">
      <c r="A25" s="831" t="s">
        <v>836</v>
      </c>
      <c r="B25" s="1016"/>
      <c r="C25" s="1017">
        <f>IF(Onbekend_ele_kWh="---",0,Onbekend_ele_kWh)/1000+IF(REST_rest_ele_kWh="---",0,REST_rest_ele_kWh)/1000</f>
        <v>951.39070523218209</v>
      </c>
      <c r="D25" s="1017"/>
      <c r="E25" s="1017">
        <f>IF(onbekend_gas_kWh="---",0,onbekend_gas_kWh)/1000+IF(REST_rest_gas_kWh="---",0,REST_rest_gas_kWh)/1000</f>
        <v>1985.99768941364</v>
      </c>
      <c r="F25" s="1017"/>
      <c r="G25" s="1017"/>
      <c r="H25" s="1017"/>
      <c r="I25" s="1017"/>
      <c r="J25" s="1017"/>
      <c r="K25" s="1017"/>
      <c r="L25" s="1017"/>
      <c r="M25" s="1017"/>
      <c r="N25" s="1017"/>
      <c r="O25" s="1017"/>
      <c r="P25" s="1017"/>
      <c r="Q25" s="1018"/>
      <c r="R25" s="700">
        <f>SUM(C25:Q25)</f>
        <v>2937.3883946458222</v>
      </c>
      <c r="S25" s="67"/>
    </row>
    <row r="26" spans="1:19" s="473" customFormat="1" ht="15.75" thickBot="1">
      <c r="A26" s="705" t="s">
        <v>837</v>
      </c>
      <c r="B26" s="817"/>
      <c r="C26" s="812">
        <f>SUM(C24:C25)</f>
        <v>1926.4630583637961</v>
      </c>
      <c r="D26" s="812">
        <f t="shared" ref="D26:R26" si="2">SUM(D24:D25)</f>
        <v>32708.571428571431</v>
      </c>
      <c r="E26" s="812">
        <f t="shared" si="2"/>
        <v>1985.99768941364</v>
      </c>
      <c r="F26" s="812">
        <f t="shared" si="2"/>
        <v>28.660354673254602</v>
      </c>
      <c r="G26" s="812">
        <f t="shared" si="2"/>
        <v>4062.0987330019234</v>
      </c>
      <c r="H26" s="812">
        <f t="shared" si="2"/>
        <v>0</v>
      </c>
      <c r="I26" s="812">
        <f t="shared" si="2"/>
        <v>0</v>
      </c>
      <c r="J26" s="812">
        <f t="shared" si="2"/>
        <v>0</v>
      </c>
      <c r="K26" s="812">
        <f t="shared" si="2"/>
        <v>141.26704405029048</v>
      </c>
      <c r="L26" s="812">
        <f t="shared" si="2"/>
        <v>0</v>
      </c>
      <c r="M26" s="812">
        <f t="shared" si="2"/>
        <v>0</v>
      </c>
      <c r="N26" s="812">
        <f t="shared" si="2"/>
        <v>0</v>
      </c>
      <c r="O26" s="812">
        <f t="shared" si="2"/>
        <v>0</v>
      </c>
      <c r="P26" s="812">
        <f t="shared" si="2"/>
        <v>0</v>
      </c>
      <c r="Q26" s="812">
        <f t="shared" si="2"/>
        <v>0</v>
      </c>
      <c r="R26" s="812">
        <f t="shared" si="2"/>
        <v>40853.058308074331</v>
      </c>
      <c r="S26" s="67"/>
    </row>
    <row r="27" spans="1:19" s="473" customFormat="1" ht="17.25" thickTop="1" thickBot="1">
      <c r="A27" s="706" t="s">
        <v>116</v>
      </c>
      <c r="B27" s="805"/>
      <c r="C27" s="707">
        <f ca="1">C22+C16+C26</f>
        <v>32967.690513687274</v>
      </c>
      <c r="D27" s="707">
        <f t="shared" ref="D27:R27" ca="1" si="3">D22+D16+D26</f>
        <v>32708.571428571431</v>
      </c>
      <c r="E27" s="707">
        <f t="shared" ca="1" si="3"/>
        <v>67525.513494868981</v>
      </c>
      <c r="F27" s="707">
        <f t="shared" si="3"/>
        <v>3584.6331891306208</v>
      </c>
      <c r="G27" s="707">
        <f t="shared" ca="1" si="3"/>
        <v>16552.021268648714</v>
      </c>
      <c r="H27" s="707">
        <f t="shared" si="3"/>
        <v>31802.495185643907</v>
      </c>
      <c r="I27" s="707">
        <f t="shared" si="3"/>
        <v>7490.4058066842272</v>
      </c>
      <c r="J27" s="707">
        <f t="shared" si="3"/>
        <v>0</v>
      </c>
      <c r="K27" s="707">
        <f t="shared" si="3"/>
        <v>142.92567043874521</v>
      </c>
      <c r="L27" s="707">
        <f t="shared" si="3"/>
        <v>0</v>
      </c>
      <c r="M27" s="707">
        <f t="shared" ca="1" si="3"/>
        <v>0</v>
      </c>
      <c r="N27" s="707">
        <f t="shared" si="3"/>
        <v>2078.275794440201</v>
      </c>
      <c r="O27" s="707">
        <f t="shared" ca="1" si="3"/>
        <v>14014.311686351053</v>
      </c>
      <c r="P27" s="707">
        <f t="shared" si="3"/>
        <v>175.09333333333336</v>
      </c>
      <c r="Q27" s="707">
        <f t="shared" si="3"/>
        <v>629.20000000000005</v>
      </c>
      <c r="R27" s="707">
        <f t="shared" ca="1" si="3"/>
        <v>209671.13737179851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2351.4969553563287</v>
      </c>
      <c r="D40" s="1013">
        <f ca="1">tertiair!C20</f>
        <v>0</v>
      </c>
      <c r="E40" s="1013">
        <f ca="1">tertiair!D20</f>
        <v>2389.5783067694633</v>
      </c>
      <c r="F40" s="1013">
        <f>tertiair!E20</f>
        <v>36.79620415423301</v>
      </c>
      <c r="G40" s="1013">
        <f ca="1">tertiair!F20</f>
        <v>507.22247488651317</v>
      </c>
      <c r="H40" s="1013">
        <f>tertiair!G20</f>
        <v>0</v>
      </c>
      <c r="I40" s="1013">
        <f>tertiair!H20</f>
        <v>0</v>
      </c>
      <c r="J40" s="1013">
        <f>tertiair!I20</f>
        <v>0</v>
      </c>
      <c r="K40" s="1013">
        <f>tertiair!J20</f>
        <v>1.4764581101125378E-2</v>
      </c>
      <c r="L40" s="1013">
        <f>tertiair!K20</f>
        <v>0</v>
      </c>
      <c r="M40" s="1013">
        <f ca="1">tertiair!L20</f>
        <v>0</v>
      </c>
      <c r="N40" s="1013">
        <f>tertiair!M20</f>
        <v>0</v>
      </c>
      <c r="O40" s="1013">
        <f ca="1">tertiair!N20</f>
        <v>0</v>
      </c>
      <c r="P40" s="1013">
        <f>tertiair!O20</f>
        <v>0</v>
      </c>
      <c r="Q40" s="774">
        <f>tertiair!P20</f>
        <v>0</v>
      </c>
      <c r="R40" s="850">
        <f t="shared" ca="1" si="4"/>
        <v>5285.1087057476398</v>
      </c>
    </row>
    <row r="41" spans="1:18">
      <c r="A41" s="822" t="s">
        <v>225</v>
      </c>
      <c r="B41" s="829"/>
      <c r="C41" s="1013">
        <f ca="1">huishoudens!B12</f>
        <v>3928.541003530368</v>
      </c>
      <c r="D41" s="1013">
        <f ca="1">huishoudens!C12</f>
        <v>0</v>
      </c>
      <c r="E41" s="1013">
        <f>huishoudens!D12</f>
        <v>10427.300822107522</v>
      </c>
      <c r="F41" s="1013">
        <f>huishoudens!E12</f>
        <v>670.88279043881323</v>
      </c>
      <c r="G41" s="1013">
        <f>huishoudens!F12</f>
        <v>2560.2687063264775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17586.993322403181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408.00292444250579</v>
      </c>
      <c r="D43" s="1013">
        <f ca="1">industrie!C22</f>
        <v>0</v>
      </c>
      <c r="E43" s="1013">
        <f>industrie!D22</f>
        <v>408.72967277628294</v>
      </c>
      <c r="F43" s="1013">
        <f>industrie!E22</f>
        <v>79.297396011069196</v>
      </c>
      <c r="G43" s="1013">
        <f>industrie!F22</f>
        <v>267.31813580470191</v>
      </c>
      <c r="H43" s="1013">
        <f>industrie!G22</f>
        <v>0</v>
      </c>
      <c r="I43" s="1013">
        <f>industrie!H22</f>
        <v>0</v>
      </c>
      <c r="J43" s="1013">
        <f>industrie!I22</f>
        <v>0</v>
      </c>
      <c r="K43" s="1013">
        <f>industrie!J22</f>
        <v>0.57238916041185139</v>
      </c>
      <c r="L43" s="1013">
        <f>industrie!K22</f>
        <v>0</v>
      </c>
      <c r="M43" s="1013">
        <f>industrie!L22</f>
        <v>0</v>
      </c>
      <c r="N43" s="1013">
        <f>industrie!M22</f>
        <v>0</v>
      </c>
      <c r="O43" s="1013">
        <f>industrie!N22</f>
        <v>0</v>
      </c>
      <c r="P43" s="1013">
        <f>industrie!O22</f>
        <v>0</v>
      </c>
      <c r="Q43" s="774">
        <f>industrie!P22</f>
        <v>0</v>
      </c>
      <c r="R43" s="849">
        <f t="shared" ca="1" si="4"/>
        <v>1163.9205181949717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6688.0408833292022</v>
      </c>
      <c r="D46" s="732">
        <f t="shared" ref="D46:Q46" ca="1" si="5">SUM(D39:D45)</f>
        <v>0</v>
      </c>
      <c r="E46" s="732">
        <f t="shared" ca="1" si="5"/>
        <v>13225.608801653267</v>
      </c>
      <c r="F46" s="732">
        <f t="shared" si="5"/>
        <v>786.97639060411541</v>
      </c>
      <c r="G46" s="732">
        <f t="shared" ca="1" si="5"/>
        <v>3334.8093170176926</v>
      </c>
      <c r="H46" s="732">
        <f t="shared" si="5"/>
        <v>0</v>
      </c>
      <c r="I46" s="732">
        <f t="shared" si="5"/>
        <v>0</v>
      </c>
      <c r="J46" s="732">
        <f t="shared" si="5"/>
        <v>0</v>
      </c>
      <c r="K46" s="732">
        <f t="shared" si="5"/>
        <v>0.58715374151297672</v>
      </c>
      <c r="L46" s="732">
        <f t="shared" si="5"/>
        <v>0</v>
      </c>
      <c r="M46" s="732">
        <f t="shared" ca="1" si="5"/>
        <v>0</v>
      </c>
      <c r="N46" s="732">
        <f t="shared" si="5"/>
        <v>0</v>
      </c>
      <c r="O46" s="732">
        <f t="shared" ca="1" si="5"/>
        <v>0</v>
      </c>
      <c r="P46" s="732">
        <f t="shared" si="5"/>
        <v>0</v>
      </c>
      <c r="Q46" s="732">
        <f t="shared" si="5"/>
        <v>0</v>
      </c>
      <c r="R46" s="732">
        <f ca="1">SUM(R39:R45)</f>
        <v>24036.022546345794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124.61183849988569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124.61183849988569</v>
      </c>
    </row>
    <row r="50" spans="1:18">
      <c r="A50" s="825" t="s">
        <v>307</v>
      </c>
      <c r="B50" s="835"/>
      <c r="C50" s="703">
        <f ca="1">transport!B18</f>
        <v>4.3446741169618415</v>
      </c>
      <c r="D50" s="703">
        <f>transport!C18</f>
        <v>0</v>
      </c>
      <c r="E50" s="703">
        <f>transport!D18</f>
        <v>13.373391048715101</v>
      </c>
      <c r="F50" s="703">
        <f>transport!E18</f>
        <v>20.229442817706815</v>
      </c>
      <c r="G50" s="703">
        <f>transport!F18</f>
        <v>0</v>
      </c>
      <c r="H50" s="703">
        <f>transport!G18</f>
        <v>8366.6543760670393</v>
      </c>
      <c r="I50" s="703">
        <f>transport!H18</f>
        <v>1865.1110458643725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10269.712929914796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4.3446741169618415</v>
      </c>
      <c r="D52" s="732">
        <f t="shared" ref="D52:Q52" ca="1" si="6">SUM(D48:D51)</f>
        <v>0</v>
      </c>
      <c r="E52" s="732">
        <f t="shared" si="6"/>
        <v>13.373391048715101</v>
      </c>
      <c r="F52" s="732">
        <f t="shared" si="6"/>
        <v>20.229442817706815</v>
      </c>
      <c r="G52" s="732">
        <f t="shared" si="6"/>
        <v>0</v>
      </c>
      <c r="H52" s="732">
        <f t="shared" si="6"/>
        <v>8491.2662145669256</v>
      </c>
      <c r="I52" s="732">
        <f t="shared" si="6"/>
        <v>1865.1110458643725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10394.324768414683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210.22236130820096</v>
      </c>
      <c r="D54" s="703">
        <f ca="1">+landbouw!C12</f>
        <v>7773.0957983193293</v>
      </c>
      <c r="E54" s="703">
        <f>+landbouw!D12</f>
        <v>0</v>
      </c>
      <c r="F54" s="703">
        <f>+landbouw!E12</f>
        <v>6.5059005108287948</v>
      </c>
      <c r="G54" s="703">
        <f>+landbouw!F12</f>
        <v>1084.5803617115137</v>
      </c>
      <c r="H54" s="703">
        <f>+landbouw!G12</f>
        <v>0</v>
      </c>
      <c r="I54" s="703">
        <f>+landbouw!H12</f>
        <v>0</v>
      </c>
      <c r="J54" s="703">
        <f>+landbouw!I12</f>
        <v>0</v>
      </c>
      <c r="K54" s="703">
        <f>+landbouw!J12</f>
        <v>50.008533593802824</v>
      </c>
      <c r="L54" s="703">
        <f>+landbouw!K12</f>
        <v>0</v>
      </c>
      <c r="M54" s="703">
        <f>+landbouw!L12</f>
        <v>0</v>
      </c>
      <c r="N54" s="703">
        <f>+landbouw!M12</f>
        <v>0</v>
      </c>
      <c r="O54" s="703">
        <f>+landbouw!N12</f>
        <v>0</v>
      </c>
      <c r="P54" s="703">
        <f>+landbouw!O12</f>
        <v>0</v>
      </c>
      <c r="Q54" s="704">
        <f>+landbouw!P12</f>
        <v>0</v>
      </c>
      <c r="R54" s="731">
        <f ca="1">SUM(C54:Q54)</f>
        <v>9124.4129554436749</v>
      </c>
    </row>
    <row r="55" spans="1:18" ht="15" thickBot="1">
      <c r="A55" s="825" t="s">
        <v>836</v>
      </c>
      <c r="B55" s="835"/>
      <c r="C55" s="703">
        <f ca="1">C25*'EF ele_warmte'!B12</f>
        <v>205.11667666326264</v>
      </c>
      <c r="D55" s="703"/>
      <c r="E55" s="703">
        <f>E25*EF_CO2_aardgas</f>
        <v>401.17153326155534</v>
      </c>
      <c r="F55" s="703"/>
      <c r="G55" s="703"/>
      <c r="H55" s="703"/>
      <c r="I55" s="703"/>
      <c r="J55" s="703"/>
      <c r="K55" s="703"/>
      <c r="L55" s="703"/>
      <c r="M55" s="703"/>
      <c r="N55" s="703"/>
      <c r="O55" s="703"/>
      <c r="P55" s="703"/>
      <c r="Q55" s="704"/>
      <c r="R55" s="731">
        <f ca="1">SUM(C55:Q55)</f>
        <v>606.28820992481792</v>
      </c>
    </row>
    <row r="56" spans="1:18" ht="15.75" thickBot="1">
      <c r="A56" s="823" t="s">
        <v>837</v>
      </c>
      <c r="B56" s="836"/>
      <c r="C56" s="732">
        <f ca="1">SUM(C54:C55)</f>
        <v>415.3390379714636</v>
      </c>
      <c r="D56" s="732">
        <f t="shared" ref="D56:Q56" ca="1" si="7">SUM(D54:D55)</f>
        <v>7773.0957983193293</v>
      </c>
      <c r="E56" s="732">
        <f t="shared" si="7"/>
        <v>401.17153326155534</v>
      </c>
      <c r="F56" s="732">
        <f t="shared" si="7"/>
        <v>6.5059005108287948</v>
      </c>
      <c r="G56" s="732">
        <f t="shared" si="7"/>
        <v>1084.5803617115137</v>
      </c>
      <c r="H56" s="732">
        <f t="shared" si="7"/>
        <v>0</v>
      </c>
      <c r="I56" s="732">
        <f t="shared" si="7"/>
        <v>0</v>
      </c>
      <c r="J56" s="732">
        <f t="shared" si="7"/>
        <v>0</v>
      </c>
      <c r="K56" s="732">
        <f t="shared" si="7"/>
        <v>50.008533593802824</v>
      </c>
      <c r="L56" s="732">
        <f t="shared" si="7"/>
        <v>0</v>
      </c>
      <c r="M56" s="732">
        <f t="shared" si="7"/>
        <v>0</v>
      </c>
      <c r="N56" s="732">
        <f t="shared" si="7"/>
        <v>0</v>
      </c>
      <c r="O56" s="732">
        <f t="shared" si="7"/>
        <v>0</v>
      </c>
      <c r="P56" s="732">
        <f t="shared" si="7"/>
        <v>0</v>
      </c>
      <c r="Q56" s="733">
        <f t="shared" si="7"/>
        <v>0</v>
      </c>
      <c r="R56" s="734">
        <f ca="1">SUM(R54:R55)</f>
        <v>9730.7011653684931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7107.7245954176278</v>
      </c>
      <c r="D61" s="740">
        <f t="shared" ref="D61:Q61" ca="1" si="8">D46+D52+D56</f>
        <v>7773.0957983193293</v>
      </c>
      <c r="E61" s="740">
        <f t="shared" ca="1" si="8"/>
        <v>13640.153725963537</v>
      </c>
      <c r="F61" s="740">
        <f t="shared" si="8"/>
        <v>813.7117339326511</v>
      </c>
      <c r="G61" s="740">
        <f t="shared" ca="1" si="8"/>
        <v>4419.389678729206</v>
      </c>
      <c r="H61" s="740">
        <f t="shared" si="8"/>
        <v>8491.2662145669256</v>
      </c>
      <c r="I61" s="740">
        <f t="shared" si="8"/>
        <v>1865.1110458643725</v>
      </c>
      <c r="J61" s="740">
        <f t="shared" si="8"/>
        <v>0</v>
      </c>
      <c r="K61" s="740">
        <f t="shared" si="8"/>
        <v>50.595687335315802</v>
      </c>
      <c r="L61" s="740">
        <f t="shared" si="8"/>
        <v>0</v>
      </c>
      <c r="M61" s="740">
        <f t="shared" ca="1" si="8"/>
        <v>0</v>
      </c>
      <c r="N61" s="740">
        <f t="shared" si="8"/>
        <v>0</v>
      </c>
      <c r="O61" s="740">
        <f t="shared" ca="1" si="8"/>
        <v>0</v>
      </c>
      <c r="P61" s="740">
        <f t="shared" si="8"/>
        <v>0</v>
      </c>
      <c r="Q61" s="740">
        <f t="shared" si="8"/>
        <v>0</v>
      </c>
      <c r="R61" s="740">
        <f ca="1">R46+R52+R56</f>
        <v>44161.048480128971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0.21559667919312386</v>
      </c>
      <c r="D63" s="781">
        <f t="shared" ca="1" si="9"/>
        <v>0.23764705882352943</v>
      </c>
      <c r="E63" s="1024">
        <f t="shared" ca="1" si="9"/>
        <v>0.20200000000000004</v>
      </c>
      <c r="F63" s="781">
        <f t="shared" si="9"/>
        <v>0.22700000000000004</v>
      </c>
      <c r="G63" s="781">
        <f t="shared" ca="1" si="9"/>
        <v>0.26699999999999996</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2530.7061852071947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22896</v>
      </c>
      <c r="D76" s="1034">
        <f>'lokale energieproductie'!C8</f>
        <v>26936.470588235297</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5441.1670588235302</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2530.7061852071947</v>
      </c>
      <c r="C78" s="755">
        <f>SUM(C72:C77)</f>
        <v>22896</v>
      </c>
      <c r="D78" s="756">
        <f t="shared" ref="D78:H78" si="10">SUM(D76:D77)</f>
        <v>26936.470588235297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5441.1670588235302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32708.571428571431</v>
      </c>
      <c r="D87" s="777">
        <f>'lokale energieproductie'!C17</f>
        <v>38480.672268907569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7773.0957983193293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32708.571428571431</v>
      </c>
      <c r="D90" s="755">
        <f t="shared" ref="D90:H90" si="12">SUM(D87:D89)</f>
        <v>38480.672268907569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7773.0957983193293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2530.7061852071947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22896</v>
      </c>
      <c r="C8" s="570">
        <f>B101</f>
        <v>26936.470588235297</v>
      </c>
      <c r="D8" s="1044"/>
      <c r="E8" s="1044">
        <f>E101</f>
        <v>0</v>
      </c>
      <c r="F8" s="1045"/>
      <c r="G8" s="571"/>
      <c r="H8" s="1044">
        <f>I101</f>
        <v>0</v>
      </c>
      <c r="I8" s="1044">
        <f>G101+F101</f>
        <v>0</v>
      </c>
      <c r="J8" s="1044">
        <f>H101+D101+C101</f>
        <v>0</v>
      </c>
      <c r="K8" s="1044"/>
      <c r="L8" s="1044"/>
      <c r="M8" s="1044"/>
      <c r="N8" s="572"/>
      <c r="O8" s="573">
        <f>C8*$C$12+D8*$D$12+E8*$E$12+F8*$F$12+G8*$G$12+H8*$H$12+I8*$I$12+J8*$J$12</f>
        <v>5441.1670588235302</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25426.706185207193</v>
      </c>
      <c r="C10" s="583">
        <f t="shared" ref="C10:L10" si="0">SUM(C8:C9)</f>
        <v>26936.470588235297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5441.1670588235302</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32708.571428571431</v>
      </c>
      <c r="C17" s="595">
        <f>B102</f>
        <v>38480.672268907569</v>
      </c>
      <c r="D17" s="596"/>
      <c r="E17" s="596">
        <f>E102</f>
        <v>0</v>
      </c>
      <c r="F17" s="1050"/>
      <c r="G17" s="597"/>
      <c r="H17" s="595">
        <f>I102</f>
        <v>0</v>
      </c>
      <c r="I17" s="596">
        <f>G102+F102</f>
        <v>0</v>
      </c>
      <c r="J17" s="596">
        <f>H102+D102+C102</f>
        <v>0</v>
      </c>
      <c r="K17" s="596"/>
      <c r="L17" s="596"/>
      <c r="M17" s="596"/>
      <c r="N17" s="1051"/>
      <c r="O17" s="598">
        <f>C17*$C$22+E17*$E$22+H17*$H$22+I17*$I$22+J17*$J$22+D17*$D$22+F17*$F$22+G17*$G$22+K17*$K$22+L17*$L$22</f>
        <v>7773.0957983193293</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32708.571428571431</v>
      </c>
      <c r="C20" s="582">
        <f>SUM(C17:C19)</f>
        <v>38480.672268907569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7773.0957983193293</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12002</v>
      </c>
      <c r="C28" s="796">
        <v>2590</v>
      </c>
      <c r="D28" s="653" t="s">
        <v>881</v>
      </c>
      <c r="E28" s="652" t="s">
        <v>882</v>
      </c>
      <c r="F28" s="652" t="s">
        <v>883</v>
      </c>
      <c r="G28" s="652" t="s">
        <v>884</v>
      </c>
      <c r="H28" s="652" t="s">
        <v>885</v>
      </c>
      <c r="I28" s="652" t="s">
        <v>882</v>
      </c>
      <c r="J28" s="795">
        <v>39370</v>
      </c>
      <c r="K28" s="795">
        <v>39444</v>
      </c>
      <c r="L28" s="652" t="s">
        <v>886</v>
      </c>
      <c r="M28" s="652">
        <v>1532</v>
      </c>
      <c r="N28" s="652">
        <v>6894</v>
      </c>
      <c r="O28" s="652">
        <v>9848.5714285714294</v>
      </c>
      <c r="P28" s="652">
        <v>19697.142857142859</v>
      </c>
      <c r="Q28" s="652">
        <v>0</v>
      </c>
      <c r="R28" s="652">
        <v>0</v>
      </c>
      <c r="S28" s="652">
        <v>0</v>
      </c>
      <c r="T28" s="652">
        <v>0</v>
      </c>
      <c r="U28" s="652">
        <v>0</v>
      </c>
      <c r="V28" s="652">
        <v>0</v>
      </c>
      <c r="W28" s="652">
        <v>0</v>
      </c>
      <c r="X28" s="652">
        <v>10</v>
      </c>
      <c r="Y28" s="652" t="s">
        <v>112</v>
      </c>
      <c r="Z28" s="654" t="s">
        <v>112</v>
      </c>
    </row>
    <row r="29" spans="1:26" s="606" customFormat="1" ht="25.5">
      <c r="A29" s="605"/>
      <c r="B29" s="796">
        <v>12002</v>
      </c>
      <c r="C29" s="796">
        <v>2590</v>
      </c>
      <c r="D29" s="653" t="s">
        <v>887</v>
      </c>
      <c r="E29" s="652" t="s">
        <v>888</v>
      </c>
      <c r="F29" s="652" t="s">
        <v>889</v>
      </c>
      <c r="G29" s="652" t="s">
        <v>884</v>
      </c>
      <c r="H29" s="652" t="s">
        <v>885</v>
      </c>
      <c r="I29" s="652" t="s">
        <v>888</v>
      </c>
      <c r="J29" s="795">
        <v>39736</v>
      </c>
      <c r="K29" s="795">
        <v>39772</v>
      </c>
      <c r="L29" s="652" t="s">
        <v>886</v>
      </c>
      <c r="M29" s="652">
        <v>1558</v>
      </c>
      <c r="N29" s="652">
        <v>7011</v>
      </c>
      <c r="O29" s="652">
        <v>10015.714285714286</v>
      </c>
      <c r="P29" s="652">
        <v>20031.428571428572</v>
      </c>
      <c r="Q29" s="652">
        <v>0</v>
      </c>
      <c r="R29" s="652">
        <v>0</v>
      </c>
      <c r="S29" s="652">
        <v>0</v>
      </c>
      <c r="T29" s="652">
        <v>0</v>
      </c>
      <c r="U29" s="652">
        <v>0</v>
      </c>
      <c r="V29" s="652">
        <v>0</v>
      </c>
      <c r="W29" s="652">
        <v>0</v>
      </c>
      <c r="X29" s="652">
        <v>10</v>
      </c>
      <c r="Y29" s="652" t="s">
        <v>112</v>
      </c>
      <c r="Z29" s="654" t="s">
        <v>112</v>
      </c>
    </row>
    <row r="30" spans="1:26" s="606" customFormat="1" ht="25.5">
      <c r="A30" s="605"/>
      <c r="B30" s="796">
        <v>12002</v>
      </c>
      <c r="C30" s="796">
        <v>2590</v>
      </c>
      <c r="D30" s="653" t="s">
        <v>890</v>
      </c>
      <c r="E30" s="652" t="s">
        <v>891</v>
      </c>
      <c r="F30" s="652" t="s">
        <v>892</v>
      </c>
      <c r="G30" s="652" t="s">
        <v>884</v>
      </c>
      <c r="H30" s="652" t="s">
        <v>885</v>
      </c>
      <c r="I30" s="652" t="s">
        <v>891</v>
      </c>
      <c r="J30" s="795">
        <v>40294</v>
      </c>
      <c r="K30" s="795">
        <v>40347</v>
      </c>
      <c r="L30" s="652" t="s">
        <v>886</v>
      </c>
      <c r="M30" s="652">
        <v>1998</v>
      </c>
      <c r="N30" s="652">
        <v>8991</v>
      </c>
      <c r="O30" s="652">
        <v>12844.285714285714</v>
      </c>
      <c r="P30" s="652">
        <v>25688.571428571431</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5088</v>
      </c>
      <c r="N58" s="610">
        <f>SUM(N28:N57)</f>
        <v>22896</v>
      </c>
      <c r="O58" s="610">
        <f t="shared" ref="O58:W58" si="2">SUM(O28:O57)</f>
        <v>32708.571428571431</v>
      </c>
      <c r="P58" s="610">
        <f t="shared" si="2"/>
        <v>65417.14285714287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5088</v>
      </c>
      <c r="N61" s="615">
        <f t="shared" si="4"/>
        <v>22896</v>
      </c>
      <c r="O61" s="615">
        <f t="shared" si="4"/>
        <v>32708.571428571431</v>
      </c>
      <c r="P61" s="615">
        <f t="shared" si="4"/>
        <v>65417.14285714287</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26936.470588235297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38480.672268907569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18221.713888326267</v>
      </c>
      <c r="C4" s="477">
        <f>huishoudens!C8</f>
        <v>0</v>
      </c>
      <c r="D4" s="477">
        <f>huishoudens!D8</f>
        <v>51620.301099542179</v>
      </c>
      <c r="E4" s="477">
        <f>huishoudens!E8</f>
        <v>2955.4307948846395</v>
      </c>
      <c r="F4" s="477">
        <f>huishoudens!F8</f>
        <v>9589.0213720092779</v>
      </c>
      <c r="G4" s="477">
        <f>huishoudens!G8</f>
        <v>0</v>
      </c>
      <c r="H4" s="477">
        <f>huishoudens!H8</f>
        <v>0</v>
      </c>
      <c r="I4" s="477">
        <f>huishoudens!I8</f>
        <v>0</v>
      </c>
      <c r="J4" s="477">
        <f>huishoudens!J8</f>
        <v>0</v>
      </c>
      <c r="K4" s="477">
        <f>huishoudens!K8</f>
        <v>0</v>
      </c>
      <c r="L4" s="477">
        <f>huishoudens!L8</f>
        <v>0</v>
      </c>
      <c r="M4" s="477">
        <f>huishoudens!M8</f>
        <v>0</v>
      </c>
      <c r="N4" s="477">
        <f>huishoudens!N8</f>
        <v>11879.733194787836</v>
      </c>
      <c r="O4" s="477">
        <f>huishoudens!O8</f>
        <v>175.09333333333336</v>
      </c>
      <c r="P4" s="478">
        <f>huishoudens!P8</f>
        <v>629.20000000000005</v>
      </c>
      <c r="Q4" s="479">
        <f>SUM(B4:P4)</f>
        <v>95070.493682883534</v>
      </c>
    </row>
    <row r="5" spans="1:17">
      <c r="A5" s="476" t="s">
        <v>156</v>
      </c>
      <c r="B5" s="477">
        <f ca="1">tertiair!B16</f>
        <v>10273.58367323795</v>
      </c>
      <c r="C5" s="477">
        <f ca="1">tertiair!C16</f>
        <v>0</v>
      </c>
      <c r="D5" s="477">
        <f ca="1">tertiair!D16</f>
        <v>11829.59557806665</v>
      </c>
      <c r="E5" s="477">
        <f>tertiair!E16</f>
        <v>162.09781565741415</v>
      </c>
      <c r="F5" s="477">
        <f ca="1">tertiair!F16</f>
        <v>1899.7096437697121</v>
      </c>
      <c r="G5" s="477">
        <f>tertiair!G16</f>
        <v>0</v>
      </c>
      <c r="H5" s="477">
        <f>tertiair!H16</f>
        <v>0</v>
      </c>
      <c r="I5" s="477">
        <f>tertiair!I16</f>
        <v>0</v>
      </c>
      <c r="J5" s="477">
        <f>tertiair!J16</f>
        <v>4.1707856217868301E-2</v>
      </c>
      <c r="K5" s="477">
        <f>tertiair!K16</f>
        <v>0</v>
      </c>
      <c r="L5" s="477">
        <f ca="1">tertiair!L16</f>
        <v>0</v>
      </c>
      <c r="M5" s="477">
        <f>tertiair!M16</f>
        <v>0</v>
      </c>
      <c r="N5" s="477">
        <f ca="1">tertiair!N16</f>
        <v>1648.0803925386801</v>
      </c>
      <c r="O5" s="477">
        <f>tertiair!O16</f>
        <v>0</v>
      </c>
      <c r="P5" s="478">
        <f>tertiair!P16</f>
        <v>0</v>
      </c>
      <c r="Q5" s="476">
        <f t="shared" ref="Q5:Q14" ca="1" si="0">SUM(B5:P5)</f>
        <v>25813.108811126622</v>
      </c>
    </row>
    <row r="6" spans="1:17">
      <c r="A6" s="476" t="s">
        <v>194</v>
      </c>
      <c r="B6" s="477">
        <f>'openbare verlichting'!B8</f>
        <v>633.34199999999998</v>
      </c>
      <c r="C6" s="477"/>
      <c r="D6" s="477"/>
      <c r="E6" s="477"/>
      <c r="F6" s="477"/>
      <c r="G6" s="477"/>
      <c r="H6" s="477"/>
      <c r="I6" s="477"/>
      <c r="J6" s="477"/>
      <c r="K6" s="477"/>
      <c r="L6" s="477"/>
      <c r="M6" s="477"/>
      <c r="N6" s="477"/>
      <c r="O6" s="477"/>
      <c r="P6" s="478"/>
      <c r="Q6" s="476">
        <f t="shared" si="0"/>
        <v>633.34199999999998</v>
      </c>
    </row>
    <row r="7" spans="1:17">
      <c r="A7" s="476" t="s">
        <v>112</v>
      </c>
      <c r="B7" s="477">
        <f>landbouw!B8</f>
        <v>975.07235313161402</v>
      </c>
      <c r="C7" s="477">
        <f>landbouw!C8</f>
        <v>32708.571428571431</v>
      </c>
      <c r="D7" s="477">
        <f>landbouw!D8</f>
        <v>0</v>
      </c>
      <c r="E7" s="477">
        <f>landbouw!E8</f>
        <v>28.660354673254602</v>
      </c>
      <c r="F7" s="477">
        <f>landbouw!F8</f>
        <v>4062.0987330019234</v>
      </c>
      <c r="G7" s="477">
        <f>landbouw!G8</f>
        <v>0</v>
      </c>
      <c r="H7" s="477">
        <f>landbouw!H8</f>
        <v>0</v>
      </c>
      <c r="I7" s="477">
        <f>landbouw!I8</f>
        <v>0</v>
      </c>
      <c r="J7" s="477">
        <f>landbouw!J8</f>
        <v>141.26704405029048</v>
      </c>
      <c r="K7" s="477">
        <f>landbouw!K8</f>
        <v>0</v>
      </c>
      <c r="L7" s="477">
        <f>landbouw!L8</f>
        <v>0</v>
      </c>
      <c r="M7" s="477">
        <f>landbouw!M8</f>
        <v>0</v>
      </c>
      <c r="N7" s="477">
        <f>landbouw!N8</f>
        <v>0</v>
      </c>
      <c r="O7" s="477">
        <f>landbouw!O8</f>
        <v>0</v>
      </c>
      <c r="P7" s="478">
        <f>landbouw!P8</f>
        <v>0</v>
      </c>
      <c r="Q7" s="476">
        <f t="shared" si="0"/>
        <v>37915.669913428508</v>
      </c>
    </row>
    <row r="8" spans="1:17">
      <c r="A8" s="476" t="s">
        <v>635</v>
      </c>
      <c r="B8" s="477">
        <f>industrie!B18</f>
        <v>1892.4360336600139</v>
      </c>
      <c r="C8" s="477">
        <f>industrie!C18</f>
        <v>0</v>
      </c>
      <c r="D8" s="477">
        <f>industrie!D18</f>
        <v>2023.414221664767</v>
      </c>
      <c r="E8" s="477">
        <f>industrie!E18</f>
        <v>349.32773573158238</v>
      </c>
      <c r="F8" s="477">
        <f>industrie!F18</f>
        <v>1001.1915198677974</v>
      </c>
      <c r="G8" s="477">
        <f>industrie!G18</f>
        <v>0</v>
      </c>
      <c r="H8" s="477">
        <f>industrie!H18</f>
        <v>0</v>
      </c>
      <c r="I8" s="477">
        <f>industrie!I18</f>
        <v>0</v>
      </c>
      <c r="J8" s="477">
        <f>industrie!J18</f>
        <v>1.6169185322368684</v>
      </c>
      <c r="K8" s="477">
        <f>industrie!K18</f>
        <v>0</v>
      </c>
      <c r="L8" s="477">
        <f>industrie!L18</f>
        <v>0</v>
      </c>
      <c r="M8" s="477">
        <f>industrie!M18</f>
        <v>0</v>
      </c>
      <c r="N8" s="477">
        <f>industrie!N18</f>
        <v>486.4980990245374</v>
      </c>
      <c r="O8" s="477">
        <f>industrie!O18</f>
        <v>0</v>
      </c>
      <c r="P8" s="478">
        <f>industrie!P18</f>
        <v>0</v>
      </c>
      <c r="Q8" s="476">
        <f t="shared" si="0"/>
        <v>5754.4845284809353</v>
      </c>
    </row>
    <row r="9" spans="1:17" s="482" customFormat="1">
      <c r="A9" s="480" t="s">
        <v>561</v>
      </c>
      <c r="B9" s="481">
        <f>transport!B14</f>
        <v>20.151860099245948</v>
      </c>
      <c r="C9" s="481">
        <f>transport!C14</f>
        <v>0</v>
      </c>
      <c r="D9" s="481">
        <f>transport!D14</f>
        <v>66.20490618175792</v>
      </c>
      <c r="E9" s="481">
        <f>transport!E14</f>
        <v>89.116488183730453</v>
      </c>
      <c r="F9" s="481">
        <f>transport!F14</f>
        <v>0</v>
      </c>
      <c r="G9" s="481">
        <f>transport!G14</f>
        <v>31335.78418002636</v>
      </c>
      <c r="H9" s="481">
        <f>transport!H14</f>
        <v>7490.4058066842272</v>
      </c>
      <c r="I9" s="481">
        <f>transport!I14</f>
        <v>0</v>
      </c>
      <c r="J9" s="481">
        <f>transport!J14</f>
        <v>0</v>
      </c>
      <c r="K9" s="481">
        <f>transport!K14</f>
        <v>0</v>
      </c>
      <c r="L9" s="481">
        <f>transport!L14</f>
        <v>0</v>
      </c>
      <c r="M9" s="481">
        <f>transport!M14</f>
        <v>2051.7686696525079</v>
      </c>
      <c r="N9" s="481">
        <f>transport!N14</f>
        <v>0</v>
      </c>
      <c r="O9" s="481">
        <f>transport!O14</f>
        <v>0</v>
      </c>
      <c r="P9" s="481">
        <f>transport!P14</f>
        <v>0</v>
      </c>
      <c r="Q9" s="480">
        <f>SUM(B9:P9)</f>
        <v>41053.431910827829</v>
      </c>
    </row>
    <row r="10" spans="1:17">
      <c r="A10" s="476" t="s">
        <v>551</v>
      </c>
      <c r="B10" s="477">
        <f>transport!B54</f>
        <v>0</v>
      </c>
      <c r="C10" s="477">
        <f>transport!C54</f>
        <v>0</v>
      </c>
      <c r="D10" s="477">
        <f>transport!D54</f>
        <v>0</v>
      </c>
      <c r="E10" s="477">
        <f>transport!E54</f>
        <v>0</v>
      </c>
      <c r="F10" s="477">
        <f>transport!F54</f>
        <v>0</v>
      </c>
      <c r="G10" s="477">
        <f>transport!G54</f>
        <v>466.7110056175494</v>
      </c>
      <c r="H10" s="477">
        <f>transport!H54</f>
        <v>0</v>
      </c>
      <c r="I10" s="477">
        <f>transport!I54</f>
        <v>0</v>
      </c>
      <c r="J10" s="477">
        <f>transport!J54</f>
        <v>0</v>
      </c>
      <c r="K10" s="477">
        <f>transport!K54</f>
        <v>0</v>
      </c>
      <c r="L10" s="477">
        <f>transport!L54</f>
        <v>0</v>
      </c>
      <c r="M10" s="477">
        <f>transport!M54</f>
        <v>26.507124787692984</v>
      </c>
      <c r="N10" s="477">
        <f>transport!N54</f>
        <v>0</v>
      </c>
      <c r="O10" s="477">
        <f>transport!O54</f>
        <v>0</v>
      </c>
      <c r="P10" s="478">
        <f>transport!P54</f>
        <v>0</v>
      </c>
      <c r="Q10" s="476">
        <f t="shared" si="0"/>
        <v>493.21813040524239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951.39070523218209</v>
      </c>
      <c r="C14" s="484"/>
      <c r="D14" s="484">
        <f>'SEAP template'!E25</f>
        <v>1985.99768941364</v>
      </c>
      <c r="E14" s="484"/>
      <c r="F14" s="484"/>
      <c r="G14" s="484"/>
      <c r="H14" s="484"/>
      <c r="I14" s="484"/>
      <c r="J14" s="484"/>
      <c r="K14" s="484"/>
      <c r="L14" s="484"/>
      <c r="M14" s="484"/>
      <c r="N14" s="484"/>
      <c r="O14" s="484"/>
      <c r="P14" s="485"/>
      <c r="Q14" s="476">
        <f t="shared" si="0"/>
        <v>2937.3883946458222</v>
      </c>
    </row>
    <row r="15" spans="1:17" s="486" customFormat="1">
      <c r="A15" s="1039" t="s">
        <v>555</v>
      </c>
      <c r="B15" s="987">
        <f ca="1">SUM(B4:B14)</f>
        <v>32967.690513687274</v>
      </c>
      <c r="C15" s="987">
        <f t="shared" ref="C15:Q15" ca="1" si="1">SUM(C4:C14)</f>
        <v>32708.571428571431</v>
      </c>
      <c r="D15" s="987">
        <f t="shared" ca="1" si="1"/>
        <v>67525.513494868981</v>
      </c>
      <c r="E15" s="987">
        <f t="shared" si="1"/>
        <v>3584.6331891306208</v>
      </c>
      <c r="F15" s="987">
        <f t="shared" ca="1" si="1"/>
        <v>16552.02126864871</v>
      </c>
      <c r="G15" s="987">
        <f t="shared" si="1"/>
        <v>31802.495185643907</v>
      </c>
      <c r="H15" s="987">
        <f t="shared" si="1"/>
        <v>7490.4058066842272</v>
      </c>
      <c r="I15" s="987">
        <f t="shared" si="1"/>
        <v>0</v>
      </c>
      <c r="J15" s="987">
        <f t="shared" si="1"/>
        <v>142.92567043874521</v>
      </c>
      <c r="K15" s="987">
        <f t="shared" si="1"/>
        <v>0</v>
      </c>
      <c r="L15" s="987">
        <f t="shared" ca="1" si="1"/>
        <v>0</v>
      </c>
      <c r="M15" s="987">
        <f t="shared" si="1"/>
        <v>2078.275794440201</v>
      </c>
      <c r="N15" s="987">
        <f t="shared" ca="1" si="1"/>
        <v>14014.311686351053</v>
      </c>
      <c r="O15" s="987">
        <f t="shared" si="1"/>
        <v>175.09333333333336</v>
      </c>
      <c r="P15" s="987">
        <f t="shared" si="1"/>
        <v>629.20000000000005</v>
      </c>
      <c r="Q15" s="987">
        <f t="shared" ca="1" si="1"/>
        <v>209671.13737179851</v>
      </c>
    </row>
    <row r="17" spans="1:17">
      <c r="A17" s="487" t="s">
        <v>556</v>
      </c>
      <c r="B17" s="786">
        <f ca="1">huishoudens!B10</f>
        <v>0.21559667919312386</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3928.541003530368</v>
      </c>
      <c r="C22" s="477">
        <f t="shared" ref="C22:C32" ca="1" si="3">C4*$C$17</f>
        <v>0</v>
      </c>
      <c r="D22" s="477">
        <f t="shared" ref="D22:D32" si="4">D4*$D$17</f>
        <v>10427.300822107522</v>
      </c>
      <c r="E22" s="477">
        <f t="shared" ref="E22:E32" si="5">E4*$E$17</f>
        <v>670.88279043881323</v>
      </c>
      <c r="F22" s="477">
        <f t="shared" ref="F22:F32" si="6">F4*$F$17</f>
        <v>2560.2687063264775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17586.993322403181</v>
      </c>
    </row>
    <row r="23" spans="1:17">
      <c r="A23" s="476" t="s">
        <v>156</v>
      </c>
      <c r="B23" s="477">
        <f t="shared" ca="1" si="2"/>
        <v>2214.9505233627974</v>
      </c>
      <c r="C23" s="477">
        <f t="shared" ca="1" si="3"/>
        <v>0</v>
      </c>
      <c r="D23" s="477">
        <f t="shared" ca="1" si="4"/>
        <v>2389.5783067694633</v>
      </c>
      <c r="E23" s="477">
        <f t="shared" si="5"/>
        <v>36.79620415423301</v>
      </c>
      <c r="F23" s="477">
        <f t="shared" ca="1" si="6"/>
        <v>507.22247488651317</v>
      </c>
      <c r="G23" s="477">
        <f t="shared" si="7"/>
        <v>0</v>
      </c>
      <c r="H23" s="477">
        <f t="shared" si="8"/>
        <v>0</v>
      </c>
      <c r="I23" s="477">
        <f t="shared" si="9"/>
        <v>0</v>
      </c>
      <c r="J23" s="477">
        <f t="shared" si="10"/>
        <v>1.4764581101125378E-2</v>
      </c>
      <c r="K23" s="477">
        <f t="shared" si="11"/>
        <v>0</v>
      </c>
      <c r="L23" s="477">
        <f t="shared" ca="1" si="12"/>
        <v>0</v>
      </c>
      <c r="M23" s="477">
        <f t="shared" si="13"/>
        <v>0</v>
      </c>
      <c r="N23" s="477">
        <f t="shared" ca="1" si="14"/>
        <v>0</v>
      </c>
      <c r="O23" s="477">
        <f t="shared" si="15"/>
        <v>0</v>
      </c>
      <c r="P23" s="478">
        <f t="shared" si="16"/>
        <v>0</v>
      </c>
      <c r="Q23" s="476">
        <f t="shared" ref="Q23:Q32" ca="1" si="17">SUM(B23:P23)</f>
        <v>5148.562273754108</v>
      </c>
    </row>
    <row r="24" spans="1:17">
      <c r="A24" s="476" t="s">
        <v>194</v>
      </c>
      <c r="B24" s="477">
        <f t="shared" ca="1" si="2"/>
        <v>136.54643199353146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136.54643199353146</v>
      </c>
    </row>
    <row r="25" spans="1:17">
      <c r="A25" s="476" t="s">
        <v>112</v>
      </c>
      <c r="B25" s="477">
        <f t="shared" ca="1" si="2"/>
        <v>210.22236130820096</v>
      </c>
      <c r="C25" s="477">
        <f t="shared" ca="1" si="3"/>
        <v>7773.0957983193293</v>
      </c>
      <c r="D25" s="477">
        <f t="shared" si="4"/>
        <v>0</v>
      </c>
      <c r="E25" s="477">
        <f t="shared" si="5"/>
        <v>6.5059005108287948</v>
      </c>
      <c r="F25" s="477">
        <f t="shared" si="6"/>
        <v>1084.5803617115137</v>
      </c>
      <c r="G25" s="477">
        <f t="shared" si="7"/>
        <v>0</v>
      </c>
      <c r="H25" s="477">
        <f t="shared" si="8"/>
        <v>0</v>
      </c>
      <c r="I25" s="477">
        <f t="shared" si="9"/>
        <v>0</v>
      </c>
      <c r="J25" s="477">
        <f t="shared" si="10"/>
        <v>50.008533593802824</v>
      </c>
      <c r="K25" s="477">
        <f t="shared" si="11"/>
        <v>0</v>
      </c>
      <c r="L25" s="477">
        <f t="shared" si="12"/>
        <v>0</v>
      </c>
      <c r="M25" s="477">
        <f t="shared" si="13"/>
        <v>0</v>
      </c>
      <c r="N25" s="477">
        <f t="shared" si="14"/>
        <v>0</v>
      </c>
      <c r="O25" s="477">
        <f t="shared" si="15"/>
        <v>0</v>
      </c>
      <c r="P25" s="478">
        <f t="shared" si="16"/>
        <v>0</v>
      </c>
      <c r="Q25" s="476">
        <f t="shared" ca="1" si="17"/>
        <v>9124.4129554436749</v>
      </c>
    </row>
    <row r="26" spans="1:17">
      <c r="A26" s="476" t="s">
        <v>635</v>
      </c>
      <c r="B26" s="477">
        <f t="shared" ca="1" si="2"/>
        <v>408.00292444250579</v>
      </c>
      <c r="C26" s="477">
        <f t="shared" ca="1" si="3"/>
        <v>0</v>
      </c>
      <c r="D26" s="477">
        <f t="shared" si="4"/>
        <v>408.72967277628294</v>
      </c>
      <c r="E26" s="477">
        <f t="shared" si="5"/>
        <v>79.297396011069196</v>
      </c>
      <c r="F26" s="477">
        <f t="shared" si="6"/>
        <v>267.31813580470191</v>
      </c>
      <c r="G26" s="477">
        <f t="shared" si="7"/>
        <v>0</v>
      </c>
      <c r="H26" s="477">
        <f t="shared" si="8"/>
        <v>0</v>
      </c>
      <c r="I26" s="477">
        <f t="shared" si="9"/>
        <v>0</v>
      </c>
      <c r="J26" s="477">
        <f t="shared" si="10"/>
        <v>0.57238916041185139</v>
      </c>
      <c r="K26" s="477">
        <f t="shared" si="11"/>
        <v>0</v>
      </c>
      <c r="L26" s="477">
        <f t="shared" si="12"/>
        <v>0</v>
      </c>
      <c r="M26" s="477">
        <f t="shared" si="13"/>
        <v>0</v>
      </c>
      <c r="N26" s="477">
        <f t="shared" si="14"/>
        <v>0</v>
      </c>
      <c r="O26" s="477">
        <f t="shared" si="15"/>
        <v>0</v>
      </c>
      <c r="P26" s="478">
        <f t="shared" si="16"/>
        <v>0</v>
      </c>
      <c r="Q26" s="476">
        <f t="shared" ca="1" si="17"/>
        <v>1163.9205181949717</v>
      </c>
    </row>
    <row r="27" spans="1:17" s="482" customFormat="1">
      <c r="A27" s="480" t="s">
        <v>561</v>
      </c>
      <c r="B27" s="780">
        <f t="shared" ca="1" si="2"/>
        <v>4.3446741169618415</v>
      </c>
      <c r="C27" s="481">
        <f t="shared" ca="1" si="3"/>
        <v>0</v>
      </c>
      <c r="D27" s="481">
        <f t="shared" si="4"/>
        <v>13.373391048715101</v>
      </c>
      <c r="E27" s="481">
        <f t="shared" si="5"/>
        <v>20.229442817706815</v>
      </c>
      <c r="F27" s="481">
        <f t="shared" si="6"/>
        <v>0</v>
      </c>
      <c r="G27" s="481">
        <f t="shared" si="7"/>
        <v>8366.6543760670393</v>
      </c>
      <c r="H27" s="481">
        <f t="shared" si="8"/>
        <v>1865.1110458643725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10269.712929914796</v>
      </c>
    </row>
    <row r="28" spans="1:17">
      <c r="A28" s="476" t="s">
        <v>551</v>
      </c>
      <c r="B28" s="477">
        <f t="shared" ca="1" si="2"/>
        <v>0</v>
      </c>
      <c r="C28" s="477">
        <f t="shared" ca="1" si="3"/>
        <v>0</v>
      </c>
      <c r="D28" s="477">
        <f t="shared" si="4"/>
        <v>0</v>
      </c>
      <c r="E28" s="477">
        <f t="shared" si="5"/>
        <v>0</v>
      </c>
      <c r="F28" s="477">
        <f t="shared" si="6"/>
        <v>0</v>
      </c>
      <c r="G28" s="477">
        <f t="shared" si="7"/>
        <v>124.61183849988569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124.61183849988569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205.11667666326264</v>
      </c>
      <c r="C32" s="477">
        <f t="shared" ca="1" si="3"/>
        <v>0</v>
      </c>
      <c r="D32" s="477">
        <f t="shared" si="4"/>
        <v>401.17153326155534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606.28820992481792</v>
      </c>
    </row>
    <row r="33" spans="1:17" s="486" customFormat="1">
      <c r="A33" s="1039" t="s">
        <v>555</v>
      </c>
      <c r="B33" s="987">
        <f ca="1">SUM(B22:B32)</f>
        <v>7107.7245954176278</v>
      </c>
      <c r="C33" s="987">
        <f t="shared" ref="C33:Q33" ca="1" si="18">SUM(C22:C32)</f>
        <v>7773.0957983193293</v>
      </c>
      <c r="D33" s="987">
        <f t="shared" ca="1" si="18"/>
        <v>13640.153725963537</v>
      </c>
      <c r="E33" s="987">
        <f t="shared" si="18"/>
        <v>813.7117339326511</v>
      </c>
      <c r="F33" s="987">
        <f t="shared" ca="1" si="18"/>
        <v>4419.3896787292069</v>
      </c>
      <c r="G33" s="987">
        <f t="shared" si="18"/>
        <v>8491.2662145669256</v>
      </c>
      <c r="H33" s="987">
        <f t="shared" si="18"/>
        <v>1865.1110458643725</v>
      </c>
      <c r="I33" s="987">
        <f t="shared" si="18"/>
        <v>0</v>
      </c>
      <c r="J33" s="987">
        <f t="shared" si="18"/>
        <v>50.595687335315802</v>
      </c>
      <c r="K33" s="987">
        <f t="shared" si="18"/>
        <v>0</v>
      </c>
      <c r="L33" s="987">
        <f t="shared" ca="1" si="18"/>
        <v>0</v>
      </c>
      <c r="M33" s="987">
        <f t="shared" si="18"/>
        <v>0</v>
      </c>
      <c r="N33" s="987">
        <f t="shared" ca="1" si="18"/>
        <v>0</v>
      </c>
      <c r="O33" s="987">
        <f t="shared" si="18"/>
        <v>0</v>
      </c>
      <c r="P33" s="987">
        <f t="shared" si="18"/>
        <v>0</v>
      </c>
      <c r="Q33" s="987">
        <f t="shared" ca="1" si="18"/>
        <v>44161.048480128964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2530.7061852071947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22896</v>
      </c>
      <c r="D8" s="1056">
        <f>'SEAP template'!D76</f>
        <v>26936.470588235297</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5441.1670588235302</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2530.7061852071947</v>
      </c>
      <c r="C10" s="1060">
        <f>SUM(C4:C9)</f>
        <v>22896</v>
      </c>
      <c r="D10" s="1060">
        <f t="shared" ref="D10:H10" si="0">SUM(D8:D9)</f>
        <v>26936.470588235297</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5441.1670588235302</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0.21559667919312386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32708.571428571431</v>
      </c>
      <c r="D17" s="1057">
        <f>'SEAP template'!D87</f>
        <v>38480.672268907569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7773.0957983193293</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32708.571428571431</v>
      </c>
      <c r="D20" s="1060">
        <f t="shared" ref="D20:H20" si="2">SUM(D17:D19)</f>
        <v>38480.672268907569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7773.0957983193293</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0.21559667919312386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2019-08-12T08:31:29Z</dcterms:modified>
</cp:coreProperties>
</file>