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Q14" i="48" l="1"/>
  <c r="K18" i="61"/>
  <c r="K90" i="14"/>
  <c r="K78"/>
  <c r="K8" i="61"/>
  <c r="K10" s="1"/>
  <c r="L90" i="14"/>
  <c r="L18" i="61"/>
  <c r="N20"/>
  <c r="N77" i="14"/>
  <c r="M77"/>
  <c r="M9" i="61" s="1"/>
  <c r="G10"/>
  <c r="L20"/>
  <c r="J22" i="14"/>
  <c r="B20" i="18"/>
  <c r="O22" i="14"/>
  <c r="G77"/>
  <c r="G9" i="61" s="1"/>
  <c r="O10"/>
  <c r="G20"/>
  <c r="K20"/>
  <c r="Q11" i="48"/>
  <c r="O25"/>
  <c r="B98" i="18"/>
  <c r="H102" s="1"/>
  <c r="L78" i="14"/>
  <c r="L8" i="61"/>
  <c r="L10" s="1"/>
  <c r="E90" i="14"/>
  <c r="E18" i="61"/>
  <c r="E20" s="1"/>
  <c r="B10" i="18"/>
  <c r="H9"/>
  <c r="O9" s="1"/>
  <c r="P31" i="48"/>
  <c r="P22" i="14"/>
  <c r="F13" i="15"/>
  <c r="H20" i="61"/>
  <c r="P25" i="48"/>
  <c r="I77" i="14"/>
  <c r="I9" i="61" s="1"/>
  <c r="L13" i="15"/>
  <c r="B13"/>
  <c r="H90" i="14"/>
  <c r="N13" i="15"/>
  <c r="F77" i="14"/>
  <c r="F9" i="61" s="1"/>
  <c r="I101" i="18"/>
  <c r="H8" s="1"/>
  <c r="E101"/>
  <c r="E8" s="1"/>
  <c r="G101"/>
  <c r="I8" s="1"/>
  <c r="F101"/>
  <c r="H101"/>
  <c r="D101"/>
  <c r="C101"/>
  <c r="B101"/>
  <c r="C8" s="1"/>
  <c r="C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I102" i="18"/>
  <c r="H17" s="1"/>
  <c r="E102"/>
  <c r="E17" s="1"/>
  <c r="E20" s="1"/>
  <c r="H78" i="14"/>
  <c r="H9" i="61"/>
  <c r="H10" s="1"/>
  <c r="B102" i="18"/>
  <c r="C17" s="1"/>
  <c r="B88" i="14"/>
  <c r="B18" i="61" s="1"/>
  <c r="B77" i="14"/>
  <c r="B9" i="61" s="1"/>
  <c r="Q77" i="14"/>
  <c r="P9" i="61" s="1"/>
  <c r="J17" i="18"/>
  <c r="H20"/>
  <c r="M87" i="14"/>
  <c r="J8" i="18"/>
  <c r="O8" s="1"/>
  <c r="O10" s="1"/>
  <c r="M76" i="14"/>
  <c r="H10" i="18"/>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30"/>
  <c r="N24"/>
  <c r="N31"/>
  <c r="N32"/>
  <c r="N28"/>
  <c r="N27"/>
  <c r="N29"/>
  <c r="B10"/>
  <c r="C19" i="14"/>
  <c r="D30" i="48"/>
  <c r="D28"/>
  <c r="D24"/>
  <c r="D29"/>
  <c r="D31"/>
  <c r="D32"/>
  <c r="L29"/>
  <c r="L32"/>
  <c r="L24"/>
  <c r="L22"/>
  <c r="L27"/>
  <c r="L31"/>
  <c r="L30"/>
  <c r="L28"/>
  <c r="Q10" i="14"/>
  <c r="P5" i="48"/>
  <c r="P23" s="1"/>
  <c r="K32"/>
  <c r="K24"/>
  <c r="K29"/>
  <c r="K27"/>
  <c r="K28"/>
  <c r="K30"/>
  <c r="K22"/>
  <c r="K26"/>
  <c r="K25"/>
  <c r="K31"/>
  <c r="P11" i="14"/>
  <c r="O4" i="48"/>
  <c r="I29"/>
  <c r="I31"/>
  <c r="I25"/>
  <c r="I22"/>
  <c r="I26"/>
  <c r="I27"/>
  <c r="I24"/>
  <c r="I28"/>
  <c r="I30"/>
  <c r="I32"/>
  <c r="E11" i="14"/>
  <c r="D4" i="48"/>
  <c r="D22" s="1"/>
  <c r="H29"/>
  <c r="H32"/>
  <c r="H24"/>
  <c r="H28"/>
  <c r="H22"/>
  <c r="H25"/>
  <c r="H26"/>
  <c r="H30"/>
  <c r="H23"/>
  <c r="C4"/>
  <c r="D11" i="14"/>
  <c r="G23" i="48"/>
  <c r="G30"/>
  <c r="G32"/>
  <c r="G29"/>
  <c r="G26"/>
  <c r="G22"/>
  <c r="G24"/>
  <c r="G25"/>
  <c r="F30"/>
  <c r="F32"/>
  <c r="F24"/>
  <c r="F31"/>
  <c r="F27"/>
  <c r="F28"/>
  <c r="F29"/>
  <c r="E31"/>
  <c r="E29"/>
  <c r="E24"/>
  <c r="E30"/>
  <c r="E28"/>
  <c r="E32"/>
  <c r="M29"/>
  <c r="M30"/>
  <c r="M32"/>
  <c r="M25"/>
  <c r="M22"/>
  <c r="M26"/>
  <c r="M24"/>
  <c r="M23"/>
  <c r="L10" i="14"/>
  <c r="L16" s="1"/>
  <c r="L27" s="1"/>
  <c r="K5" i="48"/>
  <c r="C24" i="14"/>
  <c r="C26" s="1"/>
  <c r="B7" i="48"/>
  <c r="J29"/>
  <c r="J30"/>
  <c r="J32"/>
  <c r="J24"/>
  <c r="J27"/>
  <c r="J31"/>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E27" s="1"/>
  <c r="H18" i="14"/>
  <c r="G13" i="48"/>
  <c r="G31" s="1"/>
  <c r="P22"/>
  <c r="K33"/>
  <c r="J61" i="14"/>
  <c r="P8" i="48"/>
  <c r="P26" s="1"/>
  <c r="Q13" i="14"/>
  <c r="Q16" s="1"/>
  <c r="Q27" s="1"/>
  <c r="D9" i="48"/>
  <c r="D27" s="1"/>
  <c r="E20" i="14"/>
  <c r="E22" s="1"/>
  <c r="P10"/>
  <c r="O5" i="48"/>
  <c r="O23" s="1"/>
  <c r="C20" i="14"/>
  <c r="C22" s="1"/>
  <c r="B9" i="48"/>
  <c r="J7"/>
  <c r="J25" s="1"/>
  <c r="K24" i="14"/>
  <c r="K26" s="1"/>
  <c r="G11"/>
  <c r="F4" i="48"/>
  <c r="F22" s="1"/>
  <c r="I5"/>
  <c r="J10" i="14"/>
  <c r="J16" s="1"/>
  <c r="J27" s="1"/>
  <c r="J63" s="1"/>
  <c r="K23" i="48"/>
  <c r="K15"/>
  <c r="O22"/>
  <c r="L61" i="14"/>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P16" s="1"/>
  <c r="P27" s="1"/>
  <c r="O8" i="48"/>
  <c r="J4"/>
  <c r="K11" i="14"/>
  <c r="O11"/>
  <c r="N4" i="48"/>
  <c r="N22" s="1"/>
  <c r="I15"/>
  <c r="I23"/>
  <c r="I33" s="1"/>
  <c r="N19" i="14"/>
  <c r="M10" i="48"/>
  <c r="M28" s="1"/>
  <c r="G10"/>
  <c r="H19" i="14"/>
  <c r="E7" i="48"/>
  <c r="E25" s="1"/>
  <c r="F24" i="14"/>
  <c r="F26" s="1"/>
  <c r="M14" i="22"/>
  <c r="N20" i="14" s="1"/>
  <c r="P33" i="48"/>
  <c r="P15"/>
  <c r="H14" i="22"/>
  <c r="Q63" i="14"/>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P63"/>
  <c r="E22" i="48"/>
  <c r="Q4"/>
  <c r="G9"/>
  <c r="H20" i="14"/>
  <c r="O26" i="48"/>
  <c r="O33" s="1"/>
  <c r="O15"/>
  <c r="G28"/>
  <c r="Q10"/>
  <c r="J22"/>
  <c r="Q7"/>
  <c r="R11" i="14"/>
  <c r="J5" i="48"/>
  <c r="J23" s="1"/>
  <c r="K10" i="14"/>
  <c r="E5" i="48"/>
  <c r="E23" s="1"/>
  <c r="F10" i="14"/>
  <c r="H22"/>
  <c r="H27" s="1"/>
  <c r="R19"/>
  <c r="M9" i="48"/>
  <c r="M15" s="1"/>
  <c r="M27"/>
  <c r="M33" s="1"/>
  <c r="R22" i="14"/>
  <c r="Q9" i="48"/>
  <c r="H15"/>
  <c r="H27"/>
  <c r="H33" s="1"/>
  <c r="N63" i="14"/>
  <c r="R20"/>
  <c r="R24"/>
  <c r="R26" s="1"/>
  <c r="N18" i="16"/>
  <c r="E20" i="15"/>
  <c r="F40" i="14" s="1"/>
  <c r="F18" i="16"/>
  <c r="J18"/>
  <c r="E18"/>
  <c r="G18" i="22"/>
  <c r="H50" i="14" s="1"/>
  <c r="H52" s="1"/>
  <c r="H61" s="1"/>
  <c r="H18" i="22"/>
  <c r="I50" i="14" s="1"/>
  <c r="I52" s="1"/>
  <c r="I61" s="1"/>
  <c r="I63" s="1"/>
  <c r="F16" l="1"/>
  <c r="F27" s="1"/>
  <c r="E15" i="48"/>
  <c r="K16" i="14"/>
  <c r="K27" s="1"/>
  <c r="K63" s="1"/>
  <c r="J8" i="48"/>
  <c r="K13" i="14"/>
  <c r="F13"/>
  <c r="E8" i="48"/>
  <c r="E26" s="1"/>
  <c r="G27"/>
  <c r="G33" s="1"/>
  <c r="G15"/>
  <c r="E33"/>
  <c r="H63" i="14"/>
  <c r="N8" i="48"/>
  <c r="N26" s="1"/>
  <c r="O13" i="14"/>
  <c r="F8" i="48"/>
  <c r="G13" i="14"/>
  <c r="R13" s="1"/>
  <c r="E22" i="16"/>
  <c r="F43" i="14" s="1"/>
  <c r="F46" s="1"/>
  <c r="F61" s="1"/>
  <c r="F22" i="16"/>
  <c r="G43" i="14" s="1"/>
  <c r="N22" i="16"/>
  <c r="O43" i="14" s="1"/>
  <c r="J22" i="16"/>
  <c r="K43" i="14" s="1"/>
  <c r="K46" s="1"/>
  <c r="K61" s="1"/>
  <c r="F63" l="1"/>
  <c r="J26" i="48"/>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<sst xmlns="http://schemas.openxmlformats.org/spreadsheetml/2006/main" count="2410" uniqueCount="894">
  <si>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</si>
  <si>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</si>
  <si>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</si>
  <si>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</si>
  <si>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</si>
  <si>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</si>
  <si>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</si>
  <si>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</si>
  <si>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</si>
  <si>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</si>
  <si>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</si>
  <si>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</si>
  <si>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</si>
  <si>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</si>
  <si>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</si>
  <si>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</si>
  <si>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</si>
  <si>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</si>
  <si>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</si>
  <si>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</si>
  <si>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</si>
  <si>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</si>
  <si>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</si>
  <si>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</si>
  <si>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</si>
  <si>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</si>
  <si>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</si>
  <si>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</si>
  <si>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</si>
  <si>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</si>
  <si>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</si>
  <si>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</si>
  <si>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</si>
  <si>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</si>
  <si>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</si>
  <si>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</si>
  <si>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</si>
  <si>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</si>
  <si>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</si>
  <si>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</si>
  <si>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</si>
  <si>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</si>
  <si>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</si>
  <si>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</si>
  <si>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</si>
  <si>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</si>
  <si>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</si>
  <si>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</si>
  <si>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</si>
  <si>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</si>
  <si>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</si>
  <si>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</si>
  <si>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</si>
  <si>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</si>
  <si>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</si>
  <si>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</si>
  <si>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</si>
  <si>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</si>
  <si>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</si>
  <si>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</si>
  <si>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</si>
  <si>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</si>
  <si>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</si>
  <si>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</si>
  <si>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</si>
  <si>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</si>
  <si>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</si>
  <si>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</si>
  <si>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</si>
  <si>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</si>
  <si>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</si>
  <si>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</si>
  <si>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</si>
  <si>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</si>
  <si>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</si>
  <si>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</si>
  <si>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</si>
  <si>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</si>
  <si>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</si>
  <si>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</si>
  <si>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</si>
  <si>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</si>
  <si>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</si>
  <si>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</si>
  <si>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</si>
  <si>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</si>
  <si>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</si>
  <si>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</si>
  <si>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</si>
  <si>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</si>
  <si>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</si>
  <si>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</si>
  <si>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</si>
  <si>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</si>
  <si>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</si>
  <si>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</si>
  <si>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</si>
  <si>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</si>
  <si>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</si>
  <si>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</si>
  <si>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</si>
  <si>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</si>
  <si>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</si>
  <si>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</si>
  <si>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</si>
  <si>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</si>
  <si>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</si>
  <si>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</si>
  <si>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</si>
  <si>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</si>
  <si>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</si>
  <si>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</si>
  <si>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</si>
  <si>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</si>
  <si>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</si>
  <si>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</si>
  <si>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</si>
  <si>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</si>
  <si>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</si>
  <si>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</si>
  <si>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</si>
  <si>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</si>
  <si>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</si>
  <si>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</si>
  <si>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</si>
  <si>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</si>
  <si>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</si>
  <si>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</si>
  <si>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</si>
  <si>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</si>
  <si>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</si>
  <si>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</si>
  <si>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</si>
  <si>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</si>
  <si>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</si>
  <si>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</si>
  <si>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</si>
  <si>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</si>
  <si>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</si>
  <si>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</si>
  <si>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</si>
  <si>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</si>
  <si>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</si>
  <si>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</si>
  <si>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</si>
  <si>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</si>
  <si>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</si>
  <si>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</si>
  <si>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</si>
  <si>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</si>
  <si>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</si>
  <si>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</si>
  <si>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</si>
  <si>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</si>
  <si>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</si>
  <si>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</si>
  <si>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</si>
  <si>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</si>
  <si>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</si>
  <si>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</si>
  <si>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</si>
  <si>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</si>
  <si>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</si>
  <si>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</si>
  <si>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</si>
  <si>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</si>
  <si>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</si>
  <si>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</si>
  <si>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</si>
  <si>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</si>
  <si>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</si>
  <si>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</si>
  <si>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</si>
  <si>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</si>
  <si>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</si>
  <si>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</si>
  <si>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</si>
  <si>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</si>
  <si>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</si>
  <si>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</si>
  <si>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</si>
  <si>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</si>
  <si>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</si>
  <si>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</si>
  <si>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</si>
  <si>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</si>
  <si>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</si>
  <si>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</si>
  <si>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</si>
  <si>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</si>
  <si>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</si>
  <si>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</si>
  <si>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</si>
  <si>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</si>
  <si>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</si>
  <si>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</si>
  <si>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</si>
  <si>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</si>
  <si>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</si>
  <si>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</si>
  <si>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</si>
  <si>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</si>
  <si>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</si>
  <si>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</si>
  <si>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</si>
  <si>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</si>
  <si>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</si>
  <si>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</si>
  <si>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</si>
  <si>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</si>
  <si>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</si>
  <si>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</si>
  <si>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</si>
  <si>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</si>
  <si>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</si>
  <si>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</si>
  <si>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</si>
  <si>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</si>
  <si>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</si>
  <si>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</si>
  <si>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</si>
  <si>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</si>
  <si>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</si>
  <si>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</si>
  <si>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</si>
  <si>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</si>
  <si>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</si>
  <si>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</si>
  <si>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</si>
  <si>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</si>
  <si>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</si>
  <si>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</si>
  <si>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</si>
  <si>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</si>
  <si>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</si>
  <si>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</si>
  <si>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</si>
  <si>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</si>
  <si>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</si>
  <si>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</si>
  <si>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</si>
  <si>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</si>
  <si>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</si>
  <si>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</si>
  <si>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</si>
  <si>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</si>
  <si>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</si>
  <si>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</si>
  <si>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</si>
  <si>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</si>
  <si>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</si>
  <si>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</si>
  <si>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</si>
  <si>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</si>
  <si>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</si>
  <si>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</si>
  <si>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</si>
  <si>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</si>
  <si>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</si>
  <si>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</si>
  <si>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</si>
  <si>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</si>
  <si>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</si>
  <si>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</si>
  <si>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</si>
  <si>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</si>
  <si>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</si>
  <si>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</si>
  <si>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</si>
  <si>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</si>
  <si>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</si>
  <si>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</si>
  <si>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</si>
  <si>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</si>
  <si>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</si>
  <si>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</si>
  <si>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</si>
  <si>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</si>
  <si>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</si>
  <si>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</si>
  <si>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</si>
  <si>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</si>
  <si>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</si>
  <si>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</si>
  <si>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</si>
  <si>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</si>
  <si>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</si>
  <si>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</si>
  <si>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</si>
  <si>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</si>
  <si>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</si>
  <si>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</si>
  <si>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</si>
  <si>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</si>
  <si>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</si>
  <si>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</si>
  <si>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</si>
  <si>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</si>
  <si>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</si>
  <si>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</si>
  <si>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</si>
  <si>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</si>
  <si>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</si>
  <si>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</si>
  <si>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</si>
  <si>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</si>
  <si>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</si>
  <si>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</si>
  <si>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</si>
  <si>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</si>
  <si>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</si>
  <si>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</si>
  <si>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</si>
  <si>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</si>
  <si>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</si>
  <si>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</si>
  <si>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</si>
  <si>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</si>
  <si>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</si>
  <si>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</si>
  <si>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</si>
  <si>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</si>
  <si>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</si>
  <si>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</si>
  <si>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</si>
  <si>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</si>
  <si>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</si>
  <si>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</si>
  <si>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</si>
  <si>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</si>
  <si>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</si>
  <si>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</si>
  <si>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</si>
  <si>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</si>
  <si>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</si>
  <si>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</si>
  <si>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</si>
  <si>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</si>
  <si>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</si>
  <si>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</si>
  <si>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</si>
  <si>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</si>
  <si>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</si>
  <si>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</si>
  <si>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</si>
  <si>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</si>
  <si>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</si>
  <si>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</si>
  <si>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</si>
  <si>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</si>
  <si>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</si>
  <si>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</si>
  <si>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</si>
  <si>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</si>
  <si>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</si>
  <si>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</si>
  <si>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</si>
  <si>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</si>
  <si>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</si>
  <si>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</si>
  <si>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</si>
  <si>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</si>
  <si>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</si>
  <si>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</si>
  <si>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</si>
  <si>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</si>
  <si>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</si>
  <si>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</si>
  <si>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</si>
  <si>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</si>
  <si>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</si>
  <si>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</si>
  <si>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</si>
  <si>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</si>
  <si>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</si>
  <si>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</si>
  <si>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</si>
  <si>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</si>
  <si>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</si>
  <si>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</si>
  <si>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</si>
  <si>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</si>
  <si>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</si>
  <si>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</si>
  <si>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</si>
  <si>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</si>
  <si>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</si>
  <si>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</si>
  <si>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</si>
  <si>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</si>
  <si>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</si>
  <si>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</si>
  <si>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</si>
  <si>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</si>
  <si>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</si>
  <si>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</si>
  <si>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</si>
  <si>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</si>
  <si>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</si>
  <si>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</si>
  <si>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</si>
  <si>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</si>
  <si>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</si>
  <si>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</si>
  <si>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</si>
  <si>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</si>
  <si>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</si>
  <si>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</si>
  <si>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</si>
  <si>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</si>
  <si>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</si>
  <si>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</si>
  <si>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</si>
  <si>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</si>
  <si>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</si>
  <si>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</si>
  <si>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</si>
  <si>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</si>
  <si>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</si>
  <si>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</si>
  <si>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</si>
  <si>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</si>
  <si>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</si>
  <si>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</si>
  <si>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</si>
  <si>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</si>
  <si>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</si>
  <si>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</si>
  <si>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</si>
  <si>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</si>
  <si>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</si>
  <si>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</si>
  <si>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</si>
  <si>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</si>
  <si>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</si>
  <si>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</si>
  <si>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</si>
  <si>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</si>
  <si>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</si>
  <si>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</si>
  <si>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</si>
  <si>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</si>
  <si>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</si>
  <si>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</si>
  <si>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</si>
  <si>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</si>
  <si>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</si>
  <si>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</si>
  <si>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</si>
  <si>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</si>
  <si>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</si>
  <si>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</si>
  <si>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</si>
  <si>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</si>
  <si>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</si>
  <si>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</si>
  <si>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</si>
  <si>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</si>
  <si>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</si>
  <si>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</si>
  <si>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</si>
  <si>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</si>
  <si>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</si>
  <si>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</si>
  <si>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</si>
  <si>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</si>
  <si>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</si>
  <si>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</si>
  <si>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</si>
  <si>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</si>
  <si>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</si>
  <si>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</si>
  <si>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</si>
  <si>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</si>
  <si>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</si>
  <si>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</si>
  <si>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</si>
  <si>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</si>
  <si>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</si>
  <si>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</si>
  <si>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</si>
  <si>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</si>
  <si>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</si>
  <si>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</si>
  <si>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</si>
  <si>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</si>
  <si>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</si>
  <si>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</si>
  <si>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</si>
  <si>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</si>
  <si>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</si>
  <si>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</si>
  <si>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</si>
  <si>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</si>
  <si>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</si>
  <si>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</si>
  <si>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</si>
  <si>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</si>
  <si>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</si>
  <si>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</si>
  <si>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</si>
  <si>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</si>
  <si>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</si>
  <si>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</si>
  <si>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</si>
  <si>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</si>
  <si>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</si>
  <si>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</si>
  <si>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</si>
  <si>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</si>
  <si>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</si>
  <si>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</si>
  <si>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</si>
  <si>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</si>
  <si>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</si>
  <si>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</si>
  <si>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</si>
  <si>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</si>
  <si>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</si>
  <si>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</si>
  <si>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</si>
  <si>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</si>
  <si>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</si>
  <si>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</si>
  <si>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</si>
  <si>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</si>
  <si>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</si>
  <si>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</si>
  <si>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</si>
  <si>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</si>
  <si>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</si>
  <si>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</si>
  <si>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</si>
  <si>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</si>
  <si>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</si>
  <si>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</si>
  <si>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</si>
  <si>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</si>
  <si>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</si>
  <si>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</si>
  <si>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</si>
  <si>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</si>
  <si>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</si>
  <si>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</si>
  <si>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</si>
  <si>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</si>
  <si>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</si>
  <si>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</si>
  <si>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</si>
  <si>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</si>
  <si>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</si>
  <si>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</si>
  <si>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</si>
  <si>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</si>
  <si>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</si>
  <si>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</si>
  <si>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</si>
  <si>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</si>
  <si>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</si>
  <si>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</si>
  <si>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</si>
  <si>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</si>
  <si>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</si>
  <si>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</si>
  <si>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</si>
  <si>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</si>
  <si>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</si>
  <si>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</si>
  <si>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</si>
  <si>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</si>
  <si>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</si>
  <si>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</si>
  <si>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</si>
  <si>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</si>
  <si>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</si>
  <si>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</si>
  <si>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</si>
  <si>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</si>
  <si>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</si>
  <si>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</si>
  <si>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</si>
  <si>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</si>
  <si>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</si>
  <si>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</si>
  <si>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</si>
  <si>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</si>
  <si>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</si>
  <si>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</si>
  <si>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</si>
  <si>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</si>
  <si>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</si>
  <si>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</si>
  <si>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</si>
  <si>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</si>
  <si>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</si>
  <si>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</si>
  <si>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</si>
  <si>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</si>
  <si>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</si>
  <si>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</si>
  <si>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</si>
  <si>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</si>
  <si>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</si>
  <si>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</si>
  <si>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</si>
  <si>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</si>
  <si>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</si>
  <si>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</si>
  <si>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</si>
  <si>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</si>
  <si>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</si>
  <si>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</si>
  <si>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</si>
  <si>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</si>
  <si>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</si>
  <si>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</si>
  <si>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</si>
  <si>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</si>
  <si>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</si>
  <si>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</si>
  <si>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</si>
  <si>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</si>
  <si>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</si>
  <si>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</si>
  <si>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</si>
  <si>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</si>
  <si>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</si>
  <si>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</si>
  <si>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</si>
  <si>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</si>
  <si>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</si>
  <si>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</si>
  <si>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</si>
  <si>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</si>
  <si>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</si>
  <si>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</si>
  <si>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</si>
  <si>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</si>
  <si>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</si>
  <si>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</si>
  <si>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</si>
  <si>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</si>
  <si>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</si>
  <si>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</si>
  <si>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</si>
  <si>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</si>
  <si>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</si>
  <si>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</si>
  <si>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</si>
  <si>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</si>
  <si>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</si>
  <si>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</si>
  <si>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</si>
  <si>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</si>
  <si>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</si>
  <si>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</si>
  <si>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</si>
  <si>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</si>
  <si>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</si>
  <si>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</si>
  <si>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</si>
  <si>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</si>
  <si>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</si>
  <si>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</si>
  <si>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</si>
  <si>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</si>
  <si>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</si>
  <si>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</si>
  <si>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</si>
  <si>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</si>
  <si>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</si>
  <si>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</si>
  <si>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</si>
  <si>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</si>
  <si>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</si>
  <si>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</si>
  <si>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</si>
  <si>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</si>
  <si>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</si>
  <si>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</si>
  <si>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</si>
  <si>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</si>
  <si>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</si>
  <si>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</si>
  <si>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</si>
  <si>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</si>
  <si>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</si>
  <si>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</si>
  <si>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</si>
  <si>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</si>
  <si>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</si>
  <si>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</si>
  <si>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</si>
  <si>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</si>
  <si>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</si>
  <si>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</si>
  <si>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</si>
  <si>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</si>
  <si>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</si>
  <si>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</si>
  <si>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</si>
  <si>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</si>
  <si>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</si>
  <si>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</si>
  <si>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</si>
  <si>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</si>
  <si>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</si>
  <si>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</si>
  <si>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</si>
  <si>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</si>
  <si>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</si>
  <si>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</si>
  <si>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</si>
  <si>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</si>
  <si>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</si>
  <si>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</si>
  <si>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</si>
  <si>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</si>
  <si>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</si>
  <si>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</si>
  <si>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</si>
  <si>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</si>
  <si>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</si>
  <si>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</si>
  <si>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</si>
  <si>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</si>
  <si>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</si>
  <si>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</si>
  <si>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</si>
  <si>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</si>
  <si>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</si>
  <si>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</si>
  <si>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</si>
  <si>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</si>
  <si>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</si>
  <si>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</si>
  <si>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</si>
  <si>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</si>
  <si>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</si>
  <si>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</si>
  <si>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</si>
  <si>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</si>
  <si>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</si>
  <si>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</si>
  <si>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</si>
  <si>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</si>
  <si>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</si>
  <si>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</si>
  <si>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</si>
  <si>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</si>
  <si>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</si>
  <si>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</si>
  <si>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</si>
  <si>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</si>
  <si>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</si>
  <si>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</si>
  <si>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</si>
  <si>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</si>
  <si>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</si>
  <si>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</si>
  <si>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</si>
  <si>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</si>
  <si>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</si>
  <si>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</si>
  <si>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</si>
  <si>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</si>
  <si>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</si>
  <si>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</si>
  <si>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</si>
  <si>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</si>
  <si>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</si>
  <si>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</si>
  <si>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</si>
  <si>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</si>
  <si>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</si>
  <si>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</si>
  <si>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</si>
  <si>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</si>
  <si>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</si>
  <si>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</si>
  <si>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</si>
  <si>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</si>
  <si>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</si>
  <si>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</si>
  <si>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</si>
  <si>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</si>
  <si>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</si>
  <si>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</si>
  <si>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</si>
  <si>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</si>
  <si>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</si>
  <si>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</si>
  <si>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</si>
  <si>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</si>
  <si>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</si>
  <si>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</si>
  <si>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</si>
  <si>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</si>
  <si>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</si>
  <si>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</si>
  <si>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</si>
  <si>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</si>
  <si>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</si>
  <si>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</si>
  <si>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</si>
  <si>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</si>
  <si>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</si>
  <si>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</si>
  <si>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</si>
  <si>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</si>
  <si>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</si>
  <si>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</si>
  <si>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</si>
  <si>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</si>
  <si>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</si>
  <si>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</si>
  <si>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</si>
  <si>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</si>
  <si>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</si>
  <si>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</si>
  <si>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</si>
  <si>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</si>
  <si>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</si>
  <si>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</si>
  <si>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</si>
  <si>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</si>
  <si>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</si>
  <si>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</si>
  <si>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</si>
  <si>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</si>
  <si>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</si>
  <si>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</si>
  <si>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</si>
  <si>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</si>
  <si>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</si>
  <si>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</si>
  <si>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</si>
  <si>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</si>
  <si>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</si>
  <si>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</si>
  <si>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</si>
  <si>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</si>
  <si>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</si>
  <si>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</si>
  <si>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</si>
  <si>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</si>
  <si>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</si>
  <si>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</si>
  <si>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</si>
  <si>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</si>
  <si>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</si>
  <si>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</si>
  <si>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</si>
  <si>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</si>
  <si>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</si>
  <si>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</si>
  <si>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</si>
  <si>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</si>
  <si>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</si>
  <si>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</si>
  <si>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</si>
  <si>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</si>
  <si>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</si>
  <si>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</si>
  <si>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</si>
  <si>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</si>
  <si>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</si>
  <si>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</si>
  <si>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</si>
  <si>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</si>
  <si>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</si>
  <si>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</si>
  <si>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</si>
  <si>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11052</t>
  </si>
  <si>
    <t>WOMMELGEM</t>
  </si>
  <si>
    <t>Eandis (januari 2018); Infrax (juni 2018)</t>
  </si>
  <si>
    <t>MOW (september 2017)</t>
  </si>
  <si>
    <t>referentietaak LNE (2017); Jaarverslag De Lijn (2016)</t>
  </si>
  <si>
    <t>VEA (april 2018)</t>
  </si>
  <si>
    <t>VEA (januari 2017)</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</si>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</sst>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93388.882268850779</c:v>
                </c:pt>
                <c:pt idx="1">
                  <c:v>76761.932831418831</c:v>
                </c:pt>
                <c:pt idx="2">
                  <c:v>885.28700000000003</c:v>
                </c:pt>
                <c:pt idx="3">
                  <c:v>12001.29911158978</c:v>
                </c:pt>
                <c:pt idx="4">
                  <c:v>115753.71935778903</c:v>
                </c:pt>
                <c:pt idx="5">
                  <c:v>257982.08887045653</c:v>
                </c:pt>
                <c:pt idx="6">
                  <c:v>2352.3660969034313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93388.882268850779</c:v>
                </c:pt>
                <c:pt idx="1">
                  <c:v>76761.932831418831</c:v>
                </c:pt>
                <c:pt idx="2">
                  <c:v>885.28700000000003</c:v>
                </c:pt>
                <c:pt idx="3">
                  <c:v>12001.29911158978</c:v>
                </c:pt>
                <c:pt idx="4">
                  <c:v>115753.71935778903</c:v>
                </c:pt>
                <c:pt idx="5">
                  <c:v>257982.08887045653</c:v>
                </c:pt>
                <c:pt idx="6">
                  <c:v>2352.3660969034313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17709.349687809743</c:v>
                </c:pt>
                <c:pt idx="2">
                  <c:v>15628.98362664564</c:v>
                </c:pt>
                <c:pt idx="3">
                  <c:v>189.30407452395147</c:v>
                </c:pt>
                <c:pt idx="4">
                  <c:v>2892.3452228574533</c:v>
                </c:pt>
                <c:pt idx="5">
                  <c:v>22526.09240697317</c:v>
                </c:pt>
                <c:pt idx="6">
                  <c:v>64701.134390842148</c:v>
                </c:pt>
                <c:pt idx="7">
                  <c:v>594.32661958126016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17709.349687809743</c:v>
                </c:pt>
                <c:pt idx="2">
                  <c:v>15628.98362664564</c:v>
                </c:pt>
                <c:pt idx="3">
                  <c:v>189.30407452395147</c:v>
                </c:pt>
                <c:pt idx="4">
                  <c:v>2892.3452228574533</c:v>
                </c:pt>
                <c:pt idx="5">
                  <c:v>22526.09240697317</c:v>
                </c:pt>
                <c:pt idx="6">
                  <c:v>64701.134390842148</c:v>
                </c:pt>
                <c:pt idx="7">
                  <c:v>594.32661958126016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11052</v>
      </c>
      <c r="B6" s="415"/>
      <c r="C6" s="416"/>
    </row>
    <row r="7" spans="1:7" s="413" customFormat="1" ht="15.75" customHeight="1">
      <c r="A7" s="417" t="str">
        <f>txtMunicipality</f>
        <v>WOMMELGEM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0.21383356417066043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0.21383356417066043</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5140</v>
      </c>
      <c r="C9" s="342">
        <v>5289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358.86</v>
      </c>
    </row>
    <row r="15" spans="1:6">
      <c r="A15" s="348" t="s">
        <v>184</v>
      </c>
      <c r="B15" s="334">
        <v>0</v>
      </c>
    </row>
    <row r="16" spans="1:6">
      <c r="A16" s="348" t="s">
        <v>6</v>
      </c>
      <c r="B16" s="334">
        <v>0</v>
      </c>
    </row>
    <row r="17" spans="1:6">
      <c r="A17" s="348" t="s">
        <v>7</v>
      </c>
      <c r="B17" s="334">
        <v>20</v>
      </c>
    </row>
    <row r="18" spans="1:6">
      <c r="A18" s="348" t="s">
        <v>8</v>
      </c>
      <c r="B18" s="334">
        <v>18</v>
      </c>
    </row>
    <row r="19" spans="1:6">
      <c r="A19" s="348" t="s">
        <v>9</v>
      </c>
      <c r="B19" s="334">
        <v>11</v>
      </c>
    </row>
    <row r="20" spans="1:6">
      <c r="A20" s="348" t="s">
        <v>10</v>
      </c>
      <c r="B20" s="334">
        <v>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744</v>
      </c>
      <c r="B29" s="355">
        <v>41</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11677.029994229601</v>
      </c>
      <c r="E38" s="334">
        <v>5</v>
      </c>
      <c r="F38" s="334">
        <v>44855.724662504501</v>
      </c>
    </row>
    <row r="39" spans="1:6">
      <c r="A39" s="348" t="s">
        <v>30</v>
      </c>
      <c r="B39" s="348" t="s">
        <v>31</v>
      </c>
      <c r="C39" s="334">
        <v>4227</v>
      </c>
      <c r="D39" s="334">
        <v>70645262.887604803</v>
      </c>
      <c r="E39" s="334">
        <v>5169</v>
      </c>
      <c r="F39" s="334">
        <v>18907594.360874701</v>
      </c>
    </row>
    <row r="40" spans="1:6">
      <c r="A40" s="348" t="s">
        <v>30</v>
      </c>
      <c r="B40" s="348" t="s">
        <v>29</v>
      </c>
      <c r="C40" s="334">
        <v>0</v>
      </c>
      <c r="D40" s="334">
        <v>0</v>
      </c>
      <c r="E40" s="334">
        <v>0</v>
      </c>
      <c r="F40" s="334">
        <v>0</v>
      </c>
    </row>
    <row r="41" spans="1:6">
      <c r="A41" s="348" t="s">
        <v>32</v>
      </c>
      <c r="B41" s="348" t="s">
        <v>33</v>
      </c>
      <c r="C41" s="334">
        <v>70</v>
      </c>
      <c r="D41" s="334">
        <v>2138254.3332390902</v>
      </c>
      <c r="E41" s="334">
        <v>133</v>
      </c>
      <c r="F41" s="334">
        <v>1478847.6556293999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555097.23454167298</v>
      </c>
      <c r="E44" s="334">
        <v>27</v>
      </c>
      <c r="F44" s="334">
        <v>542435.49682837096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3459767.1593540302</v>
      </c>
      <c r="E47" s="334">
        <v>7</v>
      </c>
      <c r="F47" s="334">
        <v>3474763.3888900601</v>
      </c>
    </row>
    <row r="48" spans="1:6">
      <c r="A48" s="348" t="s">
        <v>32</v>
      </c>
      <c r="B48" s="348" t="s">
        <v>29</v>
      </c>
      <c r="C48" s="334">
        <v>24</v>
      </c>
      <c r="D48" s="334">
        <v>58572599.537594303</v>
      </c>
      <c r="E48" s="334">
        <v>42</v>
      </c>
      <c r="F48" s="334">
        <v>5438415.58645037</v>
      </c>
    </row>
    <row r="49" spans="1:6">
      <c r="A49" s="348" t="s">
        <v>32</v>
      </c>
      <c r="B49" s="348" t="s">
        <v>40</v>
      </c>
      <c r="C49" s="334">
        <v>0</v>
      </c>
      <c r="D49" s="334">
        <v>0</v>
      </c>
      <c r="E49" s="334">
        <v>0</v>
      </c>
      <c r="F49" s="334">
        <v>0</v>
      </c>
    </row>
    <row r="50" spans="1:6">
      <c r="A50" s="348" t="s">
        <v>32</v>
      </c>
      <c r="B50" s="348" t="s">
        <v>41</v>
      </c>
      <c r="C50" s="334">
        <v>9</v>
      </c>
      <c r="D50" s="334">
        <v>20763180.582145799</v>
      </c>
      <c r="E50" s="334">
        <v>10</v>
      </c>
      <c r="F50" s="334">
        <v>18351926.780587502</v>
      </c>
    </row>
    <row r="51" spans="1:6">
      <c r="A51" s="348" t="s">
        <v>42</v>
      </c>
      <c r="B51" s="348" t="s">
        <v>43</v>
      </c>
      <c r="C51" s="334">
        <v>0</v>
      </c>
      <c r="D51" s="334">
        <v>0</v>
      </c>
      <c r="E51" s="334">
        <v>10</v>
      </c>
      <c r="F51" s="334">
        <v>317311.17497094302</v>
      </c>
    </row>
    <row r="52" spans="1:6">
      <c r="A52" s="348" t="s">
        <v>42</v>
      </c>
      <c r="B52" s="348" t="s">
        <v>29</v>
      </c>
      <c r="C52" s="334">
        <v>6</v>
      </c>
      <c r="D52" s="334">
        <v>13425887.184691699</v>
      </c>
      <c r="E52" s="334">
        <v>6</v>
      </c>
      <c r="F52" s="334">
        <v>32837.583103970799</v>
      </c>
    </row>
    <row r="53" spans="1:6">
      <c r="A53" s="348" t="s">
        <v>44</v>
      </c>
      <c r="B53" s="348" t="s">
        <v>45</v>
      </c>
      <c r="C53" s="334">
        <v>117</v>
      </c>
      <c r="D53" s="334">
        <v>1920832.46030544</v>
      </c>
      <c r="E53" s="334">
        <v>252</v>
      </c>
      <c r="F53" s="334">
        <v>705208.21434913797</v>
      </c>
    </row>
    <row r="54" spans="1:6">
      <c r="A54" s="348" t="s">
        <v>46</v>
      </c>
      <c r="B54" s="348" t="s">
        <v>47</v>
      </c>
      <c r="C54" s="334">
        <v>0</v>
      </c>
      <c r="D54" s="334">
        <v>0</v>
      </c>
      <c r="E54" s="334">
        <v>1</v>
      </c>
      <c r="F54" s="334">
        <v>885287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978082.64946347696</v>
      </c>
      <c r="E57" s="334">
        <v>62</v>
      </c>
      <c r="F57" s="334">
        <v>2650772.1519924798</v>
      </c>
    </row>
    <row r="58" spans="1:6">
      <c r="A58" s="348" t="s">
        <v>49</v>
      </c>
      <c r="B58" s="348" t="s">
        <v>51</v>
      </c>
      <c r="C58" s="334">
        <v>10</v>
      </c>
      <c r="D58" s="334">
        <v>196536.21122939099</v>
      </c>
      <c r="E58" s="334">
        <v>18</v>
      </c>
      <c r="F58" s="334">
        <v>115904.21435315099</v>
      </c>
    </row>
    <row r="59" spans="1:6">
      <c r="A59" s="348" t="s">
        <v>49</v>
      </c>
      <c r="B59" s="348" t="s">
        <v>52</v>
      </c>
      <c r="C59" s="334">
        <v>156</v>
      </c>
      <c r="D59" s="334">
        <v>9525618.7757149301</v>
      </c>
      <c r="E59" s="334">
        <v>271</v>
      </c>
      <c r="F59" s="334">
        <v>13223039.133308301</v>
      </c>
    </row>
    <row r="60" spans="1:6">
      <c r="A60" s="348" t="s">
        <v>49</v>
      </c>
      <c r="B60" s="348" t="s">
        <v>53</v>
      </c>
      <c r="C60" s="334">
        <v>40</v>
      </c>
      <c r="D60" s="334">
        <v>1853479.05584449</v>
      </c>
      <c r="E60" s="334">
        <v>50</v>
      </c>
      <c r="F60" s="334">
        <v>1037938.3472999</v>
      </c>
    </row>
    <row r="61" spans="1:6">
      <c r="A61" s="348" t="s">
        <v>49</v>
      </c>
      <c r="B61" s="348" t="s">
        <v>54</v>
      </c>
      <c r="C61" s="334">
        <v>134</v>
      </c>
      <c r="D61" s="334">
        <v>9333132.2325284407</v>
      </c>
      <c r="E61" s="334">
        <v>262</v>
      </c>
      <c r="F61" s="334">
        <v>6093196.8572408799</v>
      </c>
    </row>
    <row r="62" spans="1:6">
      <c r="A62" s="348" t="s">
        <v>49</v>
      </c>
      <c r="B62" s="348" t="s">
        <v>55</v>
      </c>
      <c r="C62" s="334">
        <v>3</v>
      </c>
      <c r="D62" s="334">
        <v>904599.24493964994</v>
      </c>
      <c r="E62" s="334">
        <v>3</v>
      </c>
      <c r="F62" s="334">
        <v>116678.783491348</v>
      </c>
    </row>
    <row r="63" spans="1:6">
      <c r="A63" s="348" t="s">
        <v>49</v>
      </c>
      <c r="B63" s="348" t="s">
        <v>29</v>
      </c>
      <c r="C63" s="334">
        <v>109</v>
      </c>
      <c r="D63" s="334">
        <v>18681717.656801399</v>
      </c>
      <c r="E63" s="334">
        <v>106</v>
      </c>
      <c r="F63" s="334">
        <v>6982720.4542175801</v>
      </c>
    </row>
    <row r="64" spans="1:6">
      <c r="A64" s="348" t="s">
        <v>56</v>
      </c>
      <c r="B64" s="348" t="s">
        <v>57</v>
      </c>
      <c r="C64" s="334">
        <v>0</v>
      </c>
      <c r="D64" s="334">
        <v>0</v>
      </c>
      <c r="E64" s="334">
        <v>0</v>
      </c>
      <c r="F64" s="334">
        <v>0</v>
      </c>
    </row>
    <row r="65" spans="1:6">
      <c r="A65" s="348" t="s">
        <v>56</v>
      </c>
      <c r="B65" s="348" t="s">
        <v>29</v>
      </c>
      <c r="C65" s="334">
        <v>1</v>
      </c>
      <c r="D65" s="334">
        <v>44902.109434717597</v>
      </c>
      <c r="E65" s="334">
        <v>2</v>
      </c>
      <c r="F65" s="334">
        <v>1348</v>
      </c>
    </row>
    <row r="66" spans="1:6">
      <c r="A66" s="348" t="s">
        <v>56</v>
      </c>
      <c r="B66" s="348" t="s">
        <v>58</v>
      </c>
      <c r="C66" s="334">
        <v>0</v>
      </c>
      <c r="D66" s="334">
        <v>0</v>
      </c>
      <c r="E66" s="334">
        <v>12</v>
      </c>
      <c r="F66" s="334">
        <v>372969.60955492902</v>
      </c>
    </row>
    <row r="67" spans="1:6">
      <c r="A67" s="355" t="s">
        <v>56</v>
      </c>
      <c r="B67" s="355" t="s">
        <v>59</v>
      </c>
      <c r="C67" s="334">
        <v>12</v>
      </c>
      <c r="D67" s="334">
        <v>2289518.8796065301</v>
      </c>
      <c r="E67" s="334">
        <v>41</v>
      </c>
      <c r="F67" s="334">
        <v>802822.97889564501</v>
      </c>
    </row>
    <row r="68" spans="1:6">
      <c r="A68" s="341" t="s">
        <v>56</v>
      </c>
      <c r="B68" s="341" t="s">
        <v>60</v>
      </c>
      <c r="C68" s="334">
        <v>6</v>
      </c>
      <c r="D68" s="334">
        <v>633135.95895953802</v>
      </c>
      <c r="E68" s="334">
        <v>19</v>
      </c>
      <c r="F68" s="334">
        <v>343623.49535865901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34052602</v>
      </c>
      <c r="E73" s="475">
        <v>31715439.356178004</v>
      </c>
    </row>
    <row r="74" spans="1:6">
      <c r="A74" s="348" t="s">
        <v>64</v>
      </c>
      <c r="B74" s="348" t="s">
        <v>657</v>
      </c>
      <c r="C74" s="1295" t="s">
        <v>659</v>
      </c>
      <c r="D74" s="475">
        <v>3383264.5</v>
      </c>
      <c r="E74" s="475">
        <v>3257475.537645312</v>
      </c>
    </row>
    <row r="75" spans="1:6">
      <c r="A75" s="348" t="s">
        <v>65</v>
      </c>
      <c r="B75" s="348" t="s">
        <v>656</v>
      </c>
      <c r="C75" s="1295" t="s">
        <v>660</v>
      </c>
      <c r="D75" s="475">
        <v>11060121</v>
      </c>
      <c r="E75" s="475">
        <v>10176107.656212844</v>
      </c>
    </row>
    <row r="76" spans="1:6">
      <c r="A76" s="348" t="s">
        <v>65</v>
      </c>
      <c r="B76" s="348" t="s">
        <v>657</v>
      </c>
      <c r="C76" s="1295" t="s">
        <v>661</v>
      </c>
      <c r="D76" s="475">
        <v>1172902.5</v>
      </c>
      <c r="E76" s="475">
        <v>1139576.7311457361</v>
      </c>
    </row>
    <row r="77" spans="1:6">
      <c r="A77" s="348" t="s">
        <v>66</v>
      </c>
      <c r="B77" s="348" t="s">
        <v>656</v>
      </c>
      <c r="C77" s="1295" t="s">
        <v>662</v>
      </c>
      <c r="D77" s="475">
        <v>174022821</v>
      </c>
      <c r="E77" s="475">
        <v>177685798.9325479</v>
      </c>
    </row>
    <row r="78" spans="1:6">
      <c r="A78" s="341" t="s">
        <v>66</v>
      </c>
      <c r="B78" s="341" t="s">
        <v>657</v>
      </c>
      <c r="C78" s="341" t="s">
        <v>663</v>
      </c>
      <c r="D78" s="1296">
        <v>37435933</v>
      </c>
      <c r="E78" s="1296">
        <v>38421277.023954362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638001</v>
      </c>
      <c r="C83" s="475">
        <v>640809.00257586548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2303.5365743396183</v>
      </c>
    </row>
    <row r="92" spans="1:6">
      <c r="A92" s="341" t="s">
        <v>69</v>
      </c>
      <c r="B92" s="342">
        <v>2949.4303730213655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13</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101635.62240703653</v>
      </c>
      <c r="C3" s="43" t="s">
        <v>170</v>
      </c>
      <c r="D3" s="43"/>
      <c r="E3" s="154"/>
      <c r="F3" s="43"/>
      <c r="G3" s="43"/>
      <c r="H3" s="43"/>
      <c r="I3" s="43"/>
      <c r="J3" s="43"/>
      <c r="K3" s="96"/>
    </row>
    <row r="4" spans="1:11">
      <c r="A4" s="383" t="s">
        <v>171</v>
      </c>
      <c r="B4" s="49">
        <f>IF(ISERROR('SEAP template'!B78+'SEAP template'!C78),0,'SEAP template'!B78+'SEAP template'!C78)</f>
        <v>31235.966947360983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6174.783529411764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0.21383356417066043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8821.119327731094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37118.571428571428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885.28700000000003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885.28700000000003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0.21383356417066043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189.30407452395147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18907.5943608747</v>
      </c>
      <c r="C5" s="17">
        <f>IF(ISERROR('Eigen informatie GS &amp; warmtenet'!B57),0,'Eigen informatie GS &amp; warmtenet'!B57)</f>
        <v>0</v>
      </c>
      <c r="D5" s="30">
        <f>(SUM(HH_hh_gas_kWh,HH_rest_gas_kWh)/1000)*0.902</f>
        <v>63722.027124619526</v>
      </c>
      <c r="E5" s="17">
        <f>B46*B57</f>
        <v>1329.7289897320077</v>
      </c>
      <c r="F5" s="17">
        <f>B51*B62</f>
        <v>0</v>
      </c>
      <c r="G5" s="18"/>
      <c r="H5" s="17"/>
      <c r="I5" s="17"/>
      <c r="J5" s="17">
        <f>B50*B61+C50*C61</f>
        <v>0</v>
      </c>
      <c r="K5" s="17"/>
      <c r="L5" s="17"/>
      <c r="M5" s="17"/>
      <c r="N5" s="17">
        <f>B48*B59+C48*C59</f>
        <v>6514.2385526182779</v>
      </c>
      <c r="O5" s="17">
        <f>B69*B70*B71</f>
        <v>192.29000000000002</v>
      </c>
      <c r="P5" s="17">
        <f>B77*B78*B79/1000-B77*B78*B79/1000/B80</f>
        <v>419.4666666666667</v>
      </c>
    </row>
    <row r="6" spans="1:16">
      <c r="A6" s="16" t="s">
        <v>621</v>
      </c>
      <c r="B6" s="788">
        <f>kWh_PV_kleiner_dan_10kW</f>
        <v>2303.5365743396183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21211.130935214318</v>
      </c>
      <c r="C8" s="21">
        <f>C5</f>
        <v>0</v>
      </c>
      <c r="D8" s="21">
        <f>D5</f>
        <v>63722.027124619526</v>
      </c>
      <c r="E8" s="21">
        <f>E5</f>
        <v>1329.7289897320077</v>
      </c>
      <c r="F8" s="21">
        <f>F5</f>
        <v>0</v>
      </c>
      <c r="G8" s="21"/>
      <c r="H8" s="21"/>
      <c r="I8" s="21"/>
      <c r="J8" s="21">
        <f>J5</f>
        <v>0</v>
      </c>
      <c r="K8" s="21"/>
      <c r="L8" s="21">
        <f>L5</f>
        <v>0</v>
      </c>
      <c r="M8" s="21">
        <f>M5</f>
        <v>0</v>
      </c>
      <c r="N8" s="21">
        <f>N5</f>
        <v>6514.2385526182779</v>
      </c>
      <c r="O8" s="21">
        <f>O5</f>
        <v>192.29000000000002</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0.21383356417066043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4535.6517279674317</v>
      </c>
      <c r="C12" s="23">
        <f ca="1">C10*C8</f>
        <v>0</v>
      </c>
      <c r="D12" s="23">
        <f>D8*D10</f>
        <v>12871.849479173145</v>
      </c>
      <c r="E12" s="23">
        <f>E10*E8</f>
        <v>301.84848066916572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5140</v>
      </c>
      <c r="C28" s="36"/>
      <c r="D28" s="228"/>
    </row>
    <row r="29" spans="1:7" s="15" customFormat="1">
      <c r="A29" s="230" t="s">
        <v>794</v>
      </c>
      <c r="B29" s="37">
        <f>SUM(HH_hh_gas_aantal,HH_rest_gas_aantal)</f>
        <v>4227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4227</v>
      </c>
      <c r="C32" s="167">
        <f>IF(ISERROR(B32/SUM($B$32,$B$34,$B$35,$B$36,$B$38,$B$39)*100),0,B32/SUM($B$32,$B$34,$B$35,$B$36,$B$38,$B$39)*100)</f>
        <v>82.590855803048072</v>
      </c>
      <c r="D32" s="233"/>
      <c r="G32" s="15"/>
    </row>
    <row r="33" spans="1:7">
      <c r="A33" s="171" t="s">
        <v>72</v>
      </c>
      <c r="B33" s="34" t="s">
        <v>111</v>
      </c>
      <c r="C33" s="167"/>
      <c r="D33" s="233"/>
      <c r="G33" s="15"/>
    </row>
    <row r="34" spans="1:7">
      <c r="A34" s="171" t="s">
        <v>73</v>
      </c>
      <c r="B34" s="33">
        <f>IF((($B$28-$B$32-$B$39-$B$77-$B$38)*C20/100)&lt;0,0,($B$28-$B$32-$B$39-$B$77-$B$38)*C20/100)</f>
        <v>62.801762114537453</v>
      </c>
      <c r="C34" s="167">
        <f>IF(ISERROR(B34/SUM($B$32,$B$34,$B$35,$B$36,$B$38,$B$39)*100),0,B34/SUM($B$32,$B$34,$B$35,$B$36,$B$38,$B$39)*100)</f>
        <v>1.2270762429569646</v>
      </c>
      <c r="D34" s="233"/>
      <c r="G34" s="15"/>
    </row>
    <row r="35" spans="1:7">
      <c r="A35" s="171" t="s">
        <v>74</v>
      </c>
      <c r="B35" s="33">
        <f>IF((($B$28-$B$32-$B$39-$B$77-$B$38)*C21/100)&lt;0,0,($B$28-$B$32-$B$39-$B$77-$B$38)*C21/100)</f>
        <v>737.92070484581495</v>
      </c>
      <c r="C35" s="167">
        <f>IF(ISERROR(B35/SUM($B$32,$B$34,$B$35,$B$36,$B$38,$B$39)*100),0,B35/SUM($B$32,$B$34,$B$35,$B$36,$B$38,$B$39)*100)</f>
        <v>14.418145854744333</v>
      </c>
      <c r="D35" s="233"/>
      <c r="G35" s="15"/>
    </row>
    <row r="36" spans="1:7">
      <c r="A36" s="171" t="s">
        <v>75</v>
      </c>
      <c r="B36" s="33">
        <f>IF((($B$28-$B$32-$B$39-$B$77-$B$38)*C22/100)&lt;0,0,($B$28-$B$32-$B$39-$B$77-$B$38)*C22/100)</f>
        <v>90.277533039647565</v>
      </c>
      <c r="C36" s="167">
        <f>IF(ISERROR(B36/SUM($B$32,$B$34,$B$35,$B$36,$B$38,$B$39)*100),0,B36/SUM($B$32,$B$34,$B$35,$B$36,$B$38,$B$39)*100)</f>
        <v>1.7639220992506361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4227</v>
      </c>
      <c r="C44" s="34" t="s">
        <v>111</v>
      </c>
      <c r="D44" s="174"/>
    </row>
    <row r="45" spans="1:7">
      <c r="A45" s="171" t="s">
        <v>72</v>
      </c>
      <c r="B45" s="33" t="str">
        <f t="shared" si="0"/>
        <v>-</v>
      </c>
      <c r="C45" s="34" t="s">
        <v>111</v>
      </c>
      <c r="D45" s="174"/>
    </row>
    <row r="46" spans="1:7">
      <c r="A46" s="171" t="s">
        <v>73</v>
      </c>
      <c r="B46" s="33">
        <f t="shared" si="0"/>
        <v>62.801762114537453</v>
      </c>
      <c r="C46" s="34" t="s">
        <v>111</v>
      </c>
      <c r="D46" s="174"/>
    </row>
    <row r="47" spans="1:7">
      <c r="A47" s="171" t="s">
        <v>74</v>
      </c>
      <c r="B47" s="33">
        <f t="shared" si="0"/>
        <v>737.92070484581495</v>
      </c>
      <c r="C47" s="34" t="s">
        <v>111</v>
      </c>
      <c r="D47" s="174"/>
    </row>
    <row r="48" spans="1:7">
      <c r="A48" s="171" t="s">
        <v>75</v>
      </c>
      <c r="B48" s="33">
        <f t="shared" si="0"/>
        <v>90.277533039647565</v>
      </c>
      <c r="C48" s="33">
        <f>B48*10</f>
        <v>902.77533039647562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30220.249941903639</v>
      </c>
      <c r="C5" s="17">
        <f>IF(ISERROR('Eigen informatie GS &amp; warmtenet'!B58),0,'Eigen informatie GS &amp; warmtenet'!B58)</f>
        <v>0</v>
      </c>
      <c r="D5" s="30">
        <f>SUM(D6:D12)</f>
        <v>37408.795575522643</v>
      </c>
      <c r="E5" s="17">
        <f>SUM(E6:E12)</f>
        <v>586.13796994237293</v>
      </c>
      <c r="F5" s="17">
        <f>SUM(F6:F12)</f>
        <v>5532.6722542082589</v>
      </c>
      <c r="G5" s="18"/>
      <c r="H5" s="17"/>
      <c r="I5" s="17"/>
      <c r="J5" s="17">
        <f>SUM(J6:J12)</f>
        <v>7.4446706479268848E-2</v>
      </c>
      <c r="K5" s="17"/>
      <c r="L5" s="17"/>
      <c r="M5" s="17"/>
      <c r="N5" s="17">
        <f>SUM(N6:N12)</f>
        <v>2953.6759764687909</v>
      </c>
      <c r="O5" s="17">
        <f>B38*B39*B40</f>
        <v>3.1266666666666669</v>
      </c>
      <c r="P5" s="17">
        <f>B46*B47*B48/1000-B46*B47*B48/1000/B49</f>
        <v>57.2</v>
      </c>
      <c r="R5" s="32"/>
    </row>
    <row r="6" spans="1:18">
      <c r="A6" s="32" t="s">
        <v>54</v>
      </c>
      <c r="B6" s="37">
        <f>B26</f>
        <v>6093.1968572408796</v>
      </c>
      <c r="C6" s="33"/>
      <c r="D6" s="37">
        <f>IF(ISERROR(TER_kantoor_gas_kWh/1000),0,TER_kantoor_gas_kWh/1000)*0.902</f>
        <v>8418.4852737406527</v>
      </c>
      <c r="E6" s="33">
        <f>$C$26*'E Balans VL '!I12/100/3.6*1000000</f>
        <v>3.819013133566012E-2</v>
      </c>
      <c r="F6" s="33">
        <f>$C$26*('E Balans VL '!L12+'E Balans VL '!N12)/100/3.6*1000000</f>
        <v>915.63722748476107</v>
      </c>
      <c r="G6" s="34"/>
      <c r="H6" s="33"/>
      <c r="I6" s="33"/>
      <c r="J6" s="33">
        <f>$C$26*('E Balans VL '!D12+'E Balans VL '!E12)/100/3.6*1000000</f>
        <v>0</v>
      </c>
      <c r="K6" s="33"/>
      <c r="L6" s="33"/>
      <c r="M6" s="33"/>
      <c r="N6" s="33">
        <f>$C$26*'E Balans VL '!Y12/100/3.6*1000000</f>
        <v>5.8272393783722256</v>
      </c>
      <c r="O6" s="33"/>
      <c r="P6" s="33"/>
      <c r="R6" s="32"/>
    </row>
    <row r="7" spans="1:18">
      <c r="A7" s="32" t="s">
        <v>53</v>
      </c>
      <c r="B7" s="37">
        <f t="shared" ref="B7:B12" si="0">B27</f>
        <v>1037.9383472999</v>
      </c>
      <c r="C7" s="33"/>
      <c r="D7" s="37">
        <f>IF(ISERROR(TER_horeca_gas_kWh/1000),0,TER_horeca_gas_kWh/1000)*0.902</f>
        <v>1671.83810837173</v>
      </c>
      <c r="E7" s="33">
        <f>$C$27*'E Balans VL '!I9/100/3.6*1000000</f>
        <v>14.86310424580981</v>
      </c>
      <c r="F7" s="33">
        <f>$C$27*('E Balans VL '!L9+'E Balans VL '!N9)/100/3.6*1000000</f>
        <v>131.43722729369892</v>
      </c>
      <c r="G7" s="34"/>
      <c r="H7" s="33"/>
      <c r="I7" s="33"/>
      <c r="J7" s="33">
        <f>$C$27*('E Balans VL '!D9+'E Balans VL '!E9)/100/3.6*1000000</f>
        <v>0</v>
      </c>
      <c r="K7" s="33"/>
      <c r="L7" s="33"/>
      <c r="M7" s="33"/>
      <c r="N7" s="33">
        <f>$C$27*'E Balans VL '!Y9/100/3.6*1000000</f>
        <v>0.29838439027256775</v>
      </c>
      <c r="O7" s="33"/>
      <c r="P7" s="33"/>
      <c r="R7" s="32"/>
    </row>
    <row r="8" spans="1:18">
      <c r="A8" s="6" t="s">
        <v>52</v>
      </c>
      <c r="B8" s="37">
        <f t="shared" si="0"/>
        <v>13223.039133308301</v>
      </c>
      <c r="C8" s="33"/>
      <c r="D8" s="37">
        <f>IF(ISERROR(TER_handel_gas_kWh/1000),0,TER_handel_gas_kWh/1000)*0.902</f>
        <v>8592.1081356948671</v>
      </c>
      <c r="E8" s="33">
        <f>$C$28*'E Balans VL '!I13/100/3.6*1000000</f>
        <v>479.59799877295922</v>
      </c>
      <c r="F8" s="33">
        <f>$C$28*('E Balans VL '!L13+'E Balans VL '!N13)/100/3.6*1000000</f>
        <v>2546.8912288589777</v>
      </c>
      <c r="G8" s="34"/>
      <c r="H8" s="33"/>
      <c r="I8" s="33"/>
      <c r="J8" s="33">
        <f>$C$28*('E Balans VL '!D13+'E Balans VL '!E13)/100/3.6*1000000</f>
        <v>0</v>
      </c>
      <c r="K8" s="33"/>
      <c r="L8" s="33"/>
      <c r="M8" s="33"/>
      <c r="N8" s="33">
        <f>$C$28*'E Balans VL '!Y13/100/3.6*1000000</f>
        <v>18.316951685245783</v>
      </c>
      <c r="O8" s="33"/>
      <c r="P8" s="33"/>
      <c r="R8" s="32"/>
    </row>
    <row r="9" spans="1:18">
      <c r="A9" s="32" t="s">
        <v>51</v>
      </c>
      <c r="B9" s="37">
        <f t="shared" si="0"/>
        <v>115.90421435315099</v>
      </c>
      <c r="C9" s="33"/>
      <c r="D9" s="37">
        <f>IF(ISERROR(TER_gezond_gas_kWh/1000),0,TER_gezond_gas_kWh/1000)*0.902</f>
        <v>177.27566252891069</v>
      </c>
      <c r="E9" s="33">
        <f>$C$29*'E Balans VL '!I10/100/3.6*1000000</f>
        <v>7.2567481658856806E-3</v>
      </c>
      <c r="F9" s="33">
        <f>$C$29*('E Balans VL '!L10+'E Balans VL '!N10)/100/3.6*1000000</f>
        <v>17.21792393688537</v>
      </c>
      <c r="G9" s="34"/>
      <c r="H9" s="33"/>
      <c r="I9" s="33"/>
      <c r="J9" s="33">
        <f>$C$29*('E Balans VL '!D10+'E Balans VL '!E10)/100/3.6*1000000</f>
        <v>0</v>
      </c>
      <c r="K9" s="33"/>
      <c r="L9" s="33"/>
      <c r="M9" s="33"/>
      <c r="N9" s="33">
        <f>$C$29*'E Balans VL '!Y10/100/3.6*1000000</f>
        <v>1.7928175714152312</v>
      </c>
      <c r="O9" s="33"/>
      <c r="P9" s="33"/>
      <c r="R9" s="32"/>
    </row>
    <row r="10" spans="1:18">
      <c r="A10" s="32" t="s">
        <v>50</v>
      </c>
      <c r="B10" s="37">
        <f t="shared" si="0"/>
        <v>2650.7721519924798</v>
      </c>
      <c r="C10" s="33"/>
      <c r="D10" s="37">
        <f>IF(ISERROR(TER_ander_gas_kWh/1000),0,TER_ander_gas_kWh/1000)*0.902</f>
        <v>882.23054981605628</v>
      </c>
      <c r="E10" s="33">
        <f>$C$30*'E Balans VL '!I14/100/3.6*1000000</f>
        <v>3.1596256825836297</v>
      </c>
      <c r="F10" s="33">
        <f>$C$30*('E Balans VL '!L14+'E Balans VL '!N14)/100/3.6*1000000</f>
        <v>693.55983903526635</v>
      </c>
      <c r="G10" s="34"/>
      <c r="H10" s="33"/>
      <c r="I10" s="33"/>
      <c r="J10" s="33">
        <f>$C$30*('E Balans VL '!D14+'E Balans VL '!E14)/100/3.6*1000000</f>
        <v>5.753787267982962E-2</v>
      </c>
      <c r="K10" s="33"/>
      <c r="L10" s="33"/>
      <c r="M10" s="33"/>
      <c r="N10" s="33">
        <f>$C$30*'E Balans VL '!Y14/100/3.6*1000000</f>
        <v>2250.970847990473</v>
      </c>
      <c r="O10" s="33"/>
      <c r="P10" s="33"/>
      <c r="R10" s="32"/>
    </row>
    <row r="11" spans="1:18">
      <c r="A11" s="32" t="s">
        <v>55</v>
      </c>
      <c r="B11" s="37">
        <f t="shared" si="0"/>
        <v>116.678783491348</v>
      </c>
      <c r="C11" s="33"/>
      <c r="D11" s="37">
        <f>IF(ISERROR(TER_onderwijs_gas_kWh/1000),0,TER_onderwijs_gas_kWh/1000)*0.902</f>
        <v>815.94851893556427</v>
      </c>
      <c r="E11" s="33">
        <f>$C$31*'E Balans VL '!I11/100/3.6*1000000</f>
        <v>1.7604949138335124</v>
      </c>
      <c r="F11" s="33">
        <f>$C$31*('E Balans VL '!L11+'E Balans VL '!N11)/100/3.6*1000000</f>
        <v>20.443986866703792</v>
      </c>
      <c r="G11" s="34"/>
      <c r="H11" s="33"/>
      <c r="I11" s="33"/>
      <c r="J11" s="33">
        <f>$C$31*('E Balans VL '!D11+'E Balans VL '!E11)/100/3.6*1000000</f>
        <v>0</v>
      </c>
      <c r="K11" s="33"/>
      <c r="L11" s="33"/>
      <c r="M11" s="33"/>
      <c r="N11" s="33">
        <f>$C$31*'E Balans VL '!Y11/100/3.6*1000000</f>
        <v>0.32834296700357041</v>
      </c>
      <c r="O11" s="33"/>
      <c r="P11" s="33"/>
      <c r="R11" s="32"/>
    </row>
    <row r="12" spans="1:18">
      <c r="A12" s="32" t="s">
        <v>260</v>
      </c>
      <c r="B12" s="37">
        <f t="shared" si="0"/>
        <v>6982.7204542175805</v>
      </c>
      <c r="C12" s="33"/>
      <c r="D12" s="37">
        <f>IF(ISERROR(TER_rest_gas_kWh/1000),0,TER_rest_gas_kWh/1000)*0.902</f>
        <v>16850.909326434863</v>
      </c>
      <c r="E12" s="33">
        <f>$C$32*'E Balans VL '!I8/100/3.6*1000000</f>
        <v>86.711299447685278</v>
      </c>
      <c r="F12" s="33">
        <f>$C$32*('E Balans VL '!L8+'E Balans VL '!N8)/100/3.6*1000000</f>
        <v>1207.4848207319651</v>
      </c>
      <c r="G12" s="34"/>
      <c r="H12" s="33"/>
      <c r="I12" s="33"/>
      <c r="J12" s="33">
        <f>$C$32*('E Balans VL '!D8+'E Balans VL '!E8)/100/3.6*1000000</f>
        <v>1.6908833799439235E-2</v>
      </c>
      <c r="K12" s="33"/>
      <c r="L12" s="33"/>
      <c r="M12" s="33"/>
      <c r="N12" s="33">
        <f>$C$32*'E Balans VL '!Y8/100/3.6*1000000</f>
        <v>676.14139248600861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30220.249941903639</v>
      </c>
      <c r="C16" s="21">
        <f t="shared" ca="1" si="1"/>
        <v>0</v>
      </c>
      <c r="D16" s="21">
        <f t="shared" ca="1" si="1"/>
        <v>37408.795575522643</v>
      </c>
      <c r="E16" s="21">
        <f t="shared" si="1"/>
        <v>586.13796994237293</v>
      </c>
      <c r="F16" s="21">
        <f t="shared" ca="1" si="1"/>
        <v>5532.6722542082589</v>
      </c>
      <c r="G16" s="21">
        <f t="shared" si="1"/>
        <v>0</v>
      </c>
      <c r="H16" s="21">
        <f t="shared" si="1"/>
        <v>0</v>
      </c>
      <c r="I16" s="21">
        <f t="shared" si="1"/>
        <v>0</v>
      </c>
      <c r="J16" s="21">
        <f t="shared" si="1"/>
        <v>7.4446706479268848E-2</v>
      </c>
      <c r="K16" s="21">
        <f t="shared" si="1"/>
        <v>0</v>
      </c>
      <c r="L16" s="21">
        <f t="shared" ca="1" si="1"/>
        <v>0</v>
      </c>
      <c r="M16" s="21">
        <f t="shared" si="1"/>
        <v>0</v>
      </c>
      <c r="N16" s="21">
        <f t="shared" ca="1" si="1"/>
        <v>2953.6759764687909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0.21383356417066043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6462.1037552054495</v>
      </c>
      <c r="C20" s="23">
        <f t="shared" ref="C20:P20" ca="1" si="2">C16*C18</f>
        <v>0</v>
      </c>
      <c r="D20" s="23">
        <f t="shared" ca="1" si="2"/>
        <v>7556.5767062555742</v>
      </c>
      <c r="E20" s="23">
        <f t="shared" si="2"/>
        <v>133.05331917691865</v>
      </c>
      <c r="F20" s="23">
        <f t="shared" ca="1" si="2"/>
        <v>1477.2234918736051</v>
      </c>
      <c r="G20" s="23">
        <f t="shared" si="2"/>
        <v>0</v>
      </c>
      <c r="H20" s="23">
        <f t="shared" si="2"/>
        <v>0</v>
      </c>
      <c r="I20" s="23">
        <f t="shared" si="2"/>
        <v>0</v>
      </c>
      <c r="J20" s="23">
        <f t="shared" si="2"/>
        <v>2.635413409366117E-2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6093.1968572408796</v>
      </c>
      <c r="C26" s="39">
        <f>IF(ISERROR(B26*3.6/1000000/'E Balans VL '!Z12*100),0,B26*3.6/1000000/'E Balans VL '!Z12*100)</f>
        <v>0.12880052915857676</v>
      </c>
      <c r="D26" s="237" t="s">
        <v>754</v>
      </c>
      <c r="F26" s="6"/>
    </row>
    <row r="27" spans="1:18">
      <c r="A27" s="231" t="s">
        <v>53</v>
      </c>
      <c r="B27" s="33">
        <f>IF(ISERROR(TER_horeca_ele_kWh/1000),0,TER_horeca_ele_kWh/1000)</f>
        <v>1037.9383472999</v>
      </c>
      <c r="C27" s="39">
        <f>IF(ISERROR(B27*3.6/1000000/'E Balans VL '!Z9*100),0,B27*3.6/1000000/'E Balans VL '!Z9*100)</f>
        <v>8.1820293058279203E-2</v>
      </c>
      <c r="D27" s="237" t="s">
        <v>754</v>
      </c>
      <c r="F27" s="6"/>
    </row>
    <row r="28" spans="1:18">
      <c r="A28" s="171" t="s">
        <v>52</v>
      </c>
      <c r="B28" s="33">
        <f>IF(ISERROR(TER_handel_ele_kWh/1000),0,TER_handel_ele_kWh/1000)</f>
        <v>13223.039133308301</v>
      </c>
      <c r="C28" s="39">
        <f>IF(ISERROR(B28*3.6/1000000/'E Balans VL '!Z13*100),0,B28*3.6/1000000/'E Balans VL '!Z13*100)</f>
        <v>0.38378602271353424</v>
      </c>
      <c r="D28" s="237" t="s">
        <v>754</v>
      </c>
      <c r="F28" s="6"/>
    </row>
    <row r="29" spans="1:18">
      <c r="A29" s="231" t="s">
        <v>51</v>
      </c>
      <c r="B29" s="33">
        <f>IF(ISERROR(TER_gezond_ele_kWh/1000),0,TER_gezond_ele_kWh/1000)</f>
        <v>115.90421435315099</v>
      </c>
      <c r="C29" s="39">
        <f>IF(ISERROR(B29*3.6/1000000/'E Balans VL '!Z10*100),0,B29*3.6/1000000/'E Balans VL '!Z10*100)</f>
        <v>1.2206616968823534E-2</v>
      </c>
      <c r="D29" s="237" t="s">
        <v>754</v>
      </c>
      <c r="F29" s="6"/>
    </row>
    <row r="30" spans="1:18">
      <c r="A30" s="231" t="s">
        <v>50</v>
      </c>
      <c r="B30" s="33">
        <f>IF(ISERROR(TER_ander_ele_kWh/1000),0,TER_ander_ele_kWh/1000)</f>
        <v>2650.7721519924798</v>
      </c>
      <c r="C30" s="39">
        <f>IF(ISERROR(B30*3.6/1000000/'E Balans VL '!Z14*100),0,B30*3.6/1000000/'E Balans VL '!Z14*100)</f>
        <v>0.19552152967581277</v>
      </c>
      <c r="D30" s="237" t="s">
        <v>754</v>
      </c>
      <c r="F30" s="6"/>
    </row>
    <row r="31" spans="1:18">
      <c r="A31" s="231" t="s">
        <v>55</v>
      </c>
      <c r="B31" s="33">
        <f>IF(ISERROR(TER_onderwijs_ele_kWh/1000),0,TER_onderwijs_ele_kWh/1000)</f>
        <v>116.678783491348</v>
      </c>
      <c r="C31" s="39">
        <f>IF(ISERROR(B31*3.6/1000000/'E Balans VL '!Z11*100),0,B31*3.6/1000000/'E Balans VL '!Z11*100)</f>
        <v>2.89768074969983E-2</v>
      </c>
      <c r="D31" s="237" t="s">
        <v>754</v>
      </c>
    </row>
    <row r="32" spans="1:18">
      <c r="A32" s="231" t="s">
        <v>260</v>
      </c>
      <c r="B32" s="33">
        <f>IF(ISERROR(TER_rest_ele_kWh/1000),0,TER_rest_ele_kWh/1000)</f>
        <v>6982.7204542175805</v>
      </c>
      <c r="C32" s="39">
        <f>IF(ISERROR(B32*3.6/1000000/'E Balans VL '!Z8*100),0,B32*3.6/1000000/'E Balans VL '!Z8*100)</f>
        <v>5.745852071898732E-2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29286.388908385703</v>
      </c>
      <c r="C5" s="17">
        <f>IF(ISERROR('Eigen informatie GS &amp; warmtenet'!B59),0,'Eigen informatie GS &amp; warmtenet'!B59)</f>
        <v>0</v>
      </c>
      <c r="D5" s="30">
        <f>SUM(D6:D15)</f>
        <v>77110.986759881154</v>
      </c>
      <c r="E5" s="17">
        <f>SUM(E6:E15)</f>
        <v>781.32404583304503</v>
      </c>
      <c r="F5" s="17">
        <f>SUM(F6:F15)</f>
        <v>3568.0820639233261</v>
      </c>
      <c r="G5" s="18"/>
      <c r="H5" s="17"/>
      <c r="I5" s="17"/>
      <c r="J5" s="17">
        <f>SUM(J6:J15)</f>
        <v>20.006829165764415</v>
      </c>
      <c r="K5" s="17"/>
      <c r="L5" s="17"/>
      <c r="M5" s="17"/>
      <c r="N5" s="17">
        <f>SUM(N6:N15)</f>
        <v>13083.073607742896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542.43549682837101</v>
      </c>
      <c r="C8" s="33"/>
      <c r="D8" s="37">
        <f>IF( ISERROR(IND_metaal_Gas_kWH/1000),0,IND_metaal_Gas_kWH/1000)*0.902</f>
        <v>500.69770555658903</v>
      </c>
      <c r="E8" s="33">
        <f>C30*'E Balans VL '!I18/100/3.6*1000000</f>
        <v>4.9871705041518322</v>
      </c>
      <c r="F8" s="33">
        <f>C30*'E Balans VL '!L18/100/3.6*1000000+C30*'E Balans VL '!N18/100/3.6*1000000</f>
        <v>50.862390096745813</v>
      </c>
      <c r="G8" s="34"/>
      <c r="H8" s="33"/>
      <c r="I8" s="33"/>
      <c r="J8" s="40">
        <f>C30*'E Balans VL '!D18/100/3.6*1000000+C30*'E Balans VL '!E18/100/3.6*1000000</f>
        <v>0</v>
      </c>
      <c r="K8" s="33"/>
      <c r="L8" s="33"/>
      <c r="M8" s="33"/>
      <c r="N8" s="33">
        <f>C30*'E Balans VL '!Y18/100/3.6*1000000</f>
        <v>7.7387387746640872</v>
      </c>
      <c r="O8" s="33"/>
      <c r="P8" s="33"/>
      <c r="R8" s="32"/>
    </row>
    <row r="9" spans="1:18">
      <c r="A9" s="6" t="s">
        <v>33</v>
      </c>
      <c r="B9" s="37">
        <f t="shared" si="0"/>
        <v>1478.8476556293999</v>
      </c>
      <c r="C9" s="33"/>
      <c r="D9" s="37">
        <f>IF( ISERROR(IND_andere_gas_kWh/1000),0,IND_andere_gas_kWh/1000)*0.902</f>
        <v>1928.7054085816594</v>
      </c>
      <c r="E9" s="33">
        <f>C31*'E Balans VL '!I19/100/3.6*1000000</f>
        <v>432.29595950859516</v>
      </c>
      <c r="F9" s="33">
        <f>C31*'E Balans VL '!L19/100/3.6*1000000+C31*'E Balans VL '!N19/100/3.6*1000000</f>
        <v>1188.3660297801835</v>
      </c>
      <c r="G9" s="34"/>
      <c r="H9" s="33"/>
      <c r="I9" s="33"/>
      <c r="J9" s="40">
        <f>C31*'E Balans VL '!D19/100/3.6*1000000+C31*'E Balans VL '!E19/100/3.6*1000000</f>
        <v>0</v>
      </c>
      <c r="K9" s="33"/>
      <c r="L9" s="33"/>
      <c r="M9" s="33"/>
      <c r="N9" s="33">
        <f>C31*'E Balans VL '!Y19/100/3.6*1000000</f>
        <v>488.63420072097841</v>
      </c>
      <c r="O9" s="33"/>
      <c r="P9" s="33"/>
      <c r="R9" s="32"/>
    </row>
    <row r="10" spans="1:18">
      <c r="A10" s="6" t="s">
        <v>41</v>
      </c>
      <c r="B10" s="37">
        <f t="shared" si="0"/>
        <v>18351.926780587502</v>
      </c>
      <c r="C10" s="33"/>
      <c r="D10" s="37">
        <f>IF( ISERROR(IND_voed_gas_kWh/1000),0,IND_voed_gas_kWh/1000)*0.902</f>
        <v>18728.388885095512</v>
      </c>
      <c r="E10" s="33">
        <f>C32*'E Balans VL '!I20/100/3.6*1000000</f>
        <v>38.823785654327764</v>
      </c>
      <c r="F10" s="33">
        <f>C32*'E Balans VL '!L20/100/3.6*1000000+C32*'E Balans VL '!N20/100/3.6*1000000</f>
        <v>1166.8342506532435</v>
      </c>
      <c r="G10" s="34"/>
      <c r="H10" s="33"/>
      <c r="I10" s="33"/>
      <c r="J10" s="40">
        <f>C32*'E Balans VL '!D20/100/3.6*1000000+C32*'E Balans VL '!E20/100/3.6*1000000</f>
        <v>0</v>
      </c>
      <c r="K10" s="33"/>
      <c r="L10" s="33"/>
      <c r="M10" s="33"/>
      <c r="N10" s="33">
        <f>C32*'E Balans VL '!Y20/100/3.6*1000000</f>
        <v>1266.4640490991417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3474.76338889006</v>
      </c>
      <c r="C13" s="33"/>
      <c r="D13" s="37">
        <f>IF( ISERROR(IND_papier_gas_kWh/1000),0,IND_papier_gas_kWh/1000)*0.902</f>
        <v>3120.7099777373355</v>
      </c>
      <c r="E13" s="33">
        <f>C35*'E Balans VL '!I23/100/3.6*1000000</f>
        <v>4.9298945766169808</v>
      </c>
      <c r="F13" s="33">
        <f>C35*'E Balans VL '!L23/100/3.6*1000000+C35*'E Balans VL '!N23/100/3.6*1000000</f>
        <v>84.83204027556819</v>
      </c>
      <c r="G13" s="34"/>
      <c r="H13" s="33"/>
      <c r="I13" s="33"/>
      <c r="J13" s="40">
        <f>C35*'E Balans VL '!D23/100/3.6*1000000+C35*'E Balans VL '!E23/100/3.6*1000000</f>
        <v>0.53740478115850931</v>
      </c>
      <c r="K13" s="33"/>
      <c r="L13" s="33"/>
      <c r="M13" s="33"/>
      <c r="N13" s="33">
        <f>C35*'E Balans VL '!Y23/100/3.6*1000000</f>
        <v>10100.314638512293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5438.41558645037</v>
      </c>
      <c r="C15" s="33"/>
      <c r="D15" s="37">
        <f>IF( ISERROR(IND_rest_gas_kWh/1000),0,IND_rest_gas_kWh/1000)*0.902</f>
        <v>52832.484782910062</v>
      </c>
      <c r="E15" s="33">
        <f>C37*'E Balans VL '!I15/100/3.6*1000000</f>
        <v>300.28723558935332</v>
      </c>
      <c r="F15" s="33">
        <f>C37*'E Balans VL '!L15/100/3.6*1000000+C37*'E Balans VL '!N15/100/3.6*1000000</f>
        <v>1077.187353117585</v>
      </c>
      <c r="G15" s="34"/>
      <c r="H15" s="33"/>
      <c r="I15" s="33"/>
      <c r="J15" s="40">
        <f>C37*'E Balans VL '!D15/100/3.6*1000000+C37*'E Balans VL '!E15/100/3.6*1000000</f>
        <v>19.469424384605905</v>
      </c>
      <c r="K15" s="33"/>
      <c r="L15" s="33"/>
      <c r="M15" s="33"/>
      <c r="N15" s="33">
        <f>C37*'E Balans VL '!Y15/100/3.6*1000000</f>
        <v>1219.9219806358199</v>
      </c>
      <c r="O15" s="33"/>
      <c r="P15" s="33"/>
      <c r="R15" s="32"/>
    </row>
    <row r="16" spans="1:18">
      <c r="A16" s="16" t="s">
        <v>488</v>
      </c>
      <c r="B16" s="247">
        <f>'lokale energieproductie'!N90+'lokale energieproductie'!N59</f>
        <v>18891</v>
      </c>
      <c r="C16" s="247">
        <f>'lokale energieproductie'!O90+'lokale energieproductie'!O59</f>
        <v>26987.142857142859</v>
      </c>
      <c r="D16" s="310">
        <f>('lokale energieproductie'!P59+'lokale energieproductie'!P90)*(-1)</f>
        <v>-53974.285714285717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48177.388908385707</v>
      </c>
      <c r="C18" s="21">
        <f>C5+C16</f>
        <v>26987.142857142859</v>
      </c>
      <c r="D18" s="21">
        <f>MAX((D5+D16),0)</f>
        <v>23136.701045595437</v>
      </c>
      <c r="E18" s="21">
        <f>MAX((E5+E16),0)</f>
        <v>781.32404583304503</v>
      </c>
      <c r="F18" s="21">
        <f>MAX((F5+F16),0)</f>
        <v>3568.0820639233261</v>
      </c>
      <c r="G18" s="21"/>
      <c r="H18" s="21"/>
      <c r="I18" s="21"/>
      <c r="J18" s="21">
        <f>MAX((J5+J16),0)</f>
        <v>20.006829165764415</v>
      </c>
      <c r="K18" s="21"/>
      <c r="L18" s="21">
        <f>MAX((L5+L16),0)</f>
        <v>0</v>
      </c>
      <c r="M18" s="21"/>
      <c r="N18" s="21">
        <f>MAX((N5+N16),0)</f>
        <v>13083.073607742896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0.21383356417066043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10301.94278271616</v>
      </c>
      <c r="C22" s="23">
        <f ca="1">C18*C20</f>
        <v>6413.4151260504223</v>
      </c>
      <c r="D22" s="23">
        <f>D18*D20</f>
        <v>4673.6136112102786</v>
      </c>
      <c r="E22" s="23">
        <f>E18*E20</f>
        <v>177.36055840410123</v>
      </c>
      <c r="F22" s="23">
        <f>F18*F20</f>
        <v>952.67791106752816</v>
      </c>
      <c r="G22" s="23"/>
      <c r="H22" s="23"/>
      <c r="I22" s="23"/>
      <c r="J22" s="23">
        <f>J18*J20</f>
        <v>7.0824175246806025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542.43549682837101</v>
      </c>
      <c r="C30" s="39">
        <f>IF(ISERROR(B30*3.6/1000000/'E Balans VL '!Z18*100),0,B30*3.6/1000000/'E Balans VL '!Z18*100)</f>
        <v>3.0741210500848954E-2</v>
      </c>
      <c r="D30" s="237" t="s">
        <v>754</v>
      </c>
    </row>
    <row r="31" spans="1:18">
      <c r="A31" s="6" t="s">
        <v>33</v>
      </c>
      <c r="B31" s="37">
        <f>IF( ISERROR(IND_ander_ele_kWh/1000),0,IND_ander_ele_kWh/1000)</f>
        <v>1478.8476556293999</v>
      </c>
      <c r="C31" s="39">
        <f>IF(ISERROR(B31*3.6/1000000/'E Balans VL '!Z19*100),0,B31*3.6/1000000/'E Balans VL '!Z19*100)</f>
        <v>6.7074371844886418E-2</v>
      </c>
      <c r="D31" s="237" t="s">
        <v>754</v>
      </c>
    </row>
    <row r="32" spans="1:18">
      <c r="A32" s="171" t="s">
        <v>41</v>
      </c>
      <c r="B32" s="37">
        <f>IF( ISERROR(IND_voed_ele_kWh/1000),0,IND_voed_ele_kWh/1000)</f>
        <v>18351.926780587502</v>
      </c>
      <c r="C32" s="39">
        <f>IF(ISERROR(B32*3.6/1000000/'E Balans VL '!Z20*100),0,B32*3.6/1000000/'E Balans VL '!Z20*100)</f>
        <v>0.56770840603677419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3474.76338889006</v>
      </c>
      <c r="C35" s="39">
        <f>IF(ISERROR(B35*3.6/1000000/'E Balans VL '!Z22*100),0,B35*3.6/1000000/'E Balans VL '!Z22*100)</f>
        <v>0.625001522292153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5438.41558645037</v>
      </c>
      <c r="C37" s="39">
        <f>IF(ISERROR(B37*3.6/1000000/'E Balans VL '!Z15*100),0,B37*3.6/1000000/'E Balans VL '!Z15*100)</f>
        <v>4.3106122532165302E-2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350.14875807491381</v>
      </c>
      <c r="C5" s="17">
        <f>'Eigen informatie GS &amp; warmtenet'!B60</f>
        <v>0</v>
      </c>
      <c r="D5" s="30">
        <f>IF(ISERROR(SUM(LB_lb_gas_kWh,LB_rest_gas_kWh)/1000),0,SUM(LB_lb_gas_kWh,LB_rest_gas_kWh)/1000)*0.902</f>
        <v>12110.150240591913</v>
      </c>
      <c r="E5" s="17">
        <f>B17*'E Balans VL '!I25/3.6*1000000/100</f>
        <v>10.291941477569603</v>
      </c>
      <c r="F5" s="17">
        <f>B17*('E Balans VL '!L25/3.6*1000000+'E Balans VL '!N25/3.6*1000000)/100</f>
        <v>1458.7008050943261</v>
      </c>
      <c r="G5" s="18"/>
      <c r="H5" s="17"/>
      <c r="I5" s="17"/>
      <c r="J5" s="17">
        <f>('E Balans VL '!D25+'E Balans VL '!E25)/3.6*1000000*landbouw!B17/100</f>
        <v>50.729035514400131</v>
      </c>
      <c r="K5" s="17"/>
      <c r="L5" s="17">
        <f>L6*(-1)</f>
        <v>0</v>
      </c>
      <c r="M5" s="17"/>
      <c r="N5" s="17">
        <f>N6*(-1)</f>
        <v>0</v>
      </c>
      <c r="O5" s="17"/>
      <c r="P5" s="17"/>
      <c r="R5" s="32"/>
    </row>
    <row r="6" spans="1:18">
      <c r="A6" s="16" t="s">
        <v>488</v>
      </c>
      <c r="B6" s="17" t="s">
        <v>211</v>
      </c>
      <c r="C6" s="17">
        <f>'lokale energieproductie'!O92+'lokale energieproductie'!O61</f>
        <v>10131.428571428571</v>
      </c>
      <c r="D6" s="310">
        <f>('lokale energieproductie'!P61+'lokale energieproductie'!P92)*(-1)</f>
        <v>-20262.857142857141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350.14875807491381</v>
      </c>
      <c r="C8" s="21">
        <f>C5+C6</f>
        <v>10131.428571428571</v>
      </c>
      <c r="D8" s="21">
        <f>MAX((D5+D6),0)</f>
        <v>0</v>
      </c>
      <c r="E8" s="21">
        <f>MAX((E5+E6),0)</f>
        <v>10.291941477569603</v>
      </c>
      <c r="F8" s="21">
        <f>MAX((F5+F6),0)</f>
        <v>1458.7008050943261</v>
      </c>
      <c r="G8" s="21"/>
      <c r="H8" s="21"/>
      <c r="I8" s="21"/>
      <c r="J8" s="21">
        <f>MAX((J5+J6),0)</f>
        <v>50.729035514400131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0.21383356417066043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74.873556929089133</v>
      </c>
      <c r="C12" s="23">
        <f ca="1">C8*C10</f>
        <v>2407.7042016806727</v>
      </c>
      <c r="D12" s="23">
        <f>D8*D10</f>
        <v>0</v>
      </c>
      <c r="E12" s="23">
        <f>E8*E10</f>
        <v>2.3362707154083</v>
      </c>
      <c r="F12" s="23">
        <f>F8*F10</f>
        <v>389.47311496018511</v>
      </c>
      <c r="G12" s="23"/>
      <c r="H12" s="23"/>
      <c r="I12" s="23"/>
      <c r="J12" s="23">
        <f>J8*J10</f>
        <v>17.958078572097644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4.968720732905612E-2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4.8812954250626186</v>
      </c>
      <c r="C26" s="247">
        <f>B26*'GWP N2O_CH4'!B5</f>
        <v>102.50720392631499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0.25903855457251024</v>
      </c>
      <c r="C27" s="247">
        <f>B27*'GWP N2O_CH4'!B5</f>
        <v>5.4398096460227148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5.7662087921225638E-2</v>
      </c>
      <c r="C28" s="247">
        <f>B28*'GWP N2O_CH4'!B4</f>
        <v>17.875247255579946</v>
      </c>
      <c r="D28" s="50"/>
    </row>
    <row r="29" spans="1:4">
      <c r="A29" s="41" t="s">
        <v>277</v>
      </c>
      <c r="B29" s="247">
        <f>B34*'ha_N2O bodem landbouw'!B4</f>
        <v>2.3348294245680083</v>
      </c>
      <c r="C29" s="247">
        <f>B29*'GWP N2O_CH4'!B4</f>
        <v>723.79712161608256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5.3280002850627139E-4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3.1035113679171624E-4</v>
      </c>
      <c r="C5" s="463" t="s">
        <v>211</v>
      </c>
      <c r="D5" s="448">
        <f>SUM(D6:D11)</f>
        <v>1.0014650908394497E-3</v>
      </c>
      <c r="E5" s="448">
        <f>SUM(E6:E11)</f>
        <v>1.6189312138894497E-3</v>
      </c>
      <c r="F5" s="461" t="s">
        <v>211</v>
      </c>
      <c r="G5" s="448">
        <f>SUM(G6:G11)</f>
        <v>0.76048104024056284</v>
      </c>
      <c r="H5" s="448">
        <f>SUM(H6:H11)</f>
        <v>0.11742766762720627</v>
      </c>
      <c r="I5" s="463" t="s">
        <v>211</v>
      </c>
      <c r="J5" s="463" t="s">
        <v>211</v>
      </c>
      <c r="K5" s="463" t="s">
        <v>211</v>
      </c>
      <c r="L5" s="463" t="s">
        <v>211</v>
      </c>
      <c r="M5" s="448">
        <f>SUM(M6:M11)</f>
        <v>4.7896064624353779E-2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4.8227063252759541E-5</v>
      </c>
      <c r="C6" s="449"/>
      <c r="D6" s="892">
        <f>vkm_2011_GW_PW*SUMIFS(TableVerdeelsleutelVkm[CNG],TableVerdeelsleutelVkm[Voertuigtype],"Lichte voertuigen")*SUMIFS(TableECFTransport[EnergieConsumptieFactor (PJ per km)],TableECFTransport[Index],CONCATENATE($A6,"_CNG_CNG"))</f>
        <v>1.4465350994175496E-4</v>
      </c>
      <c r="E6" s="892">
        <f>vkm_2011_GW_PW*SUMIFS(TableVerdeelsleutelVkm[LPG],TableVerdeelsleutelVkm[Voertuigtype],"Lichte voertuigen")*SUMIFS(TableECFTransport[EnergieConsumptieFactor (PJ per km)],TableECFTransport[Index],CONCATENATE($A6,"_LPG_LPG"))</f>
        <v>1.9761747303313138E-4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5.1094819600603907E-2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1.6452672295083008E-2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3.4705405683370981E-3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3.1748720144282261E-2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9.6763647627058445E-6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1.8552880911300487E-3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1.5663917695633774E-5</v>
      </c>
      <c r="C8" s="449"/>
      <c r="D8" s="451">
        <f>vkm_2011_NGW_PW*SUMIFS(TableVerdeelsleutelVkm[CNG],TableVerdeelsleutelVkm[Voertuigtype],"Lichte voertuigen")*SUMIFS(TableECFTransport[EnergieConsumptieFactor (PJ per km)],TableECFTransport[Index],CONCATENATE($A8,"_CNG_CNG"))</f>
        <v>8.3535878604481669E-5</v>
      </c>
      <c r="E8" s="451">
        <f>vkm_2011_NGW_PW*SUMIFS(TableVerdeelsleutelVkm[LPG],TableVerdeelsleutelVkm[Voertuigtype],"Lichte voertuigen")*SUMIFS(TableECFTransport[EnergieConsumptieFactor (PJ per km)],TableECFTransport[Index],CONCATENATE($A8,"_LPG_LPG"))</f>
        <v>1.0568993066885794E-4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2.546547294333331E-2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9.2331290801172788E-3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1.760173330362338E-3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1.4113110969882688E-2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4.0493863703885459E-6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8.2471515855065303E-4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2.4646015584332294E-4</v>
      </c>
      <c r="C10" s="449"/>
      <c r="D10" s="451">
        <f>vkm_2011_SW_PW*SUMIFS(TableVerdeelsleutelVkm[CNG],TableVerdeelsleutelVkm[Voertuigtype],"Lichte voertuigen")*SUMIFS(TableECFTransport[EnergieConsumptieFactor (PJ per km)],TableECFTransport[Index],CONCATENATE($A10,"_CNG_CNG"))</f>
        <v>7.7327570229321298E-4</v>
      </c>
      <c r="E10" s="451">
        <f>vkm_2011_SW_PW*SUMIFS(TableVerdeelsleutelVkm[LPG],TableVerdeelsleutelVkm[Voertuigtype],"Lichte voertuigen")*SUMIFS(TableECFTransport[EnergieConsumptieFactor (PJ per km)],TableECFTransport[Index],CONCATENATE($A10,"_LPG_LPG"))</f>
        <v>1.3156238101874602E-3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0.30325426905390218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9.1617946737985761E-2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2.0420253034650983E-2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0.33480464752855843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1.1019376288712338E-4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1.9565094441322657E-2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86.208649108810079</v>
      </c>
      <c r="C14" s="21"/>
      <c r="D14" s="21">
        <f t="shared" ref="D14:M14" si="0">((D5)*10^9/3600)+D12</f>
        <v>278.18474745540266</v>
      </c>
      <c r="E14" s="21">
        <f t="shared" si="0"/>
        <v>449.70311496929156</v>
      </c>
      <c r="F14" s="21"/>
      <c r="G14" s="21">
        <f t="shared" si="0"/>
        <v>211244.73340015634</v>
      </c>
      <c r="H14" s="21">
        <f t="shared" si="0"/>
        <v>32618.79656311285</v>
      </c>
      <c r="I14" s="21"/>
      <c r="J14" s="21"/>
      <c r="K14" s="21"/>
      <c r="L14" s="21"/>
      <c r="M14" s="21">
        <f t="shared" si="0"/>
        <v>13304.462395653829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0.21383356417066043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18.434302701274689</v>
      </c>
      <c r="C18" s="23"/>
      <c r="D18" s="23">
        <f t="shared" ref="D18:M18" si="1">D14*D16</f>
        <v>56.19331898599134</v>
      </c>
      <c r="E18" s="23">
        <f t="shared" si="1"/>
        <v>102.08260709802919</v>
      </c>
      <c r="F18" s="23"/>
      <c r="G18" s="23">
        <f t="shared" si="1"/>
        <v>56402.343817841749</v>
      </c>
      <c r="H18" s="23">
        <f t="shared" si="1"/>
        <v>8122.0803442151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8.0133926235675512E-3</v>
      </c>
      <c r="H50" s="321">
        <f t="shared" si="2"/>
        <v>0</v>
      </c>
      <c r="I50" s="321">
        <f t="shared" si="2"/>
        <v>0</v>
      </c>
      <c r="J50" s="321">
        <f t="shared" si="2"/>
        <v>0</v>
      </c>
      <c r="K50" s="321">
        <f t="shared" si="2"/>
        <v>0</v>
      </c>
      <c r="L50" s="321">
        <f t="shared" si="2"/>
        <v>0</v>
      </c>
      <c r="M50" s="321">
        <f t="shared" si="2"/>
        <v>4.5512532528480058E-4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8.0133926235675512E-3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4.5512532528480058E-4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2225.9423954354311</v>
      </c>
      <c r="H54" s="21">
        <f t="shared" si="3"/>
        <v>0</v>
      </c>
      <c r="I54" s="21">
        <f t="shared" si="3"/>
        <v>0</v>
      </c>
      <c r="J54" s="21">
        <f t="shared" si="3"/>
        <v>0</v>
      </c>
      <c r="K54" s="21">
        <f t="shared" si="3"/>
        <v>0</v>
      </c>
      <c r="L54" s="21">
        <f t="shared" si="3"/>
        <v>0</v>
      </c>
      <c r="M54" s="21">
        <f t="shared" si="3"/>
        <v>126.42370146800015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0.21383356417066043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594.32661958126016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31105.53694190364</v>
      </c>
      <c r="D10" s="1013">
        <f ca="1">tertiair!C16</f>
        <v>0</v>
      </c>
      <c r="E10" s="1013">
        <f ca="1">tertiair!D16</f>
        <v>37408.795575522643</v>
      </c>
      <c r="F10" s="1013">
        <f>tertiair!E16</f>
        <v>586.13796994237293</v>
      </c>
      <c r="G10" s="1013">
        <f ca="1">tertiair!F16</f>
        <v>5532.6722542082589</v>
      </c>
      <c r="H10" s="1013">
        <f>tertiair!G16</f>
        <v>0</v>
      </c>
      <c r="I10" s="1013">
        <f>tertiair!H16</f>
        <v>0</v>
      </c>
      <c r="J10" s="1013">
        <f>tertiair!I16</f>
        <v>0</v>
      </c>
      <c r="K10" s="1013">
        <f>tertiair!J16</f>
        <v>7.4446706479268848E-2</v>
      </c>
      <c r="L10" s="1013">
        <f>tertiair!K16</f>
        <v>0</v>
      </c>
      <c r="M10" s="1013">
        <f ca="1">tertiair!L16</f>
        <v>0</v>
      </c>
      <c r="N10" s="1013">
        <f>tertiair!M16</f>
        <v>0</v>
      </c>
      <c r="O10" s="1013">
        <f ca="1">tertiair!N16</f>
        <v>2953.6759764687909</v>
      </c>
      <c r="P10" s="1013">
        <f>tertiair!O16</f>
        <v>3.1266666666666669</v>
      </c>
      <c r="Q10" s="1014">
        <f>tertiair!P16</f>
        <v>57.2</v>
      </c>
      <c r="R10" s="700">
        <f ca="1">SUM(C10:Q10)</f>
        <v>77647.219831418843</v>
      </c>
      <c r="S10" s="67"/>
    </row>
    <row r="11" spans="1:19" s="473" customFormat="1">
      <c r="A11" s="809" t="s">
        <v>225</v>
      </c>
      <c r="B11" s="814"/>
      <c r="C11" s="1013">
        <f>huishoudens!B8</f>
        <v>21211.130935214318</v>
      </c>
      <c r="D11" s="1013">
        <f>huishoudens!C8</f>
        <v>0</v>
      </c>
      <c r="E11" s="1013">
        <f>huishoudens!D8</f>
        <v>63722.027124619526</v>
      </c>
      <c r="F11" s="1013">
        <f>huishoudens!E8</f>
        <v>1329.7289897320077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6514.2385526182779</v>
      </c>
      <c r="P11" s="1013">
        <f>huishoudens!O8</f>
        <v>192.29000000000002</v>
      </c>
      <c r="Q11" s="1014">
        <f>huishoudens!P8</f>
        <v>419.4666666666667</v>
      </c>
      <c r="R11" s="700">
        <f>SUM(C11:Q11)</f>
        <v>93388.882268850779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48177.388908385707</v>
      </c>
      <c r="D13" s="1013">
        <f>industrie!C18</f>
        <v>26987.142857142859</v>
      </c>
      <c r="E13" s="1013">
        <f>industrie!D18</f>
        <v>23136.701045595437</v>
      </c>
      <c r="F13" s="1013">
        <f>industrie!E18</f>
        <v>781.32404583304503</v>
      </c>
      <c r="G13" s="1013">
        <f>industrie!F18</f>
        <v>3568.0820639233261</v>
      </c>
      <c r="H13" s="1013">
        <f>industrie!G18</f>
        <v>0</v>
      </c>
      <c r="I13" s="1013">
        <f>industrie!H18</f>
        <v>0</v>
      </c>
      <c r="J13" s="1013">
        <f>industrie!I18</f>
        <v>0</v>
      </c>
      <c r="K13" s="1013">
        <f>industrie!J18</f>
        <v>20.006829165764415</v>
      </c>
      <c r="L13" s="1013">
        <f>industrie!K18</f>
        <v>0</v>
      </c>
      <c r="M13" s="1013">
        <f>industrie!L18</f>
        <v>0</v>
      </c>
      <c r="N13" s="1013">
        <f>industrie!M18</f>
        <v>0</v>
      </c>
      <c r="O13" s="1013">
        <f>industrie!N18</f>
        <v>13083.073607742896</v>
      </c>
      <c r="P13" s="1013">
        <f>industrie!O18</f>
        <v>0</v>
      </c>
      <c r="Q13" s="1014">
        <f>industrie!P18</f>
        <v>0</v>
      </c>
      <c r="R13" s="700">
        <f>SUM(C13:Q13)</f>
        <v>115753.71935778903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100494.05678550366</v>
      </c>
      <c r="D16" s="732">
        <f t="shared" ref="D16:R16" ca="1" si="0">SUM(D9:D15)</f>
        <v>26987.142857142859</v>
      </c>
      <c r="E16" s="732">
        <f t="shared" ca="1" si="0"/>
        <v>124267.52374573759</v>
      </c>
      <c r="F16" s="732">
        <f t="shared" si="0"/>
        <v>2697.1910055074259</v>
      </c>
      <c r="G16" s="732">
        <f t="shared" ca="1" si="0"/>
        <v>9100.754318131585</v>
      </c>
      <c r="H16" s="732">
        <f t="shared" si="0"/>
        <v>0</v>
      </c>
      <c r="I16" s="732">
        <f t="shared" si="0"/>
        <v>0</v>
      </c>
      <c r="J16" s="732">
        <f t="shared" si="0"/>
        <v>0</v>
      </c>
      <c r="K16" s="732">
        <f t="shared" si="0"/>
        <v>20.081275872243683</v>
      </c>
      <c r="L16" s="732">
        <f t="shared" si="0"/>
        <v>0</v>
      </c>
      <c r="M16" s="732">
        <f t="shared" ca="1" si="0"/>
        <v>0</v>
      </c>
      <c r="N16" s="732">
        <f t="shared" si="0"/>
        <v>0</v>
      </c>
      <c r="O16" s="732">
        <f t="shared" ca="1" si="0"/>
        <v>22550.988136829965</v>
      </c>
      <c r="P16" s="732">
        <f t="shared" si="0"/>
        <v>195.41666666666669</v>
      </c>
      <c r="Q16" s="732">
        <f t="shared" si="0"/>
        <v>476.66666666666669</v>
      </c>
      <c r="R16" s="732">
        <f t="shared" ca="1" si="0"/>
        <v>286789.82145805866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2225.9423954354311</v>
      </c>
      <c r="I19" s="1013">
        <f>transport!H54</f>
        <v>0</v>
      </c>
      <c r="J19" s="1013">
        <f>transport!I54</f>
        <v>0</v>
      </c>
      <c r="K19" s="1013">
        <f>transport!J54</f>
        <v>0</v>
      </c>
      <c r="L19" s="1013">
        <f>transport!K54</f>
        <v>0</v>
      </c>
      <c r="M19" s="1013">
        <f>transport!L54</f>
        <v>0</v>
      </c>
      <c r="N19" s="1013">
        <f>transport!M54</f>
        <v>126.42370146800015</v>
      </c>
      <c r="O19" s="1013">
        <f>transport!N54</f>
        <v>0</v>
      </c>
      <c r="P19" s="1013">
        <f>transport!O54</f>
        <v>0</v>
      </c>
      <c r="Q19" s="1014">
        <f>transport!P54</f>
        <v>0</v>
      </c>
      <c r="R19" s="700">
        <f>SUM(C19:Q19)</f>
        <v>2352.3660969034313</v>
      </c>
      <c r="S19" s="67"/>
    </row>
    <row r="20" spans="1:19" s="473" customFormat="1">
      <c r="A20" s="809" t="s">
        <v>307</v>
      </c>
      <c r="B20" s="814"/>
      <c r="C20" s="1013">
        <f>transport!B14</f>
        <v>86.208649108810079</v>
      </c>
      <c r="D20" s="1013">
        <f>transport!C14</f>
        <v>0</v>
      </c>
      <c r="E20" s="1013">
        <f>transport!D14</f>
        <v>278.18474745540266</v>
      </c>
      <c r="F20" s="1013">
        <f>transport!E14</f>
        <v>449.70311496929156</v>
      </c>
      <c r="G20" s="1013">
        <f>transport!F14</f>
        <v>0</v>
      </c>
      <c r="H20" s="1013">
        <f>transport!G14</f>
        <v>211244.73340015634</v>
      </c>
      <c r="I20" s="1013">
        <f>transport!H14</f>
        <v>32618.79656311285</v>
      </c>
      <c r="J20" s="1013">
        <f>transport!I14</f>
        <v>0</v>
      </c>
      <c r="K20" s="1013">
        <f>transport!J14</f>
        <v>0</v>
      </c>
      <c r="L20" s="1013">
        <f>transport!K14</f>
        <v>0</v>
      </c>
      <c r="M20" s="1013">
        <f>transport!L14</f>
        <v>0</v>
      </c>
      <c r="N20" s="1013">
        <f>transport!M14</f>
        <v>13304.462395653829</v>
      </c>
      <c r="O20" s="1013">
        <f>transport!N14</f>
        <v>0</v>
      </c>
      <c r="P20" s="1013">
        <f>transport!O14</f>
        <v>0</v>
      </c>
      <c r="Q20" s="1014">
        <f>transport!P14</f>
        <v>0</v>
      </c>
      <c r="R20" s="700">
        <f>SUM(C20:Q20)</f>
        <v>257982.08887045653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86.208649108810079</v>
      </c>
      <c r="D22" s="812">
        <f t="shared" ref="D22:R22" si="1">SUM(D18:D21)</f>
        <v>0</v>
      </c>
      <c r="E22" s="812">
        <f t="shared" si="1"/>
        <v>278.18474745540266</v>
      </c>
      <c r="F22" s="812">
        <f t="shared" si="1"/>
        <v>449.70311496929156</v>
      </c>
      <c r="G22" s="812">
        <f t="shared" si="1"/>
        <v>0</v>
      </c>
      <c r="H22" s="812">
        <f t="shared" si="1"/>
        <v>213470.67579559179</v>
      </c>
      <c r="I22" s="812">
        <f t="shared" si="1"/>
        <v>32618.79656311285</v>
      </c>
      <c r="J22" s="812">
        <f t="shared" si="1"/>
        <v>0</v>
      </c>
      <c r="K22" s="812">
        <f t="shared" si="1"/>
        <v>0</v>
      </c>
      <c r="L22" s="812">
        <f t="shared" si="1"/>
        <v>0</v>
      </c>
      <c r="M22" s="812">
        <f t="shared" si="1"/>
        <v>0</v>
      </c>
      <c r="N22" s="812">
        <f t="shared" si="1"/>
        <v>13430.886097121829</v>
      </c>
      <c r="O22" s="812">
        <f t="shared" si="1"/>
        <v>0</v>
      </c>
      <c r="P22" s="812">
        <f t="shared" si="1"/>
        <v>0</v>
      </c>
      <c r="Q22" s="812">
        <f t="shared" si="1"/>
        <v>0</v>
      </c>
      <c r="R22" s="812">
        <f t="shared" si="1"/>
        <v>260334.45496735995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350.14875807491381</v>
      </c>
      <c r="D24" s="1013">
        <f>+landbouw!C8</f>
        <v>10131.428571428571</v>
      </c>
      <c r="E24" s="1013">
        <f>+landbouw!D8</f>
        <v>0</v>
      </c>
      <c r="F24" s="1013">
        <f>+landbouw!E8</f>
        <v>10.291941477569603</v>
      </c>
      <c r="G24" s="1013">
        <f>+landbouw!F8</f>
        <v>1458.7008050943261</v>
      </c>
      <c r="H24" s="1013">
        <f>+landbouw!G8</f>
        <v>0</v>
      </c>
      <c r="I24" s="1013">
        <f>+landbouw!H8</f>
        <v>0</v>
      </c>
      <c r="J24" s="1013">
        <f>+landbouw!I8</f>
        <v>0</v>
      </c>
      <c r="K24" s="1013">
        <f>+landbouw!J8</f>
        <v>50.729035514400131</v>
      </c>
      <c r="L24" s="1013">
        <f>+landbouw!K8</f>
        <v>0</v>
      </c>
      <c r="M24" s="1013">
        <f>+landbouw!L8</f>
        <v>0</v>
      </c>
      <c r="N24" s="1013">
        <f>+landbouw!M8</f>
        <v>0</v>
      </c>
      <c r="O24" s="1013">
        <f>+landbouw!N8</f>
        <v>0</v>
      </c>
      <c r="P24" s="1013">
        <f>+landbouw!O8</f>
        <v>0</v>
      </c>
      <c r="Q24" s="1014">
        <f>+landbouw!P8</f>
        <v>0</v>
      </c>
      <c r="R24" s="700">
        <f>SUM(C24:Q24)</f>
        <v>12001.29911158978</v>
      </c>
      <c r="S24" s="67"/>
    </row>
    <row r="25" spans="1:19" s="473" customFormat="1" ht="15" thickBot="1">
      <c r="A25" s="831" t="s">
        <v>836</v>
      </c>
      <c r="B25" s="1016"/>
      <c r="C25" s="1017">
        <f>IF(Onbekend_ele_kWh="---",0,Onbekend_ele_kWh)/1000+IF(REST_rest_ele_kWh="---",0,REST_rest_ele_kWh)/1000</f>
        <v>705.20821434913796</v>
      </c>
      <c r="D25" s="1017"/>
      <c r="E25" s="1017">
        <f>IF(onbekend_gas_kWh="---",0,onbekend_gas_kWh)/1000+IF(REST_rest_gas_kWh="---",0,REST_rest_gas_kWh)/1000</f>
        <v>1920.83246030544</v>
      </c>
      <c r="F25" s="1017"/>
      <c r="G25" s="1017"/>
      <c r="H25" s="1017"/>
      <c r="I25" s="1017"/>
      <c r="J25" s="1017"/>
      <c r="K25" s="1017"/>
      <c r="L25" s="1017"/>
      <c r="M25" s="1017"/>
      <c r="N25" s="1017"/>
      <c r="O25" s="1017"/>
      <c r="P25" s="1017"/>
      <c r="Q25" s="1018"/>
      <c r="R25" s="700">
        <f>SUM(C25:Q25)</f>
        <v>2626.0406746545777</v>
      </c>
      <c r="S25" s="67"/>
    </row>
    <row r="26" spans="1:19" s="473" customFormat="1" ht="15.75" thickBot="1">
      <c r="A26" s="705" t="s">
        <v>837</v>
      </c>
      <c r="B26" s="817"/>
      <c r="C26" s="812">
        <f>SUM(C24:C25)</f>
        <v>1055.3569724240517</v>
      </c>
      <c r="D26" s="812">
        <f t="shared" ref="D26:R26" si="2">SUM(D24:D25)</f>
        <v>10131.428571428571</v>
      </c>
      <c r="E26" s="812">
        <f t="shared" si="2"/>
        <v>1920.83246030544</v>
      </c>
      <c r="F26" s="812">
        <f t="shared" si="2"/>
        <v>10.291941477569603</v>
      </c>
      <c r="G26" s="812">
        <f t="shared" si="2"/>
        <v>1458.7008050943261</v>
      </c>
      <c r="H26" s="812">
        <f t="shared" si="2"/>
        <v>0</v>
      </c>
      <c r="I26" s="812">
        <f t="shared" si="2"/>
        <v>0</v>
      </c>
      <c r="J26" s="812">
        <f t="shared" si="2"/>
        <v>0</v>
      </c>
      <c r="K26" s="812">
        <f t="shared" si="2"/>
        <v>50.729035514400131</v>
      </c>
      <c r="L26" s="812">
        <f t="shared" si="2"/>
        <v>0</v>
      </c>
      <c r="M26" s="812">
        <f t="shared" si="2"/>
        <v>0</v>
      </c>
      <c r="N26" s="812">
        <f t="shared" si="2"/>
        <v>0</v>
      </c>
      <c r="O26" s="812">
        <f t="shared" si="2"/>
        <v>0</v>
      </c>
      <c r="P26" s="812">
        <f t="shared" si="2"/>
        <v>0</v>
      </c>
      <c r="Q26" s="812">
        <f t="shared" si="2"/>
        <v>0</v>
      </c>
      <c r="R26" s="812">
        <f t="shared" si="2"/>
        <v>14627.339786244358</v>
      </c>
      <c r="S26" s="67"/>
    </row>
    <row r="27" spans="1:19" s="473" customFormat="1" ht="17.25" thickTop="1" thickBot="1">
      <c r="A27" s="706" t="s">
        <v>116</v>
      </c>
      <c r="B27" s="805"/>
      <c r="C27" s="707">
        <f ca="1">C22+C16+C26</f>
        <v>101635.62240703653</v>
      </c>
      <c r="D27" s="707">
        <f t="shared" ref="D27:R27" ca="1" si="3">D22+D16+D26</f>
        <v>37118.571428571428</v>
      </c>
      <c r="E27" s="707">
        <f t="shared" ca="1" si="3"/>
        <v>126466.54095349844</v>
      </c>
      <c r="F27" s="707">
        <f t="shared" si="3"/>
        <v>3157.1860619542872</v>
      </c>
      <c r="G27" s="707">
        <f t="shared" ca="1" si="3"/>
        <v>10559.455123225911</v>
      </c>
      <c r="H27" s="707">
        <f t="shared" si="3"/>
        <v>213470.67579559179</v>
      </c>
      <c r="I27" s="707">
        <f t="shared" si="3"/>
        <v>32618.79656311285</v>
      </c>
      <c r="J27" s="707">
        <f t="shared" si="3"/>
        <v>0</v>
      </c>
      <c r="K27" s="707">
        <f t="shared" si="3"/>
        <v>70.810311386643818</v>
      </c>
      <c r="L27" s="707">
        <f t="shared" si="3"/>
        <v>0</v>
      </c>
      <c r="M27" s="707">
        <f t="shared" ca="1" si="3"/>
        <v>0</v>
      </c>
      <c r="N27" s="707">
        <f t="shared" si="3"/>
        <v>13430.886097121829</v>
      </c>
      <c r="O27" s="707">
        <f t="shared" ca="1" si="3"/>
        <v>22550.988136829965</v>
      </c>
      <c r="P27" s="707">
        <f t="shared" si="3"/>
        <v>195.41666666666669</v>
      </c>
      <c r="Q27" s="707">
        <f t="shared" si="3"/>
        <v>476.66666666666669</v>
      </c>
      <c r="R27" s="707">
        <f t="shared" ca="1" si="3"/>
        <v>561751.616211663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6651.4078297294009</v>
      </c>
      <c r="D40" s="1013">
        <f ca="1">tertiair!C20</f>
        <v>0</v>
      </c>
      <c r="E40" s="1013">
        <f ca="1">tertiair!D20</f>
        <v>7556.5767062555742</v>
      </c>
      <c r="F40" s="1013">
        <f>tertiair!E20</f>
        <v>133.05331917691865</v>
      </c>
      <c r="G40" s="1013">
        <f ca="1">tertiair!F20</f>
        <v>1477.2234918736051</v>
      </c>
      <c r="H40" s="1013">
        <f>tertiair!G20</f>
        <v>0</v>
      </c>
      <c r="I40" s="1013">
        <f>tertiair!H20</f>
        <v>0</v>
      </c>
      <c r="J40" s="1013">
        <f>tertiair!I20</f>
        <v>0</v>
      </c>
      <c r="K40" s="1013">
        <f>tertiair!J20</f>
        <v>2.635413409366117E-2</v>
      </c>
      <c r="L40" s="1013">
        <f>tertiair!K20</f>
        <v>0</v>
      </c>
      <c r="M40" s="1013">
        <f ca="1">tertiair!L20</f>
        <v>0</v>
      </c>
      <c r="N40" s="1013">
        <f>tertiair!M20</f>
        <v>0</v>
      </c>
      <c r="O40" s="1013">
        <f ca="1">tertiair!N20</f>
        <v>0</v>
      </c>
      <c r="P40" s="1013">
        <f>tertiair!O20</f>
        <v>0</v>
      </c>
      <c r="Q40" s="774">
        <f>tertiair!P20</f>
        <v>0</v>
      </c>
      <c r="R40" s="850">
        <f t="shared" ca="1" si="4"/>
        <v>15818.287701169593</v>
      </c>
    </row>
    <row r="41" spans="1:18">
      <c r="A41" s="822" t="s">
        <v>225</v>
      </c>
      <c r="B41" s="829"/>
      <c r="C41" s="1013">
        <f ca="1">huishoudens!B12</f>
        <v>4535.6517279674317</v>
      </c>
      <c r="D41" s="1013">
        <f ca="1">huishoudens!C12</f>
        <v>0</v>
      </c>
      <c r="E41" s="1013">
        <f>huishoudens!D12</f>
        <v>12871.849479173145</v>
      </c>
      <c r="F41" s="1013">
        <f>huishoudens!E12</f>
        <v>301.84848066916572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17709.349687809743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10301.94278271616</v>
      </c>
      <c r="D43" s="1013">
        <f ca="1">industrie!C22</f>
        <v>6413.4151260504223</v>
      </c>
      <c r="E43" s="1013">
        <f>industrie!D22</f>
        <v>4673.6136112102786</v>
      </c>
      <c r="F43" s="1013">
        <f>industrie!E22</f>
        <v>177.36055840410123</v>
      </c>
      <c r="G43" s="1013">
        <f>industrie!F22</f>
        <v>952.67791106752816</v>
      </c>
      <c r="H43" s="1013">
        <f>industrie!G22</f>
        <v>0</v>
      </c>
      <c r="I43" s="1013">
        <f>industrie!H22</f>
        <v>0</v>
      </c>
      <c r="J43" s="1013">
        <f>industrie!I22</f>
        <v>0</v>
      </c>
      <c r="K43" s="1013">
        <f>industrie!J22</f>
        <v>7.0824175246806025</v>
      </c>
      <c r="L43" s="1013">
        <f>industrie!K22</f>
        <v>0</v>
      </c>
      <c r="M43" s="1013">
        <f>industrie!L22</f>
        <v>0</v>
      </c>
      <c r="N43" s="1013">
        <f>industrie!M22</f>
        <v>0</v>
      </c>
      <c r="O43" s="1013">
        <f>industrie!N22</f>
        <v>0</v>
      </c>
      <c r="P43" s="1013">
        <f>industrie!O22</f>
        <v>0</v>
      </c>
      <c r="Q43" s="774">
        <f>industrie!P22</f>
        <v>0</v>
      </c>
      <c r="R43" s="849">
        <f t="shared" ca="1" si="4"/>
        <v>22526.09240697317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21489.002340412993</v>
      </c>
      <c r="D46" s="732">
        <f t="shared" ref="D46:Q46" ca="1" si="5">SUM(D39:D45)</f>
        <v>6413.4151260504223</v>
      </c>
      <c r="E46" s="732">
        <f t="shared" ca="1" si="5"/>
        <v>25102.039796638997</v>
      </c>
      <c r="F46" s="732">
        <f t="shared" si="5"/>
        <v>612.26235825018557</v>
      </c>
      <c r="G46" s="732">
        <f t="shared" ca="1" si="5"/>
        <v>2429.9014029411333</v>
      </c>
      <c r="H46" s="732">
        <f t="shared" si="5"/>
        <v>0</v>
      </c>
      <c r="I46" s="732">
        <f t="shared" si="5"/>
        <v>0</v>
      </c>
      <c r="J46" s="732">
        <f t="shared" si="5"/>
        <v>0</v>
      </c>
      <c r="K46" s="732">
        <f t="shared" si="5"/>
        <v>7.1087716587742635</v>
      </c>
      <c r="L46" s="732">
        <f t="shared" si="5"/>
        <v>0</v>
      </c>
      <c r="M46" s="732">
        <f t="shared" ca="1" si="5"/>
        <v>0</v>
      </c>
      <c r="N46" s="732">
        <f t="shared" si="5"/>
        <v>0</v>
      </c>
      <c r="O46" s="732">
        <f t="shared" ca="1" si="5"/>
        <v>0</v>
      </c>
      <c r="P46" s="732">
        <f t="shared" si="5"/>
        <v>0</v>
      </c>
      <c r="Q46" s="732">
        <f t="shared" si="5"/>
        <v>0</v>
      </c>
      <c r="R46" s="732">
        <f ca="1">SUM(R39:R45)</f>
        <v>56053.729795952502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594.32661958126016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594.32661958126016</v>
      </c>
    </row>
    <row r="50" spans="1:18">
      <c r="A50" s="825" t="s">
        <v>307</v>
      </c>
      <c r="B50" s="835"/>
      <c r="C50" s="703">
        <f ca="1">transport!B18</f>
        <v>18.434302701274689</v>
      </c>
      <c r="D50" s="703">
        <f>transport!C18</f>
        <v>0</v>
      </c>
      <c r="E50" s="703">
        <f>transport!D18</f>
        <v>56.19331898599134</v>
      </c>
      <c r="F50" s="703">
        <f>transport!E18</f>
        <v>102.08260709802919</v>
      </c>
      <c r="G50" s="703">
        <f>transport!F18</f>
        <v>0</v>
      </c>
      <c r="H50" s="703">
        <f>transport!G18</f>
        <v>56402.343817841749</v>
      </c>
      <c r="I50" s="703">
        <f>transport!H18</f>
        <v>8122.0803442151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64701.134390842148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18.434302701274689</v>
      </c>
      <c r="D52" s="732">
        <f t="shared" ref="D52:Q52" ca="1" si="6">SUM(D48:D51)</f>
        <v>0</v>
      </c>
      <c r="E52" s="732">
        <f t="shared" si="6"/>
        <v>56.19331898599134</v>
      </c>
      <c r="F52" s="732">
        <f t="shared" si="6"/>
        <v>102.08260709802919</v>
      </c>
      <c r="G52" s="732">
        <f t="shared" si="6"/>
        <v>0</v>
      </c>
      <c r="H52" s="732">
        <f t="shared" si="6"/>
        <v>56996.67043742301</v>
      </c>
      <c r="I52" s="732">
        <f t="shared" si="6"/>
        <v>8122.0803442151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65295.461010423409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74.873556929089133</v>
      </c>
      <c r="D54" s="703">
        <f ca="1">+landbouw!C12</f>
        <v>2407.7042016806727</v>
      </c>
      <c r="E54" s="703">
        <f>+landbouw!D12</f>
        <v>0</v>
      </c>
      <c r="F54" s="703">
        <f>+landbouw!E12</f>
        <v>2.3362707154083</v>
      </c>
      <c r="G54" s="703">
        <f>+landbouw!F12</f>
        <v>389.47311496018511</v>
      </c>
      <c r="H54" s="703">
        <f>+landbouw!G12</f>
        <v>0</v>
      </c>
      <c r="I54" s="703">
        <f>+landbouw!H12</f>
        <v>0</v>
      </c>
      <c r="J54" s="703">
        <f>+landbouw!I12</f>
        <v>0</v>
      </c>
      <c r="K54" s="703">
        <f>+landbouw!J12</f>
        <v>17.958078572097644</v>
      </c>
      <c r="L54" s="703">
        <f>+landbouw!K12</f>
        <v>0</v>
      </c>
      <c r="M54" s="703">
        <f>+landbouw!L12</f>
        <v>0</v>
      </c>
      <c r="N54" s="703">
        <f>+landbouw!M12</f>
        <v>0</v>
      </c>
      <c r="O54" s="703">
        <f>+landbouw!N12</f>
        <v>0</v>
      </c>
      <c r="P54" s="703">
        <f>+landbouw!O12</f>
        <v>0</v>
      </c>
      <c r="Q54" s="704">
        <f>+landbouw!P12</f>
        <v>0</v>
      </c>
      <c r="R54" s="731">
        <f ca="1">SUM(C54:Q54)</f>
        <v>2892.3452228574533</v>
      </c>
    </row>
    <row r="55" spans="1:18" ht="15" thickBot="1">
      <c r="A55" s="825" t="s">
        <v>836</v>
      </c>
      <c r="B55" s="835"/>
      <c r="C55" s="703">
        <f ca="1">C25*'EF ele_warmte'!B12</f>
        <v>150.79718595670326</v>
      </c>
      <c r="D55" s="703"/>
      <c r="E55" s="703">
        <f>E25*EF_CO2_aardgas</f>
        <v>388.0081569816989</v>
      </c>
      <c r="F55" s="703"/>
      <c r="G55" s="703"/>
      <c r="H55" s="703"/>
      <c r="I55" s="703"/>
      <c r="J55" s="703"/>
      <c r="K55" s="703"/>
      <c r="L55" s="703"/>
      <c r="M55" s="703"/>
      <c r="N55" s="703"/>
      <c r="O55" s="703"/>
      <c r="P55" s="703"/>
      <c r="Q55" s="704"/>
      <c r="R55" s="731">
        <f ca="1">SUM(C55:Q55)</f>
        <v>538.80534293840219</v>
      </c>
    </row>
    <row r="56" spans="1:18" ht="15.75" thickBot="1">
      <c r="A56" s="823" t="s">
        <v>837</v>
      </c>
      <c r="B56" s="836"/>
      <c r="C56" s="732">
        <f ca="1">SUM(C54:C55)</f>
        <v>225.67074288579238</v>
      </c>
      <c r="D56" s="732">
        <f t="shared" ref="D56:Q56" ca="1" si="7">SUM(D54:D55)</f>
        <v>2407.7042016806727</v>
      </c>
      <c r="E56" s="732">
        <f t="shared" si="7"/>
        <v>388.0081569816989</v>
      </c>
      <c r="F56" s="732">
        <f t="shared" si="7"/>
        <v>2.3362707154083</v>
      </c>
      <c r="G56" s="732">
        <f t="shared" si="7"/>
        <v>389.47311496018511</v>
      </c>
      <c r="H56" s="732">
        <f t="shared" si="7"/>
        <v>0</v>
      </c>
      <c r="I56" s="732">
        <f t="shared" si="7"/>
        <v>0</v>
      </c>
      <c r="J56" s="732">
        <f t="shared" si="7"/>
        <v>0</v>
      </c>
      <c r="K56" s="732">
        <f t="shared" si="7"/>
        <v>17.958078572097644</v>
      </c>
      <c r="L56" s="732">
        <f t="shared" si="7"/>
        <v>0</v>
      </c>
      <c r="M56" s="732">
        <f t="shared" si="7"/>
        <v>0</v>
      </c>
      <c r="N56" s="732">
        <f t="shared" si="7"/>
        <v>0</v>
      </c>
      <c r="O56" s="732">
        <f t="shared" si="7"/>
        <v>0</v>
      </c>
      <c r="P56" s="732">
        <f t="shared" si="7"/>
        <v>0</v>
      </c>
      <c r="Q56" s="733">
        <f t="shared" si="7"/>
        <v>0</v>
      </c>
      <c r="R56" s="734">
        <f ca="1">SUM(R54:R55)</f>
        <v>3431.1505657958555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21733.107386000062</v>
      </c>
      <c r="D61" s="740">
        <f t="shared" ref="D61:Q61" ca="1" si="8">D46+D52+D56</f>
        <v>8821.1193277310958</v>
      </c>
      <c r="E61" s="740">
        <f t="shared" ca="1" si="8"/>
        <v>25546.241272606687</v>
      </c>
      <c r="F61" s="740">
        <f t="shared" si="8"/>
        <v>716.68123606362303</v>
      </c>
      <c r="G61" s="740">
        <f t="shared" ca="1" si="8"/>
        <v>2819.3745179013185</v>
      </c>
      <c r="H61" s="740">
        <f t="shared" si="8"/>
        <v>56996.67043742301</v>
      </c>
      <c r="I61" s="740">
        <f t="shared" si="8"/>
        <v>8122.0803442151</v>
      </c>
      <c r="J61" s="740">
        <f t="shared" si="8"/>
        <v>0</v>
      </c>
      <c r="K61" s="740">
        <f t="shared" si="8"/>
        <v>25.066850230871907</v>
      </c>
      <c r="L61" s="740">
        <f t="shared" si="8"/>
        <v>0</v>
      </c>
      <c r="M61" s="740">
        <f t="shared" ca="1" si="8"/>
        <v>0</v>
      </c>
      <c r="N61" s="740">
        <f t="shared" si="8"/>
        <v>0</v>
      </c>
      <c r="O61" s="740">
        <f t="shared" ca="1" si="8"/>
        <v>0</v>
      </c>
      <c r="P61" s="740">
        <f t="shared" si="8"/>
        <v>0</v>
      </c>
      <c r="Q61" s="740">
        <f t="shared" si="8"/>
        <v>0</v>
      </c>
      <c r="R61" s="740">
        <f ca="1">R46+R52+R56</f>
        <v>124780.34137217177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0.21383356417066046</v>
      </c>
      <c r="D63" s="781">
        <f t="shared" ca="1" si="9"/>
        <v>0.23764705882352952</v>
      </c>
      <c r="E63" s="1024">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5252.9669473609838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25983</v>
      </c>
      <c r="D76" s="1034">
        <f>'lokale energieproductie'!C8</f>
        <v>30568.235294117643</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6174.783529411764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5252.9669473609838</v>
      </c>
      <c r="C78" s="755">
        <f>SUM(C72:C77)</f>
        <v>25983</v>
      </c>
      <c r="D78" s="756">
        <f t="shared" ref="D78:H78" si="10">SUM(D76:D77)</f>
        <v>30568.235294117643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6174.783529411764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37118.571428571428</v>
      </c>
      <c r="D87" s="777">
        <f>'lokale energieproductie'!C17</f>
        <v>43668.907563025212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8821.119327731094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37118.571428571428</v>
      </c>
      <c r="D90" s="755">
        <f t="shared" ref="D90:H90" si="12">SUM(D87:D89)</f>
        <v>43668.907563025212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8821.119327731094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5252.9669473609838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25983</v>
      </c>
      <c r="C8" s="570">
        <f>B101</f>
        <v>30568.235294117643</v>
      </c>
      <c r="D8" s="1044"/>
      <c r="E8" s="1044">
        <f>E101</f>
        <v>0</v>
      </c>
      <c r="F8" s="1045"/>
      <c r="G8" s="571"/>
      <c r="H8" s="1044">
        <f>I101</f>
        <v>0</v>
      </c>
      <c r="I8" s="1044">
        <f>G101+F101</f>
        <v>0</v>
      </c>
      <c r="J8" s="1044">
        <f>H101+D101+C101</f>
        <v>0</v>
      </c>
      <c r="K8" s="1044"/>
      <c r="L8" s="1044"/>
      <c r="M8" s="1044"/>
      <c r="N8" s="572"/>
      <c r="O8" s="573">
        <f>C8*$C$12+D8*$D$12+E8*$E$12+F8*$F$12+G8*$G$12+H8*$H$12+I8*$I$12+J8*$J$12</f>
        <v>6174.783529411764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31235.966947360983</v>
      </c>
      <c r="C10" s="583">
        <f t="shared" ref="C10:L10" si="0">SUM(C8:C9)</f>
        <v>30568.235294117643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6174.783529411764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37118.571428571428</v>
      </c>
      <c r="C17" s="595">
        <f>B102</f>
        <v>43668.907563025212</v>
      </c>
      <c r="D17" s="596"/>
      <c r="E17" s="596">
        <f>E102</f>
        <v>0</v>
      </c>
      <c r="F17" s="1050"/>
      <c r="G17" s="597"/>
      <c r="H17" s="595">
        <f>I102</f>
        <v>0</v>
      </c>
      <c r="I17" s="596">
        <f>G102+F102</f>
        <v>0</v>
      </c>
      <c r="J17" s="596">
        <f>H102+D102+C102</f>
        <v>0</v>
      </c>
      <c r="K17" s="596"/>
      <c r="L17" s="596"/>
      <c r="M17" s="596"/>
      <c r="N17" s="1051"/>
      <c r="O17" s="598">
        <f>C17*$C$22+E17*$E$22+H17*$H$22+I17*$I$22+J17*$J$22+D17*$D$22+F17*$F$22+G17*$G$22+K17*$K$22+L17*$L$22</f>
        <v>8821.119327731094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37118.571428571428</v>
      </c>
      <c r="C20" s="582">
        <f>SUM(C17:C19)</f>
        <v>43668.907563025212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8821.119327731094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11052</v>
      </c>
      <c r="C28" s="796">
        <v>2160</v>
      </c>
      <c r="D28" s="653" t="s">
        <v>881</v>
      </c>
      <c r="E28" s="652" t="s">
        <v>882</v>
      </c>
      <c r="F28" s="652" t="s">
        <v>883</v>
      </c>
      <c r="G28" s="652" t="s">
        <v>884</v>
      </c>
      <c r="H28" s="652" t="s">
        <v>885</v>
      </c>
      <c r="I28" s="652" t="s">
        <v>882</v>
      </c>
      <c r="J28" s="795">
        <v>40246</v>
      </c>
      <c r="K28" s="795">
        <v>39468</v>
      </c>
      <c r="L28" s="652" t="s">
        <v>886</v>
      </c>
      <c r="M28" s="652">
        <v>4198</v>
      </c>
      <c r="N28" s="652">
        <v>18891</v>
      </c>
      <c r="O28" s="652">
        <v>26987.142857142859</v>
      </c>
      <c r="P28" s="652">
        <v>53974.285714285717</v>
      </c>
      <c r="Q28" s="652">
        <v>0</v>
      </c>
      <c r="R28" s="652">
        <v>0</v>
      </c>
      <c r="S28" s="652">
        <v>0</v>
      </c>
      <c r="T28" s="652">
        <v>0</v>
      </c>
      <c r="U28" s="652">
        <v>0</v>
      </c>
      <c r="V28" s="652">
        <v>0</v>
      </c>
      <c r="W28" s="652">
        <v>0</v>
      </c>
      <c r="X28" s="652">
        <v>800</v>
      </c>
      <c r="Y28" s="652" t="s">
        <v>36</v>
      </c>
      <c r="Z28" s="654" t="s">
        <v>389</v>
      </c>
    </row>
    <row r="29" spans="1:26" s="606" customFormat="1" ht="25.5">
      <c r="A29" s="605"/>
      <c r="B29" s="796">
        <v>11052</v>
      </c>
      <c r="C29" s="796">
        <v>2160</v>
      </c>
      <c r="D29" s="653" t="s">
        <v>887</v>
      </c>
      <c r="E29" s="652" t="s">
        <v>888</v>
      </c>
      <c r="F29" s="652" t="s">
        <v>889</v>
      </c>
      <c r="G29" s="652" t="s">
        <v>884</v>
      </c>
      <c r="H29" s="652" t="s">
        <v>885</v>
      </c>
      <c r="I29" s="652" t="s">
        <v>888</v>
      </c>
      <c r="J29" s="795">
        <v>39750</v>
      </c>
      <c r="K29" s="795">
        <v>39750</v>
      </c>
      <c r="L29" s="652" t="s">
        <v>890</v>
      </c>
      <c r="M29" s="652">
        <v>290</v>
      </c>
      <c r="N29" s="652">
        <v>1305</v>
      </c>
      <c r="O29" s="652">
        <v>1864.2857142857142</v>
      </c>
      <c r="P29" s="652">
        <v>3728.5714285714289</v>
      </c>
      <c r="Q29" s="652">
        <v>0</v>
      </c>
      <c r="R29" s="652">
        <v>0</v>
      </c>
      <c r="S29" s="652">
        <v>0</v>
      </c>
      <c r="T29" s="652">
        <v>0</v>
      </c>
      <c r="U29" s="652">
        <v>0</v>
      </c>
      <c r="V29" s="652">
        <v>0</v>
      </c>
      <c r="W29" s="652">
        <v>0</v>
      </c>
      <c r="X29" s="652">
        <v>10</v>
      </c>
      <c r="Y29" s="652" t="s">
        <v>112</v>
      </c>
      <c r="Z29" s="654" t="s">
        <v>112</v>
      </c>
    </row>
    <row r="30" spans="1:26" s="606" customFormat="1" ht="25.5">
      <c r="A30" s="605"/>
      <c r="B30" s="796">
        <v>11052</v>
      </c>
      <c r="C30" s="796">
        <v>2160</v>
      </c>
      <c r="D30" s="653" t="s">
        <v>891</v>
      </c>
      <c r="E30" s="652" t="s">
        <v>892</v>
      </c>
      <c r="F30" s="652" t="s">
        <v>893</v>
      </c>
      <c r="G30" s="652" t="s">
        <v>884</v>
      </c>
      <c r="H30" s="652" t="s">
        <v>885</v>
      </c>
      <c r="I30" s="652" t="s">
        <v>892</v>
      </c>
      <c r="J30" s="795">
        <v>40590</v>
      </c>
      <c r="K30" s="795">
        <v>40655</v>
      </c>
      <c r="L30" s="652" t="s">
        <v>886</v>
      </c>
      <c r="M30" s="652">
        <v>1286</v>
      </c>
      <c r="N30" s="652">
        <v>5787</v>
      </c>
      <c r="O30" s="652">
        <v>8267.1428571428569</v>
      </c>
      <c r="P30" s="652">
        <v>16534.285714285714</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5774</v>
      </c>
      <c r="N58" s="610">
        <f>SUM(N28:N57)</f>
        <v>25983</v>
      </c>
      <c r="O58" s="610">
        <f t="shared" ref="O58:W58" si="2">SUM(O28:O57)</f>
        <v>37118.571428571428</v>
      </c>
      <c r="P58" s="610">
        <f t="shared" si="2"/>
        <v>74237.142857142855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4198</v>
      </c>
      <c r="N59" s="610">
        <f t="shared" si="3"/>
        <v>18891</v>
      </c>
      <c r="O59" s="610">
        <f t="shared" si="3"/>
        <v>26987.142857142859</v>
      </c>
      <c r="P59" s="610">
        <f t="shared" si="3"/>
        <v>53974.285714285717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1576</v>
      </c>
      <c r="N61" s="615">
        <f t="shared" si="4"/>
        <v>7092</v>
      </c>
      <c r="O61" s="615">
        <f t="shared" si="4"/>
        <v>10131.428571428571</v>
      </c>
      <c r="P61" s="615">
        <f t="shared" si="4"/>
        <v>20262.857142857141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30568.235294117643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43668.907563025212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21211.130935214318</v>
      </c>
      <c r="C4" s="477">
        <f>huishoudens!C8</f>
        <v>0</v>
      </c>
      <c r="D4" s="477">
        <f>huishoudens!D8</f>
        <v>63722.027124619526</v>
      </c>
      <c r="E4" s="477">
        <f>huishoudens!E8</f>
        <v>1329.7289897320077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6514.2385526182779</v>
      </c>
      <c r="O4" s="477">
        <f>huishoudens!O8</f>
        <v>192.29000000000002</v>
      </c>
      <c r="P4" s="478">
        <f>huishoudens!P8</f>
        <v>419.4666666666667</v>
      </c>
      <c r="Q4" s="479">
        <f>SUM(B4:P4)</f>
        <v>93388.882268850779</v>
      </c>
    </row>
    <row r="5" spans="1:17">
      <c r="A5" s="476" t="s">
        <v>156</v>
      </c>
      <c r="B5" s="477">
        <f ca="1">tertiair!B16</f>
        <v>30220.249941903639</v>
      </c>
      <c r="C5" s="477">
        <f ca="1">tertiair!C16</f>
        <v>0</v>
      </c>
      <c r="D5" s="477">
        <f ca="1">tertiair!D16</f>
        <v>37408.795575522643</v>
      </c>
      <c r="E5" s="477">
        <f>tertiair!E16</f>
        <v>586.13796994237293</v>
      </c>
      <c r="F5" s="477">
        <f ca="1">tertiair!F16</f>
        <v>5532.6722542082589</v>
      </c>
      <c r="G5" s="477">
        <f>tertiair!G16</f>
        <v>0</v>
      </c>
      <c r="H5" s="477">
        <f>tertiair!H16</f>
        <v>0</v>
      </c>
      <c r="I5" s="477">
        <f>tertiair!I16</f>
        <v>0</v>
      </c>
      <c r="J5" s="477">
        <f>tertiair!J16</f>
        <v>7.4446706479268848E-2</v>
      </c>
      <c r="K5" s="477">
        <f>tertiair!K16</f>
        <v>0</v>
      </c>
      <c r="L5" s="477">
        <f ca="1">tertiair!L16</f>
        <v>0</v>
      </c>
      <c r="M5" s="477">
        <f>tertiair!M16</f>
        <v>0</v>
      </c>
      <c r="N5" s="477">
        <f ca="1">tertiair!N16</f>
        <v>2953.6759764687909</v>
      </c>
      <c r="O5" s="477">
        <f>tertiair!O16</f>
        <v>3.1266666666666669</v>
      </c>
      <c r="P5" s="478">
        <f>tertiair!P16</f>
        <v>57.2</v>
      </c>
      <c r="Q5" s="476">
        <f t="shared" ref="Q5:Q14" ca="1" si="0">SUM(B5:P5)</f>
        <v>76761.932831418831</v>
      </c>
    </row>
    <row r="6" spans="1:17">
      <c r="A6" s="476" t="s">
        <v>194</v>
      </c>
      <c r="B6" s="477">
        <f>'openbare verlichting'!B8</f>
        <v>885.28700000000003</v>
      </c>
      <c r="C6" s="477"/>
      <c r="D6" s="477"/>
      <c r="E6" s="477"/>
      <c r="F6" s="477"/>
      <c r="G6" s="477"/>
      <c r="H6" s="477"/>
      <c r="I6" s="477"/>
      <c r="J6" s="477"/>
      <c r="K6" s="477"/>
      <c r="L6" s="477"/>
      <c r="M6" s="477"/>
      <c r="N6" s="477"/>
      <c r="O6" s="477"/>
      <c r="P6" s="478"/>
      <c r="Q6" s="476">
        <f t="shared" si="0"/>
        <v>885.28700000000003</v>
      </c>
    </row>
    <row r="7" spans="1:17">
      <c r="A7" s="476" t="s">
        <v>112</v>
      </c>
      <c r="B7" s="477">
        <f>landbouw!B8</f>
        <v>350.14875807491381</v>
      </c>
      <c r="C7" s="477">
        <f>landbouw!C8</f>
        <v>10131.428571428571</v>
      </c>
      <c r="D7" s="477">
        <f>landbouw!D8</f>
        <v>0</v>
      </c>
      <c r="E7" s="477">
        <f>landbouw!E8</f>
        <v>10.291941477569603</v>
      </c>
      <c r="F7" s="477">
        <f>landbouw!F8</f>
        <v>1458.7008050943261</v>
      </c>
      <c r="G7" s="477">
        <f>landbouw!G8</f>
        <v>0</v>
      </c>
      <c r="H7" s="477">
        <f>landbouw!H8</f>
        <v>0</v>
      </c>
      <c r="I7" s="477">
        <f>landbouw!I8</f>
        <v>0</v>
      </c>
      <c r="J7" s="477">
        <f>landbouw!J8</f>
        <v>50.729035514400131</v>
      </c>
      <c r="K7" s="477">
        <f>landbouw!K8</f>
        <v>0</v>
      </c>
      <c r="L7" s="477">
        <f>landbouw!L8</f>
        <v>0</v>
      </c>
      <c r="M7" s="477">
        <f>landbouw!M8</f>
        <v>0</v>
      </c>
      <c r="N7" s="477">
        <f>landbouw!N8</f>
        <v>0</v>
      </c>
      <c r="O7" s="477">
        <f>landbouw!O8</f>
        <v>0</v>
      </c>
      <c r="P7" s="478">
        <f>landbouw!P8</f>
        <v>0</v>
      </c>
      <c r="Q7" s="476">
        <f t="shared" si="0"/>
        <v>12001.29911158978</v>
      </c>
    </row>
    <row r="8" spans="1:17">
      <c r="A8" s="476" t="s">
        <v>635</v>
      </c>
      <c r="B8" s="477">
        <f>industrie!B18</f>
        <v>48177.388908385707</v>
      </c>
      <c r="C8" s="477">
        <f>industrie!C18</f>
        <v>26987.142857142859</v>
      </c>
      <c r="D8" s="477">
        <f>industrie!D18</f>
        <v>23136.701045595437</v>
      </c>
      <c r="E8" s="477">
        <f>industrie!E18</f>
        <v>781.32404583304503</v>
      </c>
      <c r="F8" s="477">
        <f>industrie!F18</f>
        <v>3568.0820639233261</v>
      </c>
      <c r="G8" s="477">
        <f>industrie!G18</f>
        <v>0</v>
      </c>
      <c r="H8" s="477">
        <f>industrie!H18</f>
        <v>0</v>
      </c>
      <c r="I8" s="477">
        <f>industrie!I18</f>
        <v>0</v>
      </c>
      <c r="J8" s="477">
        <f>industrie!J18</f>
        <v>20.006829165764415</v>
      </c>
      <c r="K8" s="477">
        <f>industrie!K18</f>
        <v>0</v>
      </c>
      <c r="L8" s="477">
        <f>industrie!L18</f>
        <v>0</v>
      </c>
      <c r="M8" s="477">
        <f>industrie!M18</f>
        <v>0</v>
      </c>
      <c r="N8" s="477">
        <f>industrie!N18</f>
        <v>13083.073607742896</v>
      </c>
      <c r="O8" s="477">
        <f>industrie!O18</f>
        <v>0</v>
      </c>
      <c r="P8" s="478">
        <f>industrie!P18</f>
        <v>0</v>
      </c>
      <c r="Q8" s="476">
        <f t="shared" si="0"/>
        <v>115753.71935778903</v>
      </c>
    </row>
    <row r="9" spans="1:17" s="482" customFormat="1">
      <c r="A9" s="480" t="s">
        <v>561</v>
      </c>
      <c r="B9" s="481">
        <f>transport!B14</f>
        <v>86.208649108810079</v>
      </c>
      <c r="C9" s="481">
        <f>transport!C14</f>
        <v>0</v>
      </c>
      <c r="D9" s="481">
        <f>transport!D14</f>
        <v>278.18474745540266</v>
      </c>
      <c r="E9" s="481">
        <f>transport!E14</f>
        <v>449.70311496929156</v>
      </c>
      <c r="F9" s="481">
        <f>transport!F14</f>
        <v>0</v>
      </c>
      <c r="G9" s="481">
        <f>transport!G14</f>
        <v>211244.73340015634</v>
      </c>
      <c r="H9" s="481">
        <f>transport!H14</f>
        <v>32618.79656311285</v>
      </c>
      <c r="I9" s="481">
        <f>transport!I14</f>
        <v>0</v>
      </c>
      <c r="J9" s="481">
        <f>transport!J14</f>
        <v>0</v>
      </c>
      <c r="K9" s="481">
        <f>transport!K14</f>
        <v>0</v>
      </c>
      <c r="L9" s="481">
        <f>transport!L14</f>
        <v>0</v>
      </c>
      <c r="M9" s="481">
        <f>transport!M14</f>
        <v>13304.462395653829</v>
      </c>
      <c r="N9" s="481">
        <f>transport!N14</f>
        <v>0</v>
      </c>
      <c r="O9" s="481">
        <f>transport!O14</f>
        <v>0</v>
      </c>
      <c r="P9" s="481">
        <f>transport!P14</f>
        <v>0</v>
      </c>
      <c r="Q9" s="480">
        <f>SUM(B9:P9)</f>
        <v>257982.08887045653</v>
      </c>
    </row>
    <row r="10" spans="1:17">
      <c r="A10" s="476" t="s">
        <v>551</v>
      </c>
      <c r="B10" s="477">
        <f>transport!B54</f>
        <v>0</v>
      </c>
      <c r="C10" s="477">
        <f>transport!C54</f>
        <v>0</v>
      </c>
      <c r="D10" s="477">
        <f>transport!D54</f>
        <v>0</v>
      </c>
      <c r="E10" s="477">
        <f>transport!E54</f>
        <v>0</v>
      </c>
      <c r="F10" s="477">
        <f>transport!F54</f>
        <v>0</v>
      </c>
      <c r="G10" s="477">
        <f>transport!G54</f>
        <v>2225.9423954354311</v>
      </c>
      <c r="H10" s="477">
        <f>transport!H54</f>
        <v>0</v>
      </c>
      <c r="I10" s="477">
        <f>transport!I54</f>
        <v>0</v>
      </c>
      <c r="J10" s="477">
        <f>transport!J54</f>
        <v>0</v>
      </c>
      <c r="K10" s="477">
        <f>transport!K54</f>
        <v>0</v>
      </c>
      <c r="L10" s="477">
        <f>transport!L54</f>
        <v>0</v>
      </c>
      <c r="M10" s="477">
        <f>transport!M54</f>
        <v>126.42370146800015</v>
      </c>
      <c r="N10" s="477">
        <f>transport!N54</f>
        <v>0</v>
      </c>
      <c r="O10" s="477">
        <f>transport!O54</f>
        <v>0</v>
      </c>
      <c r="P10" s="478">
        <f>transport!P54</f>
        <v>0</v>
      </c>
      <c r="Q10" s="476">
        <f t="shared" si="0"/>
        <v>2352.3660969034313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705.20821434913796</v>
      </c>
      <c r="C14" s="484"/>
      <c r="D14" s="484">
        <f>'SEAP template'!E25</f>
        <v>1920.83246030544</v>
      </c>
      <c r="E14" s="484"/>
      <c r="F14" s="484"/>
      <c r="G14" s="484"/>
      <c r="H14" s="484"/>
      <c r="I14" s="484"/>
      <c r="J14" s="484"/>
      <c r="K14" s="484"/>
      <c r="L14" s="484"/>
      <c r="M14" s="484"/>
      <c r="N14" s="484"/>
      <c r="O14" s="484"/>
      <c r="P14" s="485"/>
      <c r="Q14" s="476">
        <f t="shared" si="0"/>
        <v>2626.0406746545777</v>
      </c>
    </row>
    <row r="15" spans="1:17" s="486" customFormat="1">
      <c r="A15" s="1039" t="s">
        <v>555</v>
      </c>
      <c r="B15" s="987">
        <f ca="1">SUM(B4:B14)</f>
        <v>101635.62240703653</v>
      </c>
      <c r="C15" s="987">
        <f t="shared" ref="C15:Q15" ca="1" si="1">SUM(C4:C14)</f>
        <v>37118.571428571428</v>
      </c>
      <c r="D15" s="987">
        <f t="shared" ca="1" si="1"/>
        <v>126466.54095349844</v>
      </c>
      <c r="E15" s="987">
        <f t="shared" si="1"/>
        <v>3157.1860619542872</v>
      </c>
      <c r="F15" s="987">
        <f t="shared" ca="1" si="1"/>
        <v>10559.455123225911</v>
      </c>
      <c r="G15" s="987">
        <f t="shared" si="1"/>
        <v>213470.67579559179</v>
      </c>
      <c r="H15" s="987">
        <f t="shared" si="1"/>
        <v>32618.79656311285</v>
      </c>
      <c r="I15" s="987">
        <f t="shared" si="1"/>
        <v>0</v>
      </c>
      <c r="J15" s="987">
        <f t="shared" si="1"/>
        <v>70.810311386643818</v>
      </c>
      <c r="K15" s="987">
        <f t="shared" si="1"/>
        <v>0</v>
      </c>
      <c r="L15" s="987">
        <f t="shared" ca="1" si="1"/>
        <v>0</v>
      </c>
      <c r="M15" s="987">
        <f t="shared" si="1"/>
        <v>13430.886097121829</v>
      </c>
      <c r="N15" s="987">
        <f t="shared" ca="1" si="1"/>
        <v>22550.988136829965</v>
      </c>
      <c r="O15" s="987">
        <f t="shared" si="1"/>
        <v>195.41666666666669</v>
      </c>
      <c r="P15" s="987">
        <f t="shared" si="1"/>
        <v>476.66666666666669</v>
      </c>
      <c r="Q15" s="987">
        <f t="shared" ca="1" si="1"/>
        <v>561751.616211663</v>
      </c>
    </row>
    <row r="17" spans="1:17">
      <c r="A17" s="487" t="s">
        <v>556</v>
      </c>
      <c r="B17" s="786">
        <f ca="1">huishoudens!B10</f>
        <v>0.21383356417066043</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4535.6517279674317</v>
      </c>
      <c r="C22" s="477">
        <f t="shared" ref="C22:C32" ca="1" si="3">C4*$C$17</f>
        <v>0</v>
      </c>
      <c r="D22" s="477">
        <f t="shared" ref="D22:D32" si="4">D4*$D$17</f>
        <v>12871.849479173145</v>
      </c>
      <c r="E22" s="477">
        <f t="shared" ref="E22:E32" si="5">E4*$E$17</f>
        <v>301.84848066916572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17709.349687809743</v>
      </c>
    </row>
    <row r="23" spans="1:17">
      <c r="A23" s="476" t="s">
        <v>156</v>
      </c>
      <c r="B23" s="477">
        <f t="shared" ca="1" si="2"/>
        <v>6462.1037552054495</v>
      </c>
      <c r="C23" s="477">
        <f t="shared" ca="1" si="3"/>
        <v>0</v>
      </c>
      <c r="D23" s="477">
        <f t="shared" ca="1" si="4"/>
        <v>7556.5767062555742</v>
      </c>
      <c r="E23" s="477">
        <f t="shared" si="5"/>
        <v>133.05331917691865</v>
      </c>
      <c r="F23" s="477">
        <f t="shared" ca="1" si="6"/>
        <v>1477.2234918736051</v>
      </c>
      <c r="G23" s="477">
        <f t="shared" si="7"/>
        <v>0</v>
      </c>
      <c r="H23" s="477">
        <f t="shared" si="8"/>
        <v>0</v>
      </c>
      <c r="I23" s="477">
        <f t="shared" si="9"/>
        <v>0</v>
      </c>
      <c r="J23" s="477">
        <f t="shared" si="10"/>
        <v>2.635413409366117E-2</v>
      </c>
      <c r="K23" s="477">
        <f t="shared" si="11"/>
        <v>0</v>
      </c>
      <c r="L23" s="477">
        <f t="shared" ca="1" si="12"/>
        <v>0</v>
      </c>
      <c r="M23" s="477">
        <f t="shared" si="13"/>
        <v>0</v>
      </c>
      <c r="N23" s="477">
        <f t="shared" ca="1" si="14"/>
        <v>0</v>
      </c>
      <c r="O23" s="477">
        <f t="shared" si="15"/>
        <v>0</v>
      </c>
      <c r="P23" s="478">
        <f t="shared" si="16"/>
        <v>0</v>
      </c>
      <c r="Q23" s="476">
        <f t="shared" ref="Q23:Q32" ca="1" si="17">SUM(B23:P23)</f>
        <v>15628.98362664564</v>
      </c>
    </row>
    <row r="24" spans="1:17">
      <c r="A24" s="476" t="s">
        <v>194</v>
      </c>
      <c r="B24" s="477">
        <f t="shared" ca="1" si="2"/>
        <v>189.30407452395147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189.30407452395147</v>
      </c>
    </row>
    <row r="25" spans="1:17">
      <c r="A25" s="476" t="s">
        <v>112</v>
      </c>
      <c r="B25" s="477">
        <f t="shared" ca="1" si="2"/>
        <v>74.873556929089133</v>
      </c>
      <c r="C25" s="477">
        <f t="shared" ca="1" si="3"/>
        <v>2407.7042016806727</v>
      </c>
      <c r="D25" s="477">
        <f t="shared" si="4"/>
        <v>0</v>
      </c>
      <c r="E25" s="477">
        <f t="shared" si="5"/>
        <v>2.3362707154083</v>
      </c>
      <c r="F25" s="477">
        <f t="shared" si="6"/>
        <v>389.47311496018511</v>
      </c>
      <c r="G25" s="477">
        <f t="shared" si="7"/>
        <v>0</v>
      </c>
      <c r="H25" s="477">
        <f t="shared" si="8"/>
        <v>0</v>
      </c>
      <c r="I25" s="477">
        <f t="shared" si="9"/>
        <v>0</v>
      </c>
      <c r="J25" s="477">
        <f t="shared" si="10"/>
        <v>17.958078572097644</v>
      </c>
      <c r="K25" s="477">
        <f t="shared" si="11"/>
        <v>0</v>
      </c>
      <c r="L25" s="477">
        <f t="shared" si="12"/>
        <v>0</v>
      </c>
      <c r="M25" s="477">
        <f t="shared" si="13"/>
        <v>0</v>
      </c>
      <c r="N25" s="477">
        <f t="shared" si="14"/>
        <v>0</v>
      </c>
      <c r="O25" s="477">
        <f t="shared" si="15"/>
        <v>0</v>
      </c>
      <c r="P25" s="478">
        <f t="shared" si="16"/>
        <v>0</v>
      </c>
      <c r="Q25" s="476">
        <f t="shared" ca="1" si="17"/>
        <v>2892.3452228574533</v>
      </c>
    </row>
    <row r="26" spans="1:17">
      <c r="A26" s="476" t="s">
        <v>635</v>
      </c>
      <c r="B26" s="477">
        <f t="shared" ca="1" si="2"/>
        <v>10301.94278271616</v>
      </c>
      <c r="C26" s="477">
        <f t="shared" ca="1" si="3"/>
        <v>6413.4151260504223</v>
      </c>
      <c r="D26" s="477">
        <f t="shared" si="4"/>
        <v>4673.6136112102786</v>
      </c>
      <c r="E26" s="477">
        <f t="shared" si="5"/>
        <v>177.36055840410123</v>
      </c>
      <c r="F26" s="477">
        <f t="shared" si="6"/>
        <v>952.67791106752816</v>
      </c>
      <c r="G26" s="477">
        <f t="shared" si="7"/>
        <v>0</v>
      </c>
      <c r="H26" s="477">
        <f t="shared" si="8"/>
        <v>0</v>
      </c>
      <c r="I26" s="477">
        <f t="shared" si="9"/>
        <v>0</v>
      </c>
      <c r="J26" s="477">
        <f t="shared" si="10"/>
        <v>7.0824175246806025</v>
      </c>
      <c r="K26" s="477">
        <f t="shared" si="11"/>
        <v>0</v>
      </c>
      <c r="L26" s="477">
        <f t="shared" si="12"/>
        <v>0</v>
      </c>
      <c r="M26" s="477">
        <f t="shared" si="13"/>
        <v>0</v>
      </c>
      <c r="N26" s="477">
        <f t="shared" si="14"/>
        <v>0</v>
      </c>
      <c r="O26" s="477">
        <f t="shared" si="15"/>
        <v>0</v>
      </c>
      <c r="P26" s="478">
        <f t="shared" si="16"/>
        <v>0</v>
      </c>
      <c r="Q26" s="476">
        <f t="shared" ca="1" si="17"/>
        <v>22526.09240697317</v>
      </c>
    </row>
    <row r="27" spans="1:17" s="482" customFormat="1">
      <c r="A27" s="480" t="s">
        <v>561</v>
      </c>
      <c r="B27" s="780">
        <f t="shared" ca="1" si="2"/>
        <v>18.434302701274689</v>
      </c>
      <c r="C27" s="481">
        <f t="shared" ca="1" si="3"/>
        <v>0</v>
      </c>
      <c r="D27" s="481">
        <f t="shared" si="4"/>
        <v>56.19331898599134</v>
      </c>
      <c r="E27" s="481">
        <f t="shared" si="5"/>
        <v>102.08260709802919</v>
      </c>
      <c r="F27" s="481">
        <f t="shared" si="6"/>
        <v>0</v>
      </c>
      <c r="G27" s="481">
        <f t="shared" si="7"/>
        <v>56402.343817841749</v>
      </c>
      <c r="H27" s="481">
        <f t="shared" si="8"/>
        <v>8122.0803442151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64701.134390842148</v>
      </c>
    </row>
    <row r="28" spans="1:17">
      <c r="A28" s="476" t="s">
        <v>551</v>
      </c>
      <c r="B28" s="477">
        <f t="shared" ca="1" si="2"/>
        <v>0</v>
      </c>
      <c r="C28" s="477">
        <f t="shared" ca="1" si="3"/>
        <v>0</v>
      </c>
      <c r="D28" s="477">
        <f t="shared" si="4"/>
        <v>0</v>
      </c>
      <c r="E28" s="477">
        <f t="shared" si="5"/>
        <v>0</v>
      </c>
      <c r="F28" s="477">
        <f t="shared" si="6"/>
        <v>0</v>
      </c>
      <c r="G28" s="477">
        <f t="shared" si="7"/>
        <v>594.32661958126016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594.32661958126016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150.79718595670326</v>
      </c>
      <c r="C32" s="477">
        <f t="shared" ca="1" si="3"/>
        <v>0</v>
      </c>
      <c r="D32" s="477">
        <f t="shared" si="4"/>
        <v>388.0081569816989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538.80534293840219</v>
      </c>
    </row>
    <row r="33" spans="1:17" s="486" customFormat="1">
      <c r="A33" s="1039" t="s">
        <v>555</v>
      </c>
      <c r="B33" s="987">
        <f ca="1">SUM(B22:B32)</f>
        <v>21733.107386000065</v>
      </c>
      <c r="C33" s="987">
        <f t="shared" ref="C33:Q33" ca="1" si="18">SUM(C22:C32)</f>
        <v>8821.1193277310958</v>
      </c>
      <c r="D33" s="987">
        <f t="shared" ca="1" si="18"/>
        <v>25546.241272606687</v>
      </c>
      <c r="E33" s="987">
        <f t="shared" si="18"/>
        <v>716.68123606362303</v>
      </c>
      <c r="F33" s="987">
        <f t="shared" ca="1" si="18"/>
        <v>2819.3745179013185</v>
      </c>
      <c r="G33" s="987">
        <f t="shared" si="18"/>
        <v>56996.67043742301</v>
      </c>
      <c r="H33" s="987">
        <f t="shared" si="18"/>
        <v>8122.0803442151</v>
      </c>
      <c r="I33" s="987">
        <f t="shared" si="18"/>
        <v>0</v>
      </c>
      <c r="J33" s="987">
        <f t="shared" si="18"/>
        <v>25.066850230871907</v>
      </c>
      <c r="K33" s="987">
        <f t="shared" si="18"/>
        <v>0</v>
      </c>
      <c r="L33" s="987">
        <f t="shared" ca="1" si="18"/>
        <v>0</v>
      </c>
      <c r="M33" s="987">
        <f t="shared" si="18"/>
        <v>0</v>
      </c>
      <c r="N33" s="987">
        <f t="shared" ca="1" si="18"/>
        <v>0</v>
      </c>
      <c r="O33" s="987">
        <f t="shared" si="18"/>
        <v>0</v>
      </c>
      <c r="P33" s="987">
        <f t="shared" si="18"/>
        <v>0</v>
      </c>
      <c r="Q33" s="987">
        <f t="shared" ca="1" si="18"/>
        <v>124780.34137217177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5252.9669473609838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25983</v>
      </c>
      <c r="D8" s="1056">
        <f>'SEAP template'!D76</f>
        <v>30568.235294117643</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6174.783529411764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5252.9669473609838</v>
      </c>
      <c r="C10" s="1060">
        <f>SUM(C4:C9)</f>
        <v>25983</v>
      </c>
      <c r="D10" s="1060">
        <f t="shared" ref="D10:H10" si="0">SUM(D8:D9)</f>
        <v>30568.235294117643</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6174.783529411764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0.21383356417066043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37118.571428571428</v>
      </c>
      <c r="D17" s="1057">
        <f>'SEAP template'!D87</f>
        <v>43668.907563025212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8821.119327731094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37118.571428571428</v>
      </c>
      <c r="D20" s="1060">
        <f t="shared" ref="D20:H20" si="2">SUM(D17:D19)</f>
        <v>43668.907563025212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8821.119327731094</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0.21383356417066043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2019-08-12T08:31:24Z</dcterms:modified>
</cp:coreProperties>
</file>