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E89" i="14" s="1"/>
  <c r="E19" i="61" s="1"/>
  <c r="C19" i="18"/>
  <c r="D89" i="14" s="1"/>
  <c r="D19" i="61" s="1"/>
  <c r="B19" i="18"/>
  <c r="N18"/>
  <c r="L88" i="14" s="1"/>
  <c r="M18" i="18"/>
  <c r="L18"/>
  <c r="L20" s="1"/>
  <c r="K18"/>
  <c r="N88" i="14" s="1"/>
  <c r="N18" i="61" s="1"/>
  <c r="N20" s="1"/>
  <c r="J18" i="18"/>
  <c r="I18"/>
  <c r="H18"/>
  <c r="G18"/>
  <c r="H88" i="14" s="1"/>
  <c r="H18" i="61" s="1"/>
  <c r="F18" i="18"/>
  <c r="G88" i="14" s="1"/>
  <c r="G18" i="61" s="1"/>
  <c r="E18" i="18"/>
  <c r="D18"/>
  <c r="D20" s="1"/>
  <c r="C18"/>
  <c r="B18"/>
  <c r="L9"/>
  <c r="L10" s="1"/>
  <c r="K9"/>
  <c r="N77" i="14" s="1"/>
  <c r="G9" i="18"/>
  <c r="G10" s="1"/>
  <c r="F9"/>
  <c r="F10" s="1"/>
  <c r="D9"/>
  <c r="C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U61"/>
  <c r="T61"/>
  <c r="S61"/>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5"/>
  <c r="B4"/>
  <c r="N6" i="17"/>
  <c r="C6"/>
  <c r="B19" i="6"/>
  <c r="B18"/>
  <c r="B5"/>
  <c r="B6"/>
  <c r="C64" i="14" s="1"/>
  <c r="D14" i="48"/>
  <c r="B14"/>
  <c r="Q14" s="1"/>
  <c r="P7"/>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L77" i="14"/>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I24"/>
  <c r="H24"/>
  <c r="Q50"/>
  <c r="P50"/>
  <c r="O50"/>
  <c r="M50"/>
  <c r="L50"/>
  <c r="K50"/>
  <c r="J50"/>
  <c r="G50"/>
  <c r="D50"/>
  <c r="Q49"/>
  <c r="Q52" s="1"/>
  <c r="P49"/>
  <c r="Q20"/>
  <c r="P20"/>
  <c r="O20"/>
  <c r="M20"/>
  <c r="L20"/>
  <c r="K20"/>
  <c r="J20"/>
  <c r="G20"/>
  <c r="D20"/>
  <c r="Q19"/>
  <c r="Q22" s="1"/>
  <c r="P19"/>
  <c r="P22" s="1"/>
  <c r="O19"/>
  <c r="M19"/>
  <c r="L19"/>
  <c r="K19"/>
  <c r="J19"/>
  <c r="I19"/>
  <c r="G19"/>
  <c r="F19"/>
  <c r="E19"/>
  <c r="D19"/>
  <c r="Q48"/>
  <c r="P48"/>
  <c r="P52" s="1"/>
  <c r="O48"/>
  <c r="M48"/>
  <c r="L48"/>
  <c r="K48"/>
  <c r="J48"/>
  <c r="G48"/>
  <c r="D48"/>
  <c r="Q18"/>
  <c r="P18"/>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J26"/>
  <c r="I26"/>
  <c r="E25"/>
  <c r="C25"/>
  <c r="H26"/>
  <c r="L22"/>
  <c r="M22"/>
  <c r="G22"/>
  <c r="R12"/>
  <c r="D5" i="17"/>
  <c r="N78" i="14" l="1"/>
  <c r="N9" i="61"/>
  <c r="L78" i="14"/>
  <c r="L8" i="61"/>
  <c r="L10" s="1"/>
  <c r="K78" i="14"/>
  <c r="K8" i="61"/>
  <c r="K10" s="1"/>
  <c r="L90" i="14"/>
  <c r="L18" i="61"/>
  <c r="L20" s="1"/>
  <c r="G20"/>
  <c r="K20"/>
  <c r="Q11" i="48"/>
  <c r="O25"/>
  <c r="N10" i="61"/>
  <c r="O32" i="48"/>
  <c r="C98" i="18"/>
  <c r="D13" i="15"/>
  <c r="O77" i="14"/>
  <c r="O9" i="61" s="1"/>
  <c r="O10" s="1"/>
  <c r="E88" i="14"/>
  <c r="O30" i="48"/>
  <c r="C13" i="15"/>
  <c r="K90" i="14"/>
  <c r="K22"/>
  <c r="P27" i="48"/>
  <c r="B10" i="18"/>
  <c r="H9"/>
  <c r="M77" i="14" s="1"/>
  <c r="M9" i="61" s="1"/>
  <c r="G10"/>
  <c r="O22" i="14"/>
  <c r="G77"/>
  <c r="G9" i="61" s="1"/>
  <c r="H20"/>
  <c r="P25" i="48"/>
  <c r="I77" i="14"/>
  <c r="I9" i="61" s="1"/>
  <c r="L13" i="15"/>
  <c r="B13"/>
  <c r="H90" i="14"/>
  <c r="N13" i="15"/>
  <c r="F77" i="14"/>
  <c r="F9" i="61" s="1"/>
  <c r="I101" i="18"/>
  <c r="H8" s="1"/>
  <c r="E101"/>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R9" i="14"/>
  <c r="D22"/>
  <c r="E55"/>
  <c r="R25"/>
  <c r="E78"/>
  <c r="O90" l="1"/>
  <c r="O18" i="61"/>
  <c r="O20" s="1"/>
  <c r="E90" i="14"/>
  <c r="E18" i="61"/>
  <c r="E20" s="1"/>
  <c r="O9" i="18"/>
  <c r="H78" i="14"/>
  <c r="H9" i="61"/>
  <c r="H10" s="1"/>
  <c r="O78" i="14"/>
  <c r="G78"/>
  <c r="B88"/>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9"/>
  <c r="H32"/>
  <c r="H28"/>
  <c r="H30"/>
  <c r="H25"/>
  <c r="H24"/>
  <c r="H26"/>
  <c r="H22"/>
  <c r="H23"/>
  <c r="D11" i="14"/>
  <c r="C4" i="48"/>
  <c r="G23"/>
  <c r="G32"/>
  <c r="G22"/>
  <c r="G30"/>
  <c r="G25"/>
  <c r="G29"/>
  <c r="G26"/>
  <c r="G24"/>
  <c r="B4"/>
  <c r="C11" i="14"/>
  <c r="F32" i="48"/>
  <c r="F24"/>
  <c r="F29"/>
  <c r="F30"/>
  <c r="F31"/>
  <c r="F27"/>
  <c r="F28"/>
  <c r="N30"/>
  <c r="N32"/>
  <c r="N24"/>
  <c r="N31"/>
  <c r="N28"/>
  <c r="N27"/>
  <c r="N29"/>
  <c r="B10"/>
  <c r="C19" i="14"/>
  <c r="E24" i="48"/>
  <c r="E29"/>
  <c r="E30"/>
  <c r="E28"/>
  <c r="E32"/>
  <c r="E31"/>
  <c r="M25"/>
  <c r="M29"/>
  <c r="M26"/>
  <c r="M24"/>
  <c r="M30"/>
  <c r="M22"/>
  <c r="M32"/>
  <c r="M23"/>
  <c r="K5"/>
  <c r="L10" i="14"/>
  <c r="L16" s="1"/>
  <c r="L27" s="1"/>
  <c r="D30" i="48"/>
  <c r="D28"/>
  <c r="D32"/>
  <c r="D31"/>
  <c r="D24"/>
  <c r="D29"/>
  <c r="L29"/>
  <c r="L32"/>
  <c r="L28"/>
  <c r="L27"/>
  <c r="L24"/>
  <c r="L31"/>
  <c r="L22"/>
  <c r="L30"/>
  <c r="P5"/>
  <c r="P23" s="1"/>
  <c r="Q10" i="14"/>
  <c r="K32" i="48"/>
  <c r="K24"/>
  <c r="K27"/>
  <c r="K29"/>
  <c r="K28"/>
  <c r="K25"/>
  <c r="K26"/>
  <c r="K30"/>
  <c r="K31"/>
  <c r="K22"/>
  <c r="B7"/>
  <c r="C24" i="14"/>
  <c r="C26" s="1"/>
  <c r="J30" i="48"/>
  <c r="J32"/>
  <c r="J24"/>
  <c r="J31"/>
  <c r="J29"/>
  <c r="J27"/>
  <c r="J28"/>
  <c r="Q11" i="14"/>
  <c r="P4" i="48"/>
  <c r="O4"/>
  <c r="P11" i="14"/>
  <c r="I25" i="48"/>
  <c r="I31"/>
  <c r="I28"/>
  <c r="I30"/>
  <c r="I22"/>
  <c r="I32"/>
  <c r="I26"/>
  <c r="I29"/>
  <c r="I27"/>
  <c r="I2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P8" i="48"/>
  <c r="P26" s="1"/>
  <c r="Q13" i="14"/>
  <c r="O22" i="48"/>
  <c r="D9"/>
  <c r="D27" s="1"/>
  <c r="E20" i="14"/>
  <c r="E22" s="1"/>
  <c r="O5" i="48"/>
  <c r="O23" s="1"/>
  <c r="P10" i="14"/>
  <c r="K23" i="48"/>
  <c r="K15"/>
  <c r="B9"/>
  <c r="C20" i="14"/>
  <c r="C22" s="1"/>
  <c r="J7" i="48"/>
  <c r="J25" s="1"/>
  <c r="K24" i="14"/>
  <c r="K26" s="1"/>
  <c r="G11"/>
  <c r="F4" i="48"/>
  <c r="F22" s="1"/>
  <c r="J10" i="14"/>
  <c r="J16" s="1"/>
  <c r="J27" s="1"/>
  <c r="J63" s="1"/>
  <c r="I5" i="48"/>
  <c r="K33"/>
  <c r="L46" i="14"/>
  <c r="L61" s="1"/>
  <c r="L63" s="1"/>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R11" s="1"/>
  <c r="P13"/>
  <c r="P16" s="1"/>
  <c r="P27" s="1"/>
  <c r="O8" i="48"/>
  <c r="J4"/>
  <c r="K11" i="14"/>
  <c r="O11"/>
  <c r="N4" i="48"/>
  <c r="N22" s="1"/>
  <c r="I15"/>
  <c r="I23"/>
  <c r="I33" s="1"/>
  <c r="M10"/>
  <c r="M28" s="1"/>
  <c r="N19" i="14"/>
  <c r="N22" s="1"/>
  <c r="N27" s="1"/>
  <c r="G10" i="48"/>
  <c r="H19" i="14"/>
  <c r="E7" i="48"/>
  <c r="E25" s="1"/>
  <c r="F24" i="14"/>
  <c r="F26" s="1"/>
  <c r="M14" i="22"/>
  <c r="M18" s="1"/>
  <c r="N50" i="14" s="1"/>
  <c r="N52" s="1"/>
  <c r="N61" s="1"/>
  <c r="H14" i="22"/>
  <c r="H9" i="48" s="1"/>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K10" l="1"/>
  <c r="J5" i="48"/>
  <c r="J23" s="1"/>
  <c r="E22"/>
  <c r="Q4"/>
  <c r="F10" i="14"/>
  <c r="E5" i="48"/>
  <c r="E23" s="1"/>
  <c r="O26"/>
  <c r="O33" s="1"/>
  <c r="O15"/>
  <c r="G28"/>
  <c r="Q10"/>
  <c r="J22"/>
  <c r="R19" i="14"/>
  <c r="G9" i="48"/>
  <c r="H20" i="14"/>
  <c r="H22" s="1"/>
  <c r="H27" s="1"/>
  <c r="Q7" i="48"/>
  <c r="I20" i="14"/>
  <c r="I22" s="1"/>
  <c r="I27" s="1"/>
  <c r="J20" i="15"/>
  <c r="K40" i="14" s="1"/>
  <c r="M15" i="48"/>
  <c r="M27"/>
  <c r="M33" s="1"/>
  <c r="Q9"/>
  <c r="H15"/>
  <c r="H27"/>
  <c r="H33" s="1"/>
  <c r="N63" i="14"/>
  <c r="R24"/>
  <c r="R26" s="1"/>
  <c r="N18" i="16"/>
  <c r="E20" i="15"/>
  <c r="F40" i="14" s="1"/>
  <c r="F18" i="16"/>
  <c r="J18"/>
  <c r="E18"/>
  <c r="G18" i="22"/>
  <c r="H50" i="14" s="1"/>
  <c r="H52" s="1"/>
  <c r="H61" s="1"/>
  <c r="H18" i="22"/>
  <c r="I50" i="14" s="1"/>
  <c r="I52" s="1"/>
  <c r="I61" s="1"/>
  <c r="K13" l="1"/>
  <c r="K16" s="1"/>
  <c r="K27" s="1"/>
  <c r="K63" s="1"/>
  <c r="J8" i="48"/>
  <c r="J26" s="1"/>
  <c r="J33" s="1"/>
  <c r="E8"/>
  <c r="F13" i="14"/>
  <c r="F16" s="1"/>
  <c r="F27" s="1"/>
  <c r="F63" s="1"/>
  <c r="G27" i="48"/>
  <c r="G33" s="1"/>
  <c r="G15"/>
  <c r="H63" i="14"/>
  <c r="I63"/>
  <c r="R20"/>
  <c r="R22" s="1"/>
  <c r="K46"/>
  <c r="K61" s="1"/>
  <c r="N8" i="48"/>
  <c r="N26" s="1"/>
  <c r="O13" i="14"/>
  <c r="F8" i="48"/>
  <c r="G13" i="14"/>
  <c r="E22" i="16"/>
  <c r="F43" i="14" s="1"/>
  <c r="F46" s="1"/>
  <c r="F61" s="1"/>
  <c r="F22" i="16"/>
  <c r="G43" i="14" s="1"/>
  <c r="N22" i="16"/>
  <c r="O43" i="14" s="1"/>
  <c r="J22" i="16"/>
  <c r="K43" i="14" s="1"/>
  <c r="E26" i="48" l="1"/>
  <c r="E33" s="1"/>
  <c r="E15"/>
  <c r="R13" i="14"/>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<sst xmlns="http://schemas.openxmlformats.org/spreadsheetml/2006/main" count="2390" uniqueCount="885">
  <si>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</si>
  <si>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</si>
  <si>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</si>
  <si>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</si>
  <si>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</si>
  <si>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</si>
  <si>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</si>
  <si>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</si>
  <si>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</si>
  <si>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</si>
  <si>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</si>
  <si>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</si>
  <si>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</si>
  <si>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</si>
  <si>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</si>
  <si>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</si>
  <si>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</si>
  <si>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</si>
  <si>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</si>
  <si>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</si>
  <si>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</si>
  <si>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</si>
  <si>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</si>
  <si>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</si>
  <si>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</si>
  <si>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</si>
  <si>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</si>
  <si>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</si>
  <si>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</si>
  <si>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</si>
  <si>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</si>
  <si>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</si>
  <si>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</si>
  <si>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</si>
  <si>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</si>
  <si>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</si>
  <si>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</si>
  <si>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</si>
  <si>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</si>
  <si>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</si>
  <si>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</si>
  <si>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</si>
  <si>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</si>
  <si>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</si>
  <si>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</si>
  <si>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</si>
  <si>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</si>
  <si>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</si>
  <si>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</si>
  <si>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</si>
  <si>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</si>
  <si>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</si>
  <si>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</si>
  <si>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</si>
  <si>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</si>
  <si>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</si>
  <si>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</si>
  <si>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</si>
  <si>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</si>
  <si>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</si>
  <si>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</si>
  <si>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</si>
  <si>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</si>
  <si>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</si>
  <si>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</si>
  <si>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</si>
  <si>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</si>
  <si>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</si>
  <si>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</si>
  <si>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</si>
  <si>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</si>
  <si>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</si>
  <si>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</si>
  <si>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</si>
  <si>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</si>
  <si>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</si>
  <si>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</si>
  <si>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</si>
  <si>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</si>
  <si>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</si>
  <si>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</si>
  <si>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</si>
  <si>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</si>
  <si>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</si>
  <si>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</si>
  <si>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</si>
  <si>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</si>
  <si>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</si>
  <si>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</si>
  <si>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</si>
  <si>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</si>
  <si>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</si>
  <si>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</si>
  <si>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</si>
  <si>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</si>
  <si>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</si>
  <si>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</si>
  <si>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</si>
  <si>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</si>
  <si>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</si>
  <si>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</si>
  <si>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</si>
  <si>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</si>
  <si>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</si>
  <si>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</si>
  <si>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</si>
  <si>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</si>
  <si>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</si>
  <si>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</si>
  <si>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</si>
  <si>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</si>
  <si>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</si>
  <si>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</si>
  <si>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</si>
  <si>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</si>
  <si>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</si>
  <si>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</si>
  <si>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</si>
  <si>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</si>
  <si>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</si>
  <si>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</si>
  <si>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</si>
  <si>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</si>
  <si>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</si>
  <si>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</si>
  <si>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</si>
  <si>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</si>
  <si>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</si>
  <si>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</si>
  <si>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</si>
  <si>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</si>
  <si>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</si>
  <si>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</si>
  <si>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</si>
  <si>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</si>
  <si>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</si>
  <si>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</si>
  <si>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</si>
  <si>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</si>
  <si>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</si>
  <si>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</si>
  <si>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</si>
  <si>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</si>
  <si>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</si>
  <si>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</si>
  <si>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</si>
  <si>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</si>
  <si>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</si>
  <si>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</si>
  <si>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</si>
  <si>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</si>
  <si>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</si>
  <si>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</si>
  <si>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</si>
  <si>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</si>
  <si>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</si>
  <si>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</si>
  <si>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</si>
  <si>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</si>
  <si>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</si>
  <si>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</si>
  <si>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</si>
  <si>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</si>
  <si>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</si>
  <si>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</si>
  <si>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</si>
  <si>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</si>
  <si>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</si>
  <si>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</si>
  <si>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</si>
  <si>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</si>
  <si>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</si>
  <si>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</si>
  <si>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</si>
  <si>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</si>
  <si>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</si>
  <si>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</si>
  <si>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</si>
  <si>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</si>
  <si>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</si>
  <si>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</si>
  <si>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</si>
  <si>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</si>
  <si>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</si>
  <si>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</si>
  <si>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</si>
  <si>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</si>
  <si>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</si>
  <si>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</si>
  <si>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</si>
  <si>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</si>
  <si>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</si>
  <si>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</si>
  <si>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</si>
  <si>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</si>
  <si>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</si>
  <si>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</si>
  <si>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</si>
  <si>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</si>
  <si>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</si>
  <si>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</si>
  <si>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</si>
  <si>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</si>
  <si>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</si>
  <si>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</si>
  <si>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</si>
  <si>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</si>
  <si>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</si>
  <si>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</si>
  <si>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</si>
  <si>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</si>
  <si>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</si>
  <si>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</si>
  <si>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</si>
  <si>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</si>
  <si>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</si>
  <si>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</si>
  <si>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</si>
  <si>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</si>
  <si>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</si>
  <si>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</si>
  <si>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</si>
  <si>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</si>
  <si>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</si>
  <si>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</si>
  <si>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</si>
  <si>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</si>
  <si>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</si>
  <si>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</si>
  <si>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</si>
  <si>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</si>
  <si>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</si>
  <si>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</si>
  <si>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</si>
  <si>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</si>
  <si>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</si>
  <si>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</si>
  <si>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</si>
  <si>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</si>
  <si>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</si>
  <si>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</si>
  <si>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</si>
  <si>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</si>
  <si>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</si>
  <si>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</si>
  <si>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</si>
  <si>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</si>
  <si>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</si>
  <si>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</si>
  <si>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</si>
  <si>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</si>
  <si>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</si>
  <si>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</si>
  <si>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</si>
  <si>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</si>
  <si>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</si>
  <si>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</si>
  <si>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</si>
  <si>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</si>
  <si>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</si>
  <si>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</si>
  <si>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</si>
  <si>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</si>
  <si>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</si>
  <si>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</si>
  <si>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</si>
  <si>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</si>
  <si>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</si>
  <si>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</si>
  <si>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</si>
  <si>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</si>
  <si>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</si>
  <si>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</si>
  <si>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</si>
  <si>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</si>
  <si>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</si>
  <si>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</si>
  <si>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</si>
  <si>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</si>
  <si>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</si>
  <si>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</si>
  <si>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</si>
  <si>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</si>
  <si>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</si>
  <si>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</si>
  <si>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</si>
  <si>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</si>
  <si>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</si>
  <si>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</si>
  <si>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</si>
  <si>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</si>
  <si>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</si>
  <si>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</si>
  <si>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</si>
  <si>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</si>
  <si>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</si>
  <si>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</si>
  <si>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</si>
  <si>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</si>
  <si>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</si>
  <si>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</si>
  <si>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</si>
  <si>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</si>
  <si>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</si>
  <si>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</si>
  <si>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</si>
  <si>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</si>
  <si>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</si>
  <si>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</si>
  <si>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</si>
  <si>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</si>
  <si>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</si>
  <si>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</si>
  <si>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</si>
  <si>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</si>
  <si>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</si>
  <si>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</si>
  <si>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</si>
  <si>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</si>
  <si>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</si>
  <si>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</si>
  <si>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</si>
  <si>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</si>
  <si>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</si>
  <si>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</si>
  <si>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</si>
  <si>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</si>
  <si>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</si>
  <si>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</si>
  <si>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</si>
  <si>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</si>
  <si>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</si>
  <si>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</si>
  <si>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</si>
  <si>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</si>
  <si>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</si>
  <si>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</si>
  <si>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</si>
  <si>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</si>
  <si>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</si>
  <si>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</si>
  <si>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</si>
  <si>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</si>
  <si>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</si>
  <si>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</si>
  <si>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</si>
  <si>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</si>
  <si>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</si>
  <si>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</si>
  <si>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</si>
  <si>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</si>
  <si>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</si>
  <si>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</si>
  <si>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</si>
  <si>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</si>
  <si>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</si>
  <si>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</si>
  <si>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</si>
  <si>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</si>
  <si>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</si>
  <si>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</si>
  <si>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</si>
  <si>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</si>
  <si>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</si>
  <si>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</si>
  <si>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</si>
  <si>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</si>
  <si>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</si>
  <si>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</si>
  <si>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</si>
  <si>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</si>
  <si>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</si>
  <si>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</si>
  <si>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</si>
  <si>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</si>
  <si>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</si>
  <si>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</si>
  <si>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</si>
  <si>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</si>
  <si>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</si>
  <si>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</si>
  <si>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</si>
  <si>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</si>
  <si>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</si>
  <si>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</si>
  <si>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</si>
  <si>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</si>
  <si>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</si>
  <si>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</si>
  <si>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</si>
  <si>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</si>
  <si>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</si>
  <si>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</si>
  <si>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</si>
  <si>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</si>
  <si>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</si>
  <si>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</si>
  <si>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</si>
  <si>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</si>
  <si>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</si>
  <si>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</si>
  <si>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</si>
  <si>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</si>
  <si>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</si>
  <si>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</si>
  <si>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</si>
  <si>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</si>
  <si>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</si>
  <si>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</si>
  <si>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</si>
  <si>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</si>
  <si>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</si>
  <si>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</si>
  <si>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</si>
  <si>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</si>
  <si>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</si>
  <si>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</si>
  <si>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</si>
  <si>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</si>
  <si>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</si>
  <si>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</si>
  <si>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</si>
  <si>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</si>
  <si>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</si>
  <si>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</si>
  <si>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</si>
  <si>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</si>
  <si>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</si>
  <si>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</si>
  <si>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</si>
  <si>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</si>
  <si>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</si>
  <si>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</si>
  <si>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</si>
  <si>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</si>
  <si>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</si>
  <si>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</si>
  <si>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</si>
  <si>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</si>
  <si>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</si>
  <si>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</si>
  <si>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</si>
  <si>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</si>
  <si>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</si>
  <si>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</si>
  <si>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</si>
  <si>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</si>
  <si>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</si>
  <si>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</si>
  <si>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</si>
  <si>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</si>
  <si>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</si>
  <si>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</si>
  <si>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</si>
  <si>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</si>
  <si>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</si>
  <si>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</si>
  <si>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</si>
  <si>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</si>
  <si>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</si>
  <si>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</si>
  <si>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</si>
  <si>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</si>
  <si>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</si>
  <si>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</si>
  <si>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</si>
  <si>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</si>
  <si>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</si>
  <si>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</si>
  <si>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</si>
  <si>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</si>
  <si>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</si>
  <si>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</si>
  <si>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</si>
  <si>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</si>
  <si>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</si>
  <si>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</si>
  <si>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</si>
  <si>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</si>
  <si>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</si>
  <si>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</si>
  <si>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</si>
  <si>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</si>
  <si>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</si>
  <si>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</si>
  <si>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</si>
  <si>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</si>
  <si>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</si>
  <si>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</si>
  <si>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</si>
  <si>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</si>
  <si>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</si>
  <si>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</si>
  <si>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</si>
  <si>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</si>
  <si>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</si>
  <si>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</si>
  <si>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</si>
  <si>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</si>
  <si>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</si>
  <si>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</si>
  <si>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</si>
  <si>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</si>
  <si>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</si>
  <si>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</si>
  <si>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</si>
  <si>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</si>
  <si>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</si>
  <si>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</si>
  <si>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</si>
  <si>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</si>
  <si>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</si>
  <si>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</si>
  <si>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</si>
  <si>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</si>
  <si>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</si>
  <si>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</si>
  <si>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</si>
  <si>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</si>
  <si>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</si>
  <si>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</si>
  <si>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</si>
  <si>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</si>
  <si>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</si>
  <si>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</si>
  <si>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</si>
  <si>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</si>
  <si>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</si>
  <si>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</si>
  <si>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</si>
  <si>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</si>
  <si>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</si>
  <si>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</si>
  <si>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</si>
  <si>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</si>
  <si>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</si>
  <si>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</si>
  <si>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</si>
  <si>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</si>
  <si>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</si>
  <si>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</si>
  <si>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</si>
  <si>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</si>
  <si>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</si>
  <si>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</si>
  <si>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</si>
  <si>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</si>
  <si>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</si>
  <si>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</si>
  <si>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</si>
  <si>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</si>
  <si>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</si>
  <si>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</si>
  <si>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</si>
  <si>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</si>
  <si>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</si>
  <si>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</si>
  <si>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</si>
  <si>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</si>
  <si>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</si>
  <si>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</si>
  <si>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</si>
  <si>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</si>
  <si>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</si>
  <si>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</si>
  <si>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</si>
  <si>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</si>
  <si>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</si>
  <si>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</si>
  <si>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</si>
  <si>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</si>
  <si>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</si>
  <si>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</si>
  <si>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</si>
  <si>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</si>
  <si>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</si>
  <si>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</si>
  <si>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</si>
  <si>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</si>
  <si>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</si>
  <si>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</si>
  <si>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</si>
  <si>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</si>
  <si>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</si>
  <si>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</si>
  <si>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</si>
  <si>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</si>
  <si>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</si>
  <si>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</si>
  <si>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</si>
  <si>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</si>
  <si>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</si>
  <si>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</si>
  <si>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</si>
  <si>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</si>
  <si>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</si>
  <si>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</si>
  <si>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</si>
  <si>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</si>
  <si>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</si>
  <si>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</si>
  <si>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</si>
  <si>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</si>
  <si>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</si>
  <si>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</si>
  <si>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</si>
  <si>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</si>
  <si>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</si>
  <si>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</si>
  <si>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</si>
  <si>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</si>
  <si>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</si>
  <si>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</si>
  <si>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</si>
  <si>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</si>
  <si>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</si>
  <si>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</si>
  <si>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</si>
  <si>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</si>
  <si>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</si>
  <si>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</si>
  <si>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</si>
  <si>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</si>
  <si>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</si>
  <si>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</si>
  <si>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</si>
  <si>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</si>
  <si>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</si>
  <si>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</si>
  <si>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</si>
  <si>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</si>
  <si>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</si>
  <si>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</si>
  <si>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</si>
  <si>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</si>
  <si>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</si>
  <si>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</si>
  <si>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</si>
  <si>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</si>
  <si>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</si>
  <si>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</si>
  <si>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</si>
  <si>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</si>
  <si>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</si>
  <si>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</si>
  <si>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</si>
  <si>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</si>
  <si>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</si>
  <si>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</si>
  <si>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</si>
  <si>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</si>
  <si>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</si>
  <si>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</si>
  <si>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</si>
  <si>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</si>
  <si>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</si>
  <si>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</si>
  <si>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</si>
  <si>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</si>
  <si>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</si>
  <si>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</si>
  <si>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</si>
  <si>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</si>
  <si>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</si>
  <si>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</si>
  <si>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</si>
  <si>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</si>
  <si>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</si>
  <si>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</si>
  <si>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</si>
  <si>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</si>
  <si>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</si>
  <si>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</si>
  <si>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</si>
  <si>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</si>
  <si>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</si>
  <si>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</si>
  <si>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</si>
  <si>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</si>
  <si>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</si>
  <si>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</si>
  <si>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</si>
  <si>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</si>
  <si>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</si>
  <si>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</si>
  <si>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</si>
  <si>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</si>
  <si>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</si>
  <si>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</si>
  <si>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</si>
  <si>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</si>
  <si>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</si>
  <si>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</si>
  <si>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</si>
  <si>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</si>
  <si>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</si>
  <si>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</si>
  <si>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</si>
  <si>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</si>
  <si>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</si>
  <si>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</si>
  <si>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</si>
  <si>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</si>
  <si>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</si>
  <si>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</si>
  <si>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</si>
  <si>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</si>
  <si>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</si>
  <si>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</si>
  <si>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</si>
  <si>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</si>
  <si>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</si>
  <si>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</si>
  <si>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</si>
  <si>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</si>
  <si>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</si>
  <si>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</si>
  <si>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</si>
  <si>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</si>
  <si>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</si>
  <si>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</si>
  <si>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</si>
  <si>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</si>
  <si>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</si>
  <si>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</si>
  <si>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</si>
  <si>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</si>
  <si>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</si>
  <si>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</si>
  <si>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</si>
  <si>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</si>
  <si>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</si>
  <si>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</si>
  <si>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</si>
  <si>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</si>
  <si>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</si>
  <si>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</si>
  <si>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</si>
  <si>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</si>
  <si>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</si>
  <si>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</si>
  <si>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</si>
  <si>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</si>
  <si>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</si>
  <si>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</si>
  <si>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</si>
  <si>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</si>
  <si>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</si>
  <si>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</si>
  <si>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</si>
  <si>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</si>
  <si>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</si>
  <si>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</si>
  <si>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</si>
  <si>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</si>
  <si>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</si>
  <si>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</si>
  <si>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</si>
  <si>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</si>
  <si>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</si>
  <si>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</si>
  <si>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</si>
  <si>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</si>
  <si>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</si>
  <si>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</si>
  <si>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</si>
  <si>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</si>
  <si>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</si>
  <si>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</si>
  <si>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</si>
  <si>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</si>
  <si>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</si>
  <si>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</si>
  <si>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</si>
  <si>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</si>
  <si>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</si>
  <si>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</si>
  <si>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</si>
  <si>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</si>
  <si>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</si>
  <si>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</si>
  <si>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</si>
  <si>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</si>
  <si>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</si>
  <si>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</si>
  <si>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</si>
  <si>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</si>
  <si>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</si>
  <si>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</si>
  <si>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</si>
  <si>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</si>
  <si>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</si>
  <si>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</si>
  <si>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</si>
  <si>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</si>
  <si>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</si>
  <si>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</si>
  <si>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</si>
  <si>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</si>
  <si>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</si>
  <si>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</si>
  <si>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</si>
  <si>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</si>
  <si>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</si>
  <si>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</si>
  <si>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</si>
  <si>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</si>
  <si>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</si>
  <si>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</si>
  <si>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</si>
  <si>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</si>
  <si>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</si>
  <si>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</si>
  <si>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</si>
  <si>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</si>
  <si>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</si>
  <si>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</si>
  <si>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</si>
  <si>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</si>
  <si>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</si>
  <si>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</si>
  <si>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</si>
  <si>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</si>
  <si>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</si>
  <si>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</si>
  <si>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</si>
  <si>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</si>
  <si>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</si>
  <si>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</si>
  <si>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</si>
  <si>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</si>
  <si>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</si>
  <si>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</si>
  <si>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</si>
  <si>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</si>
  <si>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</si>
  <si>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</si>
  <si>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</si>
  <si>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</si>
  <si>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</si>
  <si>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</si>
  <si>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</si>
  <si>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</si>
  <si>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</si>
  <si>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</si>
  <si>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</si>
  <si>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</si>
  <si>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</si>
  <si>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</si>
  <si>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</si>
  <si>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</si>
  <si>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</si>
  <si>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</si>
  <si>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</si>
  <si>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</si>
  <si>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</si>
  <si>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</si>
  <si>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</si>
  <si>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</si>
  <si>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</si>
  <si>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</si>
  <si>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</si>
  <si>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</si>
  <si>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</si>
  <si>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</si>
  <si>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</si>
  <si>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</si>
  <si>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</si>
  <si>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</si>
  <si>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</si>
  <si>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</si>
  <si>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</si>
  <si>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</si>
  <si>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11039</t>
  </si>
  <si>
    <t>SCHILDE</t>
  </si>
  <si>
    <t>Eandis (januari 2018); Infrax (juni 2018)</t>
  </si>
  <si>
    <t>MOW (september 2017)</t>
  </si>
  <si>
    <t>referentietaak LNE (2017); Jaarverslag De Lijn (2016)</t>
  </si>
  <si>
    <t>VEA (april 2018)</t>
  </si>
  <si>
    <t>VEA (januari 2017)</t>
  </si>
  <si>
    <t>VEA (juni 2018)</t>
  </si>
  <si>
    <t>WKK-0657 Kamille</t>
  </si>
  <si>
    <t>brandstofcel</t>
  </si>
  <si>
    <t>van de Wervelaan 10 , 2970 Schilde</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</si>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</sst>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218707.83328807814</c:v>
                </c:pt>
                <c:pt idx="1">
                  <c:v>82686.060480332526</c:v>
                </c:pt>
                <c:pt idx="2">
                  <c:v>972.75400000000002</c:v>
                </c:pt>
                <c:pt idx="3">
                  <c:v>2182.4269915118157</c:v>
                </c:pt>
                <c:pt idx="4">
                  <c:v>8318.6066302919062</c:v>
                </c:pt>
                <c:pt idx="5">
                  <c:v>94253.561519575815</c:v>
                </c:pt>
                <c:pt idx="6">
                  <c:v>2021.6969464340891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218707.83328807814</c:v>
                </c:pt>
                <c:pt idx="1">
                  <c:v>82686.060480332526</c:v>
                </c:pt>
                <c:pt idx="2">
                  <c:v>972.75400000000002</c:v>
                </c:pt>
                <c:pt idx="3">
                  <c:v>2182.4269915118157</c:v>
                </c:pt>
                <c:pt idx="4">
                  <c:v>8318.6066302919062</c:v>
                </c:pt>
                <c:pt idx="5">
                  <c:v>94253.561519575815</c:v>
                </c:pt>
                <c:pt idx="6">
                  <c:v>2021.6969464340891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43496.857162178683</c:v>
                </c:pt>
                <c:pt idx="2">
                  <c:v>16640.688017542576</c:v>
                </c:pt>
                <c:pt idx="3">
                  <c:v>208.68393395167652</c:v>
                </c:pt>
                <c:pt idx="4">
                  <c:v>539.61721770228849</c:v>
                </c:pt>
                <c:pt idx="5">
                  <c:v>1645.2224599295562</c:v>
                </c:pt>
                <c:pt idx="6">
                  <c:v>23562.381526452871</c:v>
                </c:pt>
                <c:pt idx="7">
                  <c:v>510.78287243367538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8208"/>
        <c:axId val="183304576"/>
      </c:barChart>
      <c:catAx>
        <c:axId val="183278208"/>
        <c:scaling>
          <c:orientation val="minMax"/>
        </c:scaling>
        <c:axPos val="b"/>
        <c:numFmt formatCode="General" sourceLinked="0"/>
        <c:tickLblPos val="nextTo"/>
        <c:crossAx val="183304576"/>
        <c:crosses val="autoZero"/>
        <c:auto val="1"/>
        <c:lblAlgn val="ctr"/>
        <c:lblOffset val="100"/>
      </c:catAx>
      <c:valAx>
        <c:axId val="183304576"/>
        <c:scaling>
          <c:orientation val="minMax"/>
        </c:scaling>
        <c:axPos val="l"/>
        <c:majorGridlines>
          <c:spPr>
            <a:ln>
              <a:noFill/>
            </a:ln>
          </c:spPr>
        </c:majorGridlines>
        <c:numFmt formatCode="#,##0" sourceLinked="1"/>
        <c:tickLblPos val="nextTo"/>
        <c:crossAx val="1832782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43496.857162178683</c:v>
                </c:pt>
                <c:pt idx="2">
                  <c:v>16640.688017542576</c:v>
                </c:pt>
                <c:pt idx="3">
                  <c:v>208.68393395167652</c:v>
                </c:pt>
                <c:pt idx="4">
                  <c:v>539.61721770228849</c:v>
                </c:pt>
                <c:pt idx="5">
                  <c:v>1645.2224599295562</c:v>
                </c:pt>
                <c:pt idx="6">
                  <c:v>23562.381526452871</c:v>
                </c:pt>
                <c:pt idx="7">
                  <c:v>510.78287243367538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11039</v>
      </c>
      <c r="B6" s="415"/>
      <c r="C6" s="416"/>
    </row>
    <row r="7" spans="1:7" s="413" customFormat="1" ht="15.75" customHeight="1">
      <c r="A7" s="417" t="str">
        <f>txtMunicipality</f>
        <v>SCHILDE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0.214528990835994</v>
      </c>
      <c r="C17" s="524">
        <f ca="1">'EF ele_warmte'!B22</f>
        <v>0.22444444444444442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0.214528990835994</v>
      </c>
      <c r="C29" s="525">
        <f ca="1">'EF ele_warmte'!B22</f>
        <v>0.22444444444444442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7950</v>
      </c>
      <c r="C9" s="342">
        <v>7632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430.76</v>
      </c>
    </row>
    <row r="15" spans="1:6">
      <c r="A15" s="348" t="s">
        <v>184</v>
      </c>
      <c r="B15" s="334">
        <v>1</v>
      </c>
    </row>
    <row r="16" spans="1:6">
      <c r="A16" s="348" t="s">
        <v>6</v>
      </c>
      <c r="B16" s="334">
        <v>51</v>
      </c>
    </row>
    <row r="17" spans="1:6">
      <c r="A17" s="348" t="s">
        <v>7</v>
      </c>
      <c r="B17" s="334">
        <v>17</v>
      </c>
    </row>
    <row r="18" spans="1:6">
      <c r="A18" s="348" t="s">
        <v>8</v>
      </c>
      <c r="B18" s="334">
        <v>32</v>
      </c>
    </row>
    <row r="19" spans="1:6">
      <c r="A19" s="348" t="s">
        <v>9</v>
      </c>
      <c r="B19" s="334">
        <v>41</v>
      </c>
    </row>
    <row r="20" spans="1:6">
      <c r="A20" s="348" t="s">
        <v>10</v>
      </c>
      <c r="B20" s="334">
        <v>20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64</v>
      </c>
    </row>
    <row r="27" spans="1:6">
      <c r="A27" s="348" t="s">
        <v>17</v>
      </c>
      <c r="B27" s="334">
        <v>220</v>
      </c>
    </row>
    <row r="28" spans="1:6" s="356" customFormat="1">
      <c r="A28" s="355" t="s">
        <v>18</v>
      </c>
      <c r="B28" s="355">
        <v>0</v>
      </c>
    </row>
    <row r="29" spans="1:6">
      <c r="A29" s="355" t="s">
        <v>744</v>
      </c>
      <c r="B29" s="355">
        <v>141</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74568.360960783699</v>
      </c>
      <c r="E38" s="334">
        <v>3</v>
      </c>
      <c r="F38" s="334">
        <v>17902.3577840084</v>
      </c>
    </row>
    <row r="39" spans="1:6">
      <c r="A39" s="348" t="s">
        <v>30</v>
      </c>
      <c r="B39" s="348" t="s">
        <v>31</v>
      </c>
      <c r="C39" s="334">
        <v>5418</v>
      </c>
      <c r="D39" s="334">
        <v>152337113.69202501</v>
      </c>
      <c r="E39" s="334">
        <v>7548</v>
      </c>
      <c r="F39" s="334">
        <v>43431036.643892899</v>
      </c>
    </row>
    <row r="40" spans="1:6">
      <c r="A40" s="348" t="s">
        <v>30</v>
      </c>
      <c r="B40" s="348" t="s">
        <v>29</v>
      </c>
      <c r="C40" s="334">
        <v>0</v>
      </c>
      <c r="D40" s="334">
        <v>0</v>
      </c>
      <c r="E40" s="334">
        <v>0</v>
      </c>
      <c r="F40" s="334">
        <v>0</v>
      </c>
    </row>
    <row r="41" spans="1:6">
      <c r="A41" s="348" t="s">
        <v>32</v>
      </c>
      <c r="B41" s="348" t="s">
        <v>33</v>
      </c>
      <c r="C41" s="334">
        <v>66</v>
      </c>
      <c r="D41" s="334">
        <v>2239763.5647040601</v>
      </c>
      <c r="E41" s="334">
        <v>135</v>
      </c>
      <c r="F41" s="334">
        <v>1061927.59625504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125219.382936414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332838.82132697699</v>
      </c>
      <c r="E47" s="334">
        <v>6</v>
      </c>
      <c r="F47" s="334">
        <v>69746.389829796099</v>
      </c>
    </row>
    <row r="48" spans="1:6">
      <c r="A48" s="348" t="s">
        <v>32</v>
      </c>
      <c r="B48" s="348" t="s">
        <v>29</v>
      </c>
      <c r="C48" s="334">
        <v>27</v>
      </c>
      <c r="D48" s="334">
        <v>890856.47768219002</v>
      </c>
      <c r="E48" s="334">
        <v>31</v>
      </c>
      <c r="F48" s="334">
        <v>237801.459044405</v>
      </c>
    </row>
    <row r="49" spans="1:6">
      <c r="A49" s="348" t="s">
        <v>32</v>
      </c>
      <c r="B49" s="348" t="s">
        <v>40</v>
      </c>
      <c r="C49" s="334">
        <v>0</v>
      </c>
      <c r="D49" s="334">
        <v>0</v>
      </c>
      <c r="E49" s="334">
        <v>0</v>
      </c>
      <c r="F49" s="334">
        <v>0</v>
      </c>
    </row>
    <row r="50" spans="1:6">
      <c r="A50" s="348" t="s">
        <v>32</v>
      </c>
      <c r="B50" s="348" t="s">
        <v>41</v>
      </c>
      <c r="C50" s="334">
        <v>15</v>
      </c>
      <c r="D50" s="334">
        <v>1395655.7537700001</v>
      </c>
      <c r="E50" s="334">
        <v>15</v>
      </c>
      <c r="F50" s="334">
        <v>522336.12704075302</v>
      </c>
    </row>
    <row r="51" spans="1:6">
      <c r="A51" s="348" t="s">
        <v>42</v>
      </c>
      <c r="B51" s="348" t="s">
        <v>43</v>
      </c>
      <c r="C51" s="334">
        <v>9</v>
      </c>
      <c r="D51" s="334">
        <v>337796.13368611399</v>
      </c>
      <c r="E51" s="334">
        <v>19</v>
      </c>
      <c r="F51" s="334">
        <v>298479.31579114101</v>
      </c>
    </row>
    <row r="52" spans="1:6">
      <c r="A52" s="348" t="s">
        <v>42</v>
      </c>
      <c r="B52" s="348" t="s">
        <v>29</v>
      </c>
      <c r="C52" s="334">
        <v>2</v>
      </c>
      <c r="D52" s="334">
        <v>171273.67866475601</v>
      </c>
      <c r="E52" s="334">
        <v>2</v>
      </c>
      <c r="F52" s="334">
        <v>24212.785651666702</v>
      </c>
    </row>
    <row r="53" spans="1:6">
      <c r="A53" s="348" t="s">
        <v>44</v>
      </c>
      <c r="B53" s="348" t="s">
        <v>45</v>
      </c>
      <c r="C53" s="334">
        <v>200</v>
      </c>
      <c r="D53" s="334">
        <v>5817859.1924767103</v>
      </c>
      <c r="E53" s="334">
        <v>363</v>
      </c>
      <c r="F53" s="334">
        <v>2021830.2252769</v>
      </c>
    </row>
    <row r="54" spans="1:6">
      <c r="A54" s="348" t="s">
        <v>46</v>
      </c>
      <c r="B54" s="348" t="s">
        <v>47</v>
      </c>
      <c r="C54" s="334">
        <v>0</v>
      </c>
      <c r="D54" s="334">
        <v>0</v>
      </c>
      <c r="E54" s="334">
        <v>1</v>
      </c>
      <c r="F54" s="334">
        <v>972754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87</v>
      </c>
      <c r="D57" s="334">
        <v>5135981.1527843596</v>
      </c>
      <c r="E57" s="334">
        <v>109</v>
      </c>
      <c r="F57" s="334">
        <v>3844120.7025254602</v>
      </c>
    </row>
    <row r="58" spans="1:6">
      <c r="A58" s="348" t="s">
        <v>49</v>
      </c>
      <c r="B58" s="348" t="s">
        <v>51</v>
      </c>
      <c r="C58" s="334">
        <v>61</v>
      </c>
      <c r="D58" s="334">
        <v>2999732.9594399501</v>
      </c>
      <c r="E58" s="334">
        <v>82</v>
      </c>
      <c r="F58" s="334">
        <v>961886.10298948502</v>
      </c>
    </row>
    <row r="59" spans="1:6">
      <c r="A59" s="348" t="s">
        <v>49</v>
      </c>
      <c r="B59" s="348" t="s">
        <v>52</v>
      </c>
      <c r="C59" s="334">
        <v>149</v>
      </c>
      <c r="D59" s="334">
        <v>5378384.3030386698</v>
      </c>
      <c r="E59" s="334">
        <v>271</v>
      </c>
      <c r="F59" s="334">
        <v>7987520.3076291597</v>
      </c>
    </row>
    <row r="60" spans="1:6">
      <c r="A60" s="348" t="s">
        <v>49</v>
      </c>
      <c r="B60" s="348" t="s">
        <v>53</v>
      </c>
      <c r="C60" s="334">
        <v>81</v>
      </c>
      <c r="D60" s="334">
        <v>4725009.3007240398</v>
      </c>
      <c r="E60" s="334">
        <v>93</v>
      </c>
      <c r="F60" s="334">
        <v>3000240.8035805598</v>
      </c>
    </row>
    <row r="61" spans="1:6">
      <c r="A61" s="348" t="s">
        <v>49</v>
      </c>
      <c r="B61" s="348" t="s">
        <v>54</v>
      </c>
      <c r="C61" s="334">
        <v>425</v>
      </c>
      <c r="D61" s="334">
        <v>22022446.267809901</v>
      </c>
      <c r="E61" s="334">
        <v>665</v>
      </c>
      <c r="F61" s="334">
        <v>8643130.1861789804</v>
      </c>
    </row>
    <row r="62" spans="1:6">
      <c r="A62" s="348" t="s">
        <v>49</v>
      </c>
      <c r="B62" s="348" t="s">
        <v>55</v>
      </c>
      <c r="C62" s="334">
        <v>7</v>
      </c>
      <c r="D62" s="334">
        <v>1669684.6886496199</v>
      </c>
      <c r="E62" s="334">
        <v>11</v>
      </c>
      <c r="F62" s="334">
        <v>88473.500369499307</v>
      </c>
    </row>
    <row r="63" spans="1:6">
      <c r="A63" s="348" t="s">
        <v>49</v>
      </c>
      <c r="B63" s="348" t="s">
        <v>29</v>
      </c>
      <c r="C63" s="334">
        <v>122</v>
      </c>
      <c r="D63" s="334">
        <v>9849209.2774042692</v>
      </c>
      <c r="E63" s="334">
        <v>105</v>
      </c>
      <c r="F63" s="334">
        <v>2649125.6097142198</v>
      </c>
    </row>
    <row r="64" spans="1:6">
      <c r="A64" s="348" t="s">
        <v>56</v>
      </c>
      <c r="B64" s="348" t="s">
        <v>57</v>
      </c>
      <c r="C64" s="334">
        <v>0</v>
      </c>
      <c r="D64" s="334">
        <v>0</v>
      </c>
      <c r="E64" s="334">
        <v>0</v>
      </c>
      <c r="F64" s="334">
        <v>0</v>
      </c>
    </row>
    <row r="65" spans="1:6">
      <c r="A65" s="348" t="s">
        <v>56</v>
      </c>
      <c r="B65" s="348" t="s">
        <v>29</v>
      </c>
      <c r="C65" s="334">
        <v>2</v>
      </c>
      <c r="D65" s="334">
        <v>186003.98088450701</v>
      </c>
      <c r="E65" s="334">
        <v>2</v>
      </c>
      <c r="F65" s="334">
        <v>30559.786676720702</v>
      </c>
    </row>
    <row r="66" spans="1:6">
      <c r="A66" s="348" t="s">
        <v>56</v>
      </c>
      <c r="B66" s="348" t="s">
        <v>58</v>
      </c>
      <c r="C66" s="334">
        <v>0</v>
      </c>
      <c r="D66" s="334">
        <v>0</v>
      </c>
      <c r="E66" s="334">
        <v>11</v>
      </c>
      <c r="F66" s="334">
        <v>250664.00634913999</v>
      </c>
    </row>
    <row r="67" spans="1:6">
      <c r="A67" s="355" t="s">
        <v>56</v>
      </c>
      <c r="B67" s="355" t="s">
        <v>59</v>
      </c>
      <c r="C67" s="334">
        <v>0</v>
      </c>
      <c r="D67" s="334">
        <v>0</v>
      </c>
      <c r="E67" s="334">
        <v>0</v>
      </c>
      <c r="F67" s="334">
        <v>0</v>
      </c>
    </row>
    <row r="68" spans="1:6">
      <c r="A68" s="341" t="s">
        <v>56</v>
      </c>
      <c r="B68" s="341" t="s">
        <v>60</v>
      </c>
      <c r="C68" s="334">
        <v>4</v>
      </c>
      <c r="D68" s="334">
        <v>96407.240203893103</v>
      </c>
      <c r="E68" s="334">
        <v>8</v>
      </c>
      <c r="F68" s="334">
        <v>50341.333014690899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91867664</v>
      </c>
      <c r="E73" s="475">
        <v>92887952.503819913</v>
      </c>
    </row>
    <row r="74" spans="1:6">
      <c r="A74" s="348" t="s">
        <v>64</v>
      </c>
      <c r="B74" s="348" t="s">
        <v>657</v>
      </c>
      <c r="C74" s="1295" t="s">
        <v>659</v>
      </c>
      <c r="D74" s="475">
        <v>5069319</v>
      </c>
      <c r="E74" s="475">
        <v>5120451.5395249901</v>
      </c>
    </row>
    <row r="75" spans="1:6">
      <c r="A75" s="348" t="s">
        <v>65</v>
      </c>
      <c r="B75" s="348" t="s">
        <v>656</v>
      </c>
      <c r="C75" s="1295" t="s">
        <v>660</v>
      </c>
      <c r="D75" s="475">
        <v>26824368</v>
      </c>
      <c r="E75" s="475">
        <v>27164744.065233916</v>
      </c>
    </row>
    <row r="76" spans="1:6">
      <c r="A76" s="348" t="s">
        <v>65</v>
      </c>
      <c r="B76" s="348" t="s">
        <v>657</v>
      </c>
      <c r="C76" s="1295" t="s">
        <v>661</v>
      </c>
      <c r="D76" s="475">
        <v>579264</v>
      </c>
      <c r="E76" s="475">
        <v>595552.73630697257</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548318</v>
      </c>
      <c r="C83" s="475">
        <v>550731.07124846487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2257.1255625091203</v>
      </c>
    </row>
    <row r="92" spans="1:6">
      <c r="A92" s="341" t="s">
        <v>69</v>
      </c>
      <c r="B92" s="342">
        <v>34.657275003678279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3917</v>
      </c>
    </row>
    <row r="98" spans="1:6">
      <c r="A98" s="348" t="s">
        <v>72</v>
      </c>
      <c r="B98" s="334">
        <v>12</v>
      </c>
    </row>
    <row r="99" spans="1:6">
      <c r="A99" s="348" t="s">
        <v>73</v>
      </c>
      <c r="B99" s="334">
        <v>121</v>
      </c>
    </row>
    <row r="100" spans="1:6">
      <c r="A100" s="348" t="s">
        <v>74</v>
      </c>
      <c r="B100" s="334">
        <v>800</v>
      </c>
    </row>
    <row r="101" spans="1:6">
      <c r="A101" s="348" t="s">
        <v>75</v>
      </c>
      <c r="B101" s="334">
        <v>89</v>
      </c>
    </row>
    <row r="102" spans="1:6">
      <c r="A102" s="348" t="s">
        <v>76</v>
      </c>
      <c r="B102" s="334">
        <v>89</v>
      </c>
    </row>
    <row r="103" spans="1:6">
      <c r="A103" s="348" t="s">
        <v>77</v>
      </c>
      <c r="B103" s="334">
        <v>99</v>
      </c>
    </row>
    <row r="104" spans="1:6">
      <c r="A104" s="348" t="s">
        <v>78</v>
      </c>
      <c r="B104" s="334">
        <v>2065</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54</v>
      </c>
      <c r="C123" s="334">
        <v>14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101</v>
      </c>
    </row>
    <row r="130" spans="1:6">
      <c r="A130" s="348" t="s">
        <v>295</v>
      </c>
      <c r="B130" s="334">
        <v>3</v>
      </c>
    </row>
    <row r="131" spans="1:6">
      <c r="A131" s="348" t="s">
        <v>296</v>
      </c>
      <c r="B131" s="334">
        <v>2</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78260.660539886885</v>
      </c>
      <c r="C3" s="43" t="s">
        <v>170</v>
      </c>
      <c r="D3" s="43"/>
      <c r="E3" s="154"/>
      <c r="F3" s="43"/>
      <c r="G3" s="43"/>
      <c r="H3" s="43"/>
      <c r="I3" s="43"/>
      <c r="J3" s="43"/>
      <c r="K3" s="96"/>
    </row>
    <row r="4" spans="1:11">
      <c r="A4" s="383" t="s">
        <v>171</v>
      </c>
      <c r="B4" s="49">
        <f>IF(ISERROR('SEAP template'!B78+'SEAP template'!C78),0,'SEAP template'!B78+'SEAP template'!C78)</f>
        <v>2308.7828375127988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3.8155555555555551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0.214528990835994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5.4655255255255248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24.351351351351351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0.22444444444444442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972.75400000000002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972.75400000000002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0.214528990835994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208.68393395167652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43431.036643892898</v>
      </c>
      <c r="C5" s="17">
        <f>IF(ISERROR('Eigen informatie GS &amp; warmtenet'!B57),0,'Eigen informatie GS &amp; warmtenet'!B57)</f>
        <v>0</v>
      </c>
      <c r="D5" s="30">
        <f>(SUM(HH_hh_gas_kWh,HH_rest_gas_kWh)/1000)*0.902</f>
        <v>137408.07655020658</v>
      </c>
      <c r="E5" s="17">
        <f>B46*B57</f>
        <v>4418.5372763520791</v>
      </c>
      <c r="F5" s="17">
        <f>B51*B62</f>
        <v>18486.82549069068</v>
      </c>
      <c r="G5" s="18"/>
      <c r="H5" s="17"/>
      <c r="I5" s="17"/>
      <c r="J5" s="17">
        <f>B50*B61+C50*C61</f>
        <v>0</v>
      </c>
      <c r="K5" s="17"/>
      <c r="L5" s="17"/>
      <c r="M5" s="17"/>
      <c r="N5" s="17">
        <f>B48*B59+C48*C59</f>
        <v>11075.818431093408</v>
      </c>
      <c r="O5" s="17">
        <f>B69*B70*B71</f>
        <v>181.34666666666669</v>
      </c>
      <c r="P5" s="17">
        <f>B77*B78*B79/1000-B77*B78*B79/1000/B80</f>
        <v>1449.0666666666666</v>
      </c>
    </row>
    <row r="6" spans="1:16">
      <c r="A6" s="16" t="s">
        <v>621</v>
      </c>
      <c r="B6" s="788">
        <f>kWh_PV_kleiner_dan_10kW</f>
        <v>2257.1255625091203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45688.162206402019</v>
      </c>
      <c r="C8" s="21">
        <f>C5</f>
        <v>0</v>
      </c>
      <c r="D8" s="21">
        <f>D5</f>
        <v>137408.07655020658</v>
      </c>
      <c r="E8" s="21">
        <f>E5</f>
        <v>4418.5372763520791</v>
      </c>
      <c r="F8" s="21">
        <f>F5</f>
        <v>18486.82549069068</v>
      </c>
      <c r="G8" s="21"/>
      <c r="H8" s="21"/>
      <c r="I8" s="21"/>
      <c r="J8" s="21">
        <f>J5</f>
        <v>0</v>
      </c>
      <c r="K8" s="21"/>
      <c r="L8" s="21">
        <f>L5</f>
        <v>0</v>
      </c>
      <c r="M8" s="21">
        <f>M5</f>
        <v>0</v>
      </c>
      <c r="N8" s="21">
        <f>N5</f>
        <v>11075.818431093408</v>
      </c>
      <c r="O8" s="21">
        <f>O5</f>
        <v>181.34666666666669</v>
      </c>
      <c r="P8" s="21">
        <f>P5</f>
        <v>1449.0666666666666</v>
      </c>
    </row>
    <row r="9" spans="1:16">
      <c r="B9" s="19"/>
      <c r="C9" s="19"/>
      <c r="D9" s="258"/>
      <c r="E9" s="19"/>
      <c r="F9" s="19"/>
      <c r="G9" s="19"/>
      <c r="H9" s="19"/>
      <c r="I9" s="19"/>
      <c r="J9" s="19"/>
      <c r="K9" s="19"/>
      <c r="L9" s="19"/>
      <c r="M9" s="19"/>
      <c r="N9" s="19"/>
      <c r="O9" s="19"/>
      <c r="P9" s="19"/>
    </row>
    <row r="10" spans="1:16">
      <c r="A10" s="24" t="s">
        <v>214</v>
      </c>
      <c r="B10" s="25">
        <f ca="1">'EF ele_warmte'!B12</f>
        <v>0.214528990835994</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9801.435331290626</v>
      </c>
      <c r="C12" s="23">
        <f ca="1">C10*C8</f>
        <v>0</v>
      </c>
      <c r="D12" s="23">
        <f>D8*D10</f>
        <v>27756.431463141729</v>
      </c>
      <c r="E12" s="23">
        <f>E10*E8</f>
        <v>1003.007961731922</v>
      </c>
      <c r="F12" s="23">
        <f>F10*F8</f>
        <v>4935.9824060144119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3917</v>
      </c>
      <c r="C18" s="166" t="s">
        <v>111</v>
      </c>
      <c r="D18" s="228"/>
      <c r="E18" s="15"/>
    </row>
    <row r="19" spans="1:7">
      <c r="A19" s="171" t="s">
        <v>72</v>
      </c>
      <c r="B19" s="37">
        <f>aantalw2001_ander</f>
        <v>12</v>
      </c>
      <c r="C19" s="166" t="s">
        <v>111</v>
      </c>
      <c r="D19" s="229"/>
      <c r="E19" s="15"/>
    </row>
    <row r="20" spans="1:7">
      <c r="A20" s="171" t="s">
        <v>73</v>
      </c>
      <c r="B20" s="37">
        <f>aantalw2001_propaan</f>
        <v>121</v>
      </c>
      <c r="C20" s="167">
        <f>IF(ISERROR(B20/SUM($B$20,$B$21,$B$22)*100),0,B20/SUM($B$20,$B$21,$B$22)*100)</f>
        <v>11.98019801980198</v>
      </c>
      <c r="D20" s="229"/>
      <c r="E20" s="15"/>
    </row>
    <row r="21" spans="1:7">
      <c r="A21" s="171" t="s">
        <v>74</v>
      </c>
      <c r="B21" s="37">
        <f>aantalw2001_elektriciteit</f>
        <v>800</v>
      </c>
      <c r="C21" s="167">
        <f>IF(ISERROR(B21/SUM($B$20,$B$21,$B$22)*100),0,B21/SUM($B$20,$B$21,$B$22)*100)</f>
        <v>79.207920792079207</v>
      </c>
      <c r="D21" s="229"/>
      <c r="E21" s="15"/>
    </row>
    <row r="22" spans="1:7">
      <c r="A22" s="171" t="s">
        <v>75</v>
      </c>
      <c r="B22" s="37">
        <f>aantalw2001_hout</f>
        <v>89</v>
      </c>
      <c r="C22" s="167">
        <f>IF(ISERROR(B22/SUM($B$20,$B$21,$B$22)*100),0,B22/SUM($B$20,$B$21,$B$22)*100)</f>
        <v>8.8118811881188108</v>
      </c>
      <c r="D22" s="229"/>
      <c r="E22" s="15"/>
    </row>
    <row r="23" spans="1:7">
      <c r="A23" s="171" t="s">
        <v>76</v>
      </c>
      <c r="B23" s="37">
        <f>aantalw2001_niet_gespec</f>
        <v>89</v>
      </c>
      <c r="C23" s="166" t="s">
        <v>111</v>
      </c>
      <c r="D23" s="228"/>
      <c r="E23" s="15"/>
    </row>
    <row r="24" spans="1:7">
      <c r="A24" s="171" t="s">
        <v>77</v>
      </c>
      <c r="B24" s="37">
        <f>aantalw2001_steenkool</f>
        <v>99</v>
      </c>
      <c r="C24" s="166" t="s">
        <v>111</v>
      </c>
      <c r="D24" s="229"/>
      <c r="E24" s="15"/>
    </row>
    <row r="25" spans="1:7">
      <c r="A25" s="171" t="s">
        <v>78</v>
      </c>
      <c r="B25" s="37">
        <f>aantalw2001_stookolie</f>
        <v>2065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793</v>
      </c>
      <c r="B28" s="37">
        <f>aantalHuishoudens2011</f>
        <v>7950</v>
      </c>
      <c r="C28" s="36"/>
      <c r="D28" s="228"/>
    </row>
    <row r="29" spans="1:7" s="15" customFormat="1">
      <c r="A29" s="230" t="s">
        <v>794</v>
      </c>
      <c r="B29" s="37">
        <f>SUM(HH_hh_gas_aantal,HH_rest_gas_aantal)</f>
        <v>5418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5418</v>
      </c>
      <c r="C32" s="167">
        <f>IF(ISERROR(B32/SUM($B$32,$B$34,$B$35,$B$36,$B$38,$B$39)*100),0,B32/SUM($B$32,$B$34,$B$35,$B$36,$B$38,$B$39)*100)</f>
        <v>68.808737617475231</v>
      </c>
      <c r="D32" s="233"/>
      <c r="G32" s="15"/>
    </row>
    <row r="33" spans="1:7">
      <c r="A33" s="171" t="s">
        <v>72</v>
      </c>
      <c r="B33" s="34" t="s">
        <v>111</v>
      </c>
      <c r="C33" s="167"/>
      <c r="D33" s="233"/>
      <c r="G33" s="15"/>
    </row>
    <row r="34" spans="1:7">
      <c r="A34" s="171" t="s">
        <v>73</v>
      </c>
      <c r="B34" s="33">
        <f>IF((($B$28-$B$32-$B$39-$B$77-$B$38)*C20/100)&lt;0,0,($B$28-$B$32-$B$39-$B$77-$B$38)*C20/100)</f>
        <v>208.68306930693069</v>
      </c>
      <c r="C34" s="167">
        <f>IF(ISERROR(B34/SUM($B$32,$B$34,$B$35,$B$36,$B$38,$B$39)*100),0,B34/SUM($B$32,$B$34,$B$35,$B$36,$B$38,$B$39)*100)</f>
        <v>2.6502802807585812</v>
      </c>
      <c r="D34" s="233"/>
      <c r="G34" s="15"/>
    </row>
    <row r="35" spans="1:7">
      <c r="A35" s="171" t="s">
        <v>74</v>
      </c>
      <c r="B35" s="33">
        <f>IF((($B$28-$B$32-$B$39-$B$77-$B$38)*C21/100)&lt;0,0,($B$28-$B$32-$B$39-$B$77-$B$38)*C21/100)</f>
        <v>1379.7227722772277</v>
      </c>
      <c r="C35" s="167">
        <f>IF(ISERROR(B35/SUM($B$32,$B$34,$B$35,$B$36,$B$38,$B$39)*100),0,B35/SUM($B$32,$B$34,$B$35,$B$36,$B$38,$B$39)*100)</f>
        <v>17.522514252949296</v>
      </c>
      <c r="D35" s="233"/>
      <c r="G35" s="15"/>
    </row>
    <row r="36" spans="1:7">
      <c r="A36" s="171" t="s">
        <v>75</v>
      </c>
      <c r="B36" s="33">
        <f>IF((($B$28-$B$32-$B$39-$B$77-$B$38)*C22/100)&lt;0,0,($B$28-$B$32-$B$39-$B$77-$B$38)*C22/100)</f>
        <v>153.49415841584158</v>
      </c>
      <c r="C36" s="167">
        <f>IF(ISERROR(B36/SUM($B$32,$B$34,$B$35,$B$36,$B$38,$B$39)*100),0,B36/SUM($B$32,$B$34,$B$35,$B$36,$B$38,$B$39)*100)</f>
        <v>1.9493797106406092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714.09999999999991</v>
      </c>
      <c r="C39" s="167">
        <f>IF(ISERROR(B39/SUM($B$32,$B$34,$B$35,$B$36,$B$38,$B$39)*100),0,B39/SUM($B$32,$B$34,$B$35,$B$36,$B$38,$B$39)*100)</f>
        <v>9.0690881381762747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5418</v>
      </c>
      <c r="C44" s="34" t="s">
        <v>111</v>
      </c>
      <c r="D44" s="174"/>
    </row>
    <row r="45" spans="1:7">
      <c r="A45" s="171" t="s">
        <v>72</v>
      </c>
      <c r="B45" s="33" t="str">
        <f t="shared" si="0"/>
        <v>-</v>
      </c>
      <c r="C45" s="34" t="s">
        <v>111</v>
      </c>
      <c r="D45" s="174"/>
    </row>
    <row r="46" spans="1:7">
      <c r="A46" s="171" t="s">
        <v>73</v>
      </c>
      <c r="B46" s="33">
        <f t="shared" si="0"/>
        <v>208.68306930693069</v>
      </c>
      <c r="C46" s="34" t="s">
        <v>111</v>
      </c>
      <c r="D46" s="174"/>
    </row>
    <row r="47" spans="1:7">
      <c r="A47" s="171" t="s">
        <v>74</v>
      </c>
      <c r="B47" s="33">
        <f t="shared" si="0"/>
        <v>1379.7227722772277</v>
      </c>
      <c r="C47" s="34" t="s">
        <v>111</v>
      </c>
      <c r="D47" s="174"/>
    </row>
    <row r="48" spans="1:7">
      <c r="A48" s="171" t="s">
        <v>75</v>
      </c>
      <c r="B48" s="33">
        <f t="shared" si="0"/>
        <v>153.49415841584158</v>
      </c>
      <c r="C48" s="33">
        <f>B48*10</f>
        <v>1534.9415841584159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714.09999999999991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27174.49721298736</v>
      </c>
      <c r="C5" s="17">
        <f>IF(ISERROR('Eigen informatie GS &amp; warmtenet'!B58),0,'Eigen informatie GS &amp; warmtenet'!B58)</f>
        <v>0</v>
      </c>
      <c r="D5" s="30">
        <f>SUM(D6:D12)</f>
        <v>46705.964050765433</v>
      </c>
      <c r="E5" s="17">
        <f>SUM(E6:E12)</f>
        <v>371.59749320724728</v>
      </c>
      <c r="F5" s="17">
        <f>SUM(F6:F12)</f>
        <v>4839.5128784267017</v>
      </c>
      <c r="G5" s="18"/>
      <c r="H5" s="17"/>
      <c r="I5" s="17"/>
      <c r="J5" s="17">
        <f>SUM(J6:J12)</f>
        <v>8.9855716433375157E-2</v>
      </c>
      <c r="K5" s="17"/>
      <c r="L5" s="17"/>
      <c r="M5" s="17"/>
      <c r="N5" s="17">
        <f>SUM(N6:N12)</f>
        <v>3556.1702504906239</v>
      </c>
      <c r="O5" s="17">
        <f>B38*B39*B40</f>
        <v>4.6900000000000004</v>
      </c>
      <c r="P5" s="17">
        <f>B46*B47*B48/1000-B46*B47*B48/1000/B49</f>
        <v>38.133333333333333</v>
      </c>
      <c r="R5" s="32"/>
    </row>
    <row r="6" spans="1:18">
      <c r="A6" s="32" t="s">
        <v>54</v>
      </c>
      <c r="B6" s="37">
        <f>B26</f>
        <v>8643.1301861789798</v>
      </c>
      <c r="C6" s="33"/>
      <c r="D6" s="37">
        <f>IF(ISERROR(TER_kantoor_gas_kWh/1000),0,TER_kantoor_gas_kWh/1000)*0.902</f>
        <v>19864.246533564532</v>
      </c>
      <c r="E6" s="33">
        <f>$C$26*'E Balans VL '!I12/100/3.6*1000000</f>
        <v>5.4172265346905529E-2</v>
      </c>
      <c r="F6" s="33">
        <f>$C$26*('E Balans VL '!L12+'E Balans VL '!N12)/100/3.6*1000000</f>
        <v>1298.8209548913819</v>
      </c>
      <c r="G6" s="34"/>
      <c r="H6" s="33"/>
      <c r="I6" s="33"/>
      <c r="J6" s="33">
        <f>$C$26*('E Balans VL '!D12+'E Balans VL '!E12)/100/3.6*1000000</f>
        <v>0</v>
      </c>
      <c r="K6" s="33"/>
      <c r="L6" s="33"/>
      <c r="M6" s="33"/>
      <c r="N6" s="33">
        <f>$C$26*'E Balans VL '!Y12/100/3.6*1000000</f>
        <v>8.2658725383946265</v>
      </c>
      <c r="O6" s="33"/>
      <c r="P6" s="33"/>
      <c r="R6" s="32"/>
    </row>
    <row r="7" spans="1:18">
      <c r="A7" s="32" t="s">
        <v>53</v>
      </c>
      <c r="B7" s="37">
        <f t="shared" ref="B7:B12" si="0">B27</f>
        <v>3000.2408035805597</v>
      </c>
      <c r="C7" s="33"/>
      <c r="D7" s="37">
        <f>IF(ISERROR(TER_horeca_gas_kWh/1000),0,TER_horeca_gas_kWh/1000)*0.902</f>
        <v>4261.9583892530836</v>
      </c>
      <c r="E7" s="33">
        <f>$C$27*'E Balans VL '!I9/100/3.6*1000000</f>
        <v>42.962948562556051</v>
      </c>
      <c r="F7" s="33">
        <f>$C$27*('E Balans VL '!L9+'E Balans VL '!N9)/100/3.6*1000000</f>
        <v>379.92943748720273</v>
      </c>
      <c r="G7" s="34"/>
      <c r="H7" s="33"/>
      <c r="I7" s="33"/>
      <c r="J7" s="33">
        <f>$C$27*('E Balans VL '!D9+'E Balans VL '!E9)/100/3.6*1000000</f>
        <v>0</v>
      </c>
      <c r="K7" s="33"/>
      <c r="L7" s="33"/>
      <c r="M7" s="33"/>
      <c r="N7" s="33">
        <f>$C$27*'E Balans VL '!Y9/100/3.6*1000000</f>
        <v>0.86250308139795417</v>
      </c>
      <c r="O7" s="33"/>
      <c r="P7" s="33"/>
      <c r="R7" s="32"/>
    </row>
    <row r="8" spans="1:18">
      <c r="A8" s="6" t="s">
        <v>52</v>
      </c>
      <c r="B8" s="37">
        <f t="shared" si="0"/>
        <v>7987.52030762916</v>
      </c>
      <c r="C8" s="33"/>
      <c r="D8" s="37">
        <f>IF(ISERROR(TER_handel_gas_kWh/1000),0,TER_handel_gas_kWh/1000)*0.902</f>
        <v>4851.3026413408807</v>
      </c>
      <c r="E8" s="33">
        <f>$C$28*'E Balans VL '!I13/100/3.6*1000000</f>
        <v>289.70637658083376</v>
      </c>
      <c r="F8" s="33">
        <f>$C$28*('E Balans VL '!L13+'E Balans VL '!N13)/100/3.6*1000000</f>
        <v>1538.4772900346036</v>
      </c>
      <c r="G8" s="34"/>
      <c r="H8" s="33"/>
      <c r="I8" s="33"/>
      <c r="J8" s="33">
        <f>$C$28*('E Balans VL '!D13+'E Balans VL '!E13)/100/3.6*1000000</f>
        <v>0</v>
      </c>
      <c r="K8" s="33"/>
      <c r="L8" s="33"/>
      <c r="M8" s="33"/>
      <c r="N8" s="33">
        <f>$C$28*'E Balans VL '!Y13/100/3.6*1000000</f>
        <v>11.064553472523674</v>
      </c>
      <c r="O8" s="33"/>
      <c r="P8" s="33"/>
      <c r="R8" s="32"/>
    </row>
    <row r="9" spans="1:18">
      <c r="A9" s="32" t="s">
        <v>51</v>
      </c>
      <c r="B9" s="37">
        <f t="shared" si="0"/>
        <v>961.88610298948504</v>
      </c>
      <c r="C9" s="33"/>
      <c r="D9" s="37">
        <f>IF(ISERROR(TER_gezond_gas_kWh/1000),0,TER_gezond_gas_kWh/1000)*0.902</f>
        <v>2705.7591294148351</v>
      </c>
      <c r="E9" s="33">
        <f>$C$29*'E Balans VL '!I10/100/3.6*1000000</f>
        <v>6.0223566956692877E-2</v>
      </c>
      <c r="F9" s="33">
        <f>$C$29*('E Balans VL '!L10+'E Balans VL '!N10)/100/3.6*1000000</f>
        <v>142.89110926336039</v>
      </c>
      <c r="G9" s="34"/>
      <c r="H9" s="33"/>
      <c r="I9" s="33"/>
      <c r="J9" s="33">
        <f>$C$29*('E Balans VL '!D10+'E Balans VL '!E10)/100/3.6*1000000</f>
        <v>0</v>
      </c>
      <c r="K9" s="33"/>
      <c r="L9" s="33"/>
      <c r="M9" s="33"/>
      <c r="N9" s="33">
        <f>$C$29*'E Balans VL '!Y10/100/3.6*1000000</f>
        <v>14.878547055116531</v>
      </c>
      <c r="O9" s="33"/>
      <c r="P9" s="33"/>
      <c r="R9" s="32"/>
    </row>
    <row r="10" spans="1:18">
      <c r="A10" s="32" t="s">
        <v>50</v>
      </c>
      <c r="B10" s="37">
        <f t="shared" si="0"/>
        <v>3844.1207025254603</v>
      </c>
      <c r="C10" s="33"/>
      <c r="D10" s="37">
        <f>IF(ISERROR(TER_ander_gas_kWh/1000),0,TER_ander_gas_kWh/1000)*0.902</f>
        <v>4632.6549998114924</v>
      </c>
      <c r="E10" s="33">
        <f>$C$30*'E Balans VL '!I14/100/3.6*1000000</f>
        <v>4.5820545117471578</v>
      </c>
      <c r="F10" s="33">
        <f>$C$30*('E Balans VL '!L14+'E Balans VL '!N14)/100/3.6*1000000</f>
        <v>1005.7928719643713</v>
      </c>
      <c r="G10" s="34"/>
      <c r="H10" s="33"/>
      <c r="I10" s="33"/>
      <c r="J10" s="33">
        <f>$C$30*('E Balans VL '!D14+'E Balans VL '!E14)/100/3.6*1000000</f>
        <v>8.3440791914745682E-2</v>
      </c>
      <c r="K10" s="33"/>
      <c r="L10" s="33"/>
      <c r="M10" s="33"/>
      <c r="N10" s="33">
        <f>$C$30*'E Balans VL '!Y14/100/3.6*1000000</f>
        <v>3264.3332362750789</v>
      </c>
      <c r="O10" s="33"/>
      <c r="P10" s="33"/>
      <c r="R10" s="32"/>
    </row>
    <row r="11" spans="1:18">
      <c r="A11" s="32" t="s">
        <v>55</v>
      </c>
      <c r="B11" s="37">
        <f t="shared" si="0"/>
        <v>88.473500369499305</v>
      </c>
      <c r="C11" s="33"/>
      <c r="D11" s="37">
        <f>IF(ISERROR(TER_onderwijs_gas_kWh/1000),0,TER_onderwijs_gas_kWh/1000)*0.902</f>
        <v>1506.0555891619572</v>
      </c>
      <c r="E11" s="33">
        <f>$C$31*'E Balans VL '!I11/100/3.6*1000000</f>
        <v>1.3349226204531062</v>
      </c>
      <c r="F11" s="33">
        <f>$C$31*('E Balans VL '!L11+'E Balans VL '!N11)/100/3.6*1000000</f>
        <v>15.501970670953042</v>
      </c>
      <c r="G11" s="34"/>
      <c r="H11" s="33"/>
      <c r="I11" s="33"/>
      <c r="J11" s="33">
        <f>$C$31*('E Balans VL '!D11+'E Balans VL '!E11)/100/3.6*1000000</f>
        <v>0</v>
      </c>
      <c r="K11" s="33"/>
      <c r="L11" s="33"/>
      <c r="M11" s="33"/>
      <c r="N11" s="33">
        <f>$C$31*'E Balans VL '!Y11/100/3.6*1000000</f>
        <v>0.24897115605140824</v>
      </c>
      <c r="O11" s="33"/>
      <c r="P11" s="33"/>
      <c r="R11" s="32"/>
    </row>
    <row r="12" spans="1:18">
      <c r="A12" s="32" t="s">
        <v>260</v>
      </c>
      <c r="B12" s="37">
        <f t="shared" si="0"/>
        <v>2649.12560971422</v>
      </c>
      <c r="C12" s="33"/>
      <c r="D12" s="37">
        <f>IF(ISERROR(TER_rest_gas_kWh/1000),0,TER_rest_gas_kWh/1000)*0.902</f>
        <v>8883.9867682186505</v>
      </c>
      <c r="E12" s="33">
        <f>$C$32*'E Balans VL '!I8/100/3.6*1000000</f>
        <v>32.896795099353668</v>
      </c>
      <c r="F12" s="33">
        <f>$C$32*('E Balans VL '!L8+'E Balans VL '!N8)/100/3.6*1000000</f>
        <v>458.09924411482945</v>
      </c>
      <c r="G12" s="34"/>
      <c r="H12" s="33"/>
      <c r="I12" s="33"/>
      <c r="J12" s="33">
        <f>$C$32*('E Balans VL '!D8+'E Balans VL '!E8)/100/3.6*1000000</f>
        <v>6.4149245186294708E-3</v>
      </c>
      <c r="K12" s="33"/>
      <c r="L12" s="33"/>
      <c r="M12" s="33"/>
      <c r="N12" s="33">
        <f>$C$32*'E Balans VL '!Y8/100/3.6*1000000</f>
        <v>256.51656691206074</v>
      </c>
      <c r="O12" s="33"/>
      <c r="P12" s="33"/>
      <c r="R12" s="32"/>
    </row>
    <row r="13" spans="1:18">
      <c r="A13" s="16" t="s">
        <v>488</v>
      </c>
      <c r="B13" s="247">
        <f ca="1">'lokale energieproductie'!N91+'lokale energieproductie'!N60</f>
        <v>17</v>
      </c>
      <c r="C13" s="247">
        <f ca="1">'lokale energieproductie'!O91+'lokale energieproductie'!O60</f>
        <v>24.351351351351351</v>
      </c>
      <c r="D13" s="310">
        <f ca="1">('lokale energieproductie'!P60+'lokale energieproductie'!P91)*(-1)</f>
        <v>-45.945945945945944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27191.49721298736</v>
      </c>
      <c r="C16" s="21">
        <f t="shared" ca="1" si="1"/>
        <v>24.351351351351351</v>
      </c>
      <c r="D16" s="21">
        <f t="shared" ca="1" si="1"/>
        <v>46660.018104819486</v>
      </c>
      <c r="E16" s="21">
        <f t="shared" si="1"/>
        <v>371.59749320724728</v>
      </c>
      <c r="F16" s="21">
        <f t="shared" ca="1" si="1"/>
        <v>4839.5128784267017</v>
      </c>
      <c r="G16" s="21">
        <f t="shared" si="1"/>
        <v>0</v>
      </c>
      <c r="H16" s="21">
        <f t="shared" si="1"/>
        <v>0</v>
      </c>
      <c r="I16" s="21">
        <f t="shared" si="1"/>
        <v>0</v>
      </c>
      <c r="J16" s="21">
        <f t="shared" si="1"/>
        <v>8.9855716433375157E-2</v>
      </c>
      <c r="K16" s="21">
        <f t="shared" si="1"/>
        <v>0</v>
      </c>
      <c r="L16" s="21">
        <f t="shared" ca="1" si="1"/>
        <v>0</v>
      </c>
      <c r="M16" s="21">
        <f t="shared" si="1"/>
        <v>0</v>
      </c>
      <c r="N16" s="21">
        <f t="shared" ca="1" si="1"/>
        <v>3556.1702504906239</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0.214528990835994</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5833.3644564219221</v>
      </c>
      <c r="C20" s="23">
        <f t="shared" ref="C20:P20" ca="1" si="2">C16*C18</f>
        <v>5.4655255255255248</v>
      </c>
      <c r="D20" s="23">
        <f t="shared" ca="1" si="2"/>
        <v>9425.323657173536</v>
      </c>
      <c r="E20" s="23">
        <f t="shared" si="2"/>
        <v>84.35263095804514</v>
      </c>
      <c r="F20" s="23">
        <f t="shared" ca="1" si="2"/>
        <v>1292.1499385399295</v>
      </c>
      <c r="G20" s="23">
        <f t="shared" si="2"/>
        <v>0</v>
      </c>
      <c r="H20" s="23">
        <f t="shared" si="2"/>
        <v>0</v>
      </c>
      <c r="I20" s="23">
        <f t="shared" si="2"/>
        <v>0</v>
      </c>
      <c r="J20" s="23">
        <f t="shared" si="2"/>
        <v>3.1808923617414803E-2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8643.1301861789798</v>
      </c>
      <c r="C26" s="39">
        <f>IF(ISERROR(B26*3.6/1000000/'E Balans VL '!Z12*100),0,B26*3.6/1000000/'E Balans VL '!Z12*100)</f>
        <v>0.18270208031165067</v>
      </c>
      <c r="D26" s="237" t="s">
        <v>754</v>
      </c>
      <c r="F26" s="6"/>
    </row>
    <row r="27" spans="1:18">
      <c r="A27" s="231" t="s">
        <v>53</v>
      </c>
      <c r="B27" s="33">
        <f>IF(ISERROR(TER_horeca_ele_kWh/1000),0,TER_horeca_ele_kWh/1000)</f>
        <v>3000.2408035805597</v>
      </c>
      <c r="C27" s="39">
        <f>IF(ISERROR(B27*3.6/1000000/'E Balans VL '!Z9*100),0,B27*3.6/1000000/'E Balans VL '!Z9*100)</f>
        <v>0.23650786429941945</v>
      </c>
      <c r="D27" s="237" t="s">
        <v>754</v>
      </c>
      <c r="F27" s="6"/>
    </row>
    <row r="28" spans="1:18">
      <c r="A28" s="171" t="s">
        <v>52</v>
      </c>
      <c r="B28" s="33">
        <f>IF(ISERROR(TER_handel_ele_kWh/1000),0,TER_handel_ele_kWh/1000)</f>
        <v>7987.52030762916</v>
      </c>
      <c r="C28" s="39">
        <f>IF(ISERROR(B28*3.6/1000000/'E Balans VL '!Z13*100),0,B28*3.6/1000000/'E Balans VL '!Z13*100)</f>
        <v>0.23183011252584992</v>
      </c>
      <c r="D28" s="237" t="s">
        <v>754</v>
      </c>
      <c r="F28" s="6"/>
    </row>
    <row r="29" spans="1:18">
      <c r="A29" s="231" t="s">
        <v>51</v>
      </c>
      <c r="B29" s="33">
        <f>IF(ISERROR(TER_gezond_ele_kWh/1000),0,TER_gezond_ele_kWh/1000)</f>
        <v>961.88610298948504</v>
      </c>
      <c r="C29" s="39">
        <f>IF(ISERROR(B29*3.6/1000000/'E Balans VL '!Z10*100),0,B29*3.6/1000000/'E Balans VL '!Z10*100)</f>
        <v>0.10130240123151991</v>
      </c>
      <c r="D29" s="237" t="s">
        <v>754</v>
      </c>
      <c r="F29" s="6"/>
    </row>
    <row r="30" spans="1:18">
      <c r="A30" s="231" t="s">
        <v>50</v>
      </c>
      <c r="B30" s="33">
        <f>IF(ISERROR(TER_ander_ele_kWh/1000),0,TER_ander_ele_kWh/1000)</f>
        <v>3844.1207025254603</v>
      </c>
      <c r="C30" s="39">
        <f>IF(ISERROR(B30*3.6/1000000/'E Balans VL '!Z14*100),0,B30*3.6/1000000/'E Balans VL '!Z14*100)</f>
        <v>0.28354317795714123</v>
      </c>
      <c r="D30" s="237" t="s">
        <v>754</v>
      </c>
      <c r="F30" s="6"/>
    </row>
    <row r="31" spans="1:18">
      <c r="A31" s="231" t="s">
        <v>55</v>
      </c>
      <c r="B31" s="33">
        <f>IF(ISERROR(TER_onderwijs_ele_kWh/1000),0,TER_onderwijs_ele_kWh/1000)</f>
        <v>88.473500369499305</v>
      </c>
      <c r="C31" s="39">
        <f>IF(ISERROR(B31*3.6/1000000/'E Balans VL '!Z11*100),0,B31*3.6/1000000/'E Balans VL '!Z11*100)</f>
        <v>2.1972114484572869E-2</v>
      </c>
      <c r="D31" s="237" t="s">
        <v>754</v>
      </c>
    </row>
    <row r="32" spans="1:18">
      <c r="A32" s="231" t="s">
        <v>260</v>
      </c>
      <c r="B32" s="33">
        <f>IF(ISERROR(TER_rest_ele_kWh/1000),0,TER_rest_ele_kWh/1000)</f>
        <v>2649.12560971422</v>
      </c>
      <c r="C32" s="39">
        <f>IF(ISERROR(B32*3.6/1000000/'E Balans VL '!Z8*100),0,B32*3.6/1000000/'E Balans VL '!Z8*100)</f>
        <v>2.1798787411148081E-2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2017.0309551064079</v>
      </c>
      <c r="C5" s="17">
        <f>IF(ISERROR('Eigen informatie GS &amp; warmtenet'!B59),0,'Eigen informatie GS &amp; warmtenet'!B59)</f>
        <v>0</v>
      </c>
      <c r="D5" s="30">
        <f>SUM(D6:D15)</f>
        <v>4382.9213849698708</v>
      </c>
      <c r="E5" s="17">
        <f>SUM(E6:E15)</f>
        <v>325.90777671231393</v>
      </c>
      <c r="F5" s="17">
        <f>SUM(F6:F15)</f>
        <v>947.09540093281566</v>
      </c>
      <c r="G5" s="18"/>
      <c r="H5" s="17"/>
      <c r="I5" s="17"/>
      <c r="J5" s="17">
        <f>SUM(J6:J15)</f>
        <v>0.86211163544113134</v>
      </c>
      <c r="K5" s="17"/>
      <c r="L5" s="17"/>
      <c r="M5" s="17"/>
      <c r="N5" s="17">
        <f>SUM(N6:N15)</f>
        <v>644.78900093505672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125.21938293641399</v>
      </c>
      <c r="C8" s="33"/>
      <c r="D8" s="37">
        <f>IF( ISERROR(IND_metaal_Gas_kWH/1000),0,IND_metaal_Gas_kWH/1000)*0.902</f>
        <v>0</v>
      </c>
      <c r="E8" s="33">
        <f>C30*'E Balans VL '!I18/100/3.6*1000000</f>
        <v>1.1512712880701625</v>
      </c>
      <c r="F8" s="33">
        <f>C30*'E Balans VL '!L18/100/3.6*1000000+C30*'E Balans VL '!N18/100/3.6*1000000</f>
        <v>11.74140914417489</v>
      </c>
      <c r="G8" s="34"/>
      <c r="H8" s="33"/>
      <c r="I8" s="33"/>
      <c r="J8" s="40">
        <f>C30*'E Balans VL '!D18/100/3.6*1000000+C30*'E Balans VL '!E18/100/3.6*1000000</f>
        <v>0</v>
      </c>
      <c r="K8" s="33"/>
      <c r="L8" s="33"/>
      <c r="M8" s="33"/>
      <c r="N8" s="33">
        <f>C30*'E Balans VL '!Y18/100/3.6*1000000</f>
        <v>1.7864614313324449</v>
      </c>
      <c r="O8" s="33"/>
      <c r="P8" s="33"/>
      <c r="R8" s="32"/>
    </row>
    <row r="9" spans="1:18">
      <c r="A9" s="6" t="s">
        <v>33</v>
      </c>
      <c r="B9" s="37">
        <f t="shared" si="0"/>
        <v>1061.92759625504</v>
      </c>
      <c r="C9" s="33"/>
      <c r="D9" s="37">
        <f>IF( ISERROR(IND_andere_gas_kWh/1000),0,IND_andere_gas_kWh/1000)*0.902</f>
        <v>2020.2667353630623</v>
      </c>
      <c r="E9" s="33">
        <f>C31*'E Balans VL '!I19/100/3.6*1000000</f>
        <v>310.42210967724651</v>
      </c>
      <c r="F9" s="33">
        <f>C31*'E Balans VL '!L19/100/3.6*1000000+C31*'E Balans VL '!N19/100/3.6*1000000</f>
        <v>853.33920412412158</v>
      </c>
      <c r="G9" s="34"/>
      <c r="H9" s="33"/>
      <c r="I9" s="33"/>
      <c r="J9" s="40">
        <f>C31*'E Balans VL '!D19/100/3.6*1000000+C31*'E Balans VL '!E19/100/3.6*1000000</f>
        <v>0</v>
      </c>
      <c r="K9" s="33"/>
      <c r="L9" s="33"/>
      <c r="M9" s="33"/>
      <c r="N9" s="33">
        <f>C31*'E Balans VL '!Y19/100/3.6*1000000</f>
        <v>350.87734713200666</v>
      </c>
      <c r="O9" s="33"/>
      <c r="P9" s="33"/>
      <c r="R9" s="32"/>
    </row>
    <row r="10" spans="1:18">
      <c r="A10" s="6" t="s">
        <v>41</v>
      </c>
      <c r="B10" s="37">
        <f t="shared" si="0"/>
        <v>522.33612704075301</v>
      </c>
      <c r="C10" s="33"/>
      <c r="D10" s="37">
        <f>IF( ISERROR(IND_voed_gas_kWh/1000),0,IND_voed_gas_kWh/1000)*0.902</f>
        <v>1258.8814899005401</v>
      </c>
      <c r="E10" s="33">
        <f>C32*'E Balans VL '!I20/100/3.6*1000000</f>
        <v>1.1050101756722852</v>
      </c>
      <c r="F10" s="33">
        <f>C32*'E Balans VL '!L20/100/3.6*1000000+C32*'E Balans VL '!N20/100/3.6*1000000</f>
        <v>33.210664507958711</v>
      </c>
      <c r="G10" s="34"/>
      <c r="H10" s="33"/>
      <c r="I10" s="33"/>
      <c r="J10" s="40">
        <f>C32*'E Balans VL '!D20/100/3.6*1000000+C32*'E Balans VL '!E20/100/3.6*1000000</f>
        <v>0</v>
      </c>
      <c r="K10" s="33"/>
      <c r="L10" s="33"/>
      <c r="M10" s="33"/>
      <c r="N10" s="33">
        <f>C32*'E Balans VL '!Y20/100/3.6*1000000</f>
        <v>36.046347304662604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69.746389829796101</v>
      </c>
      <c r="C13" s="33"/>
      <c r="D13" s="37">
        <f>IF( ISERROR(IND_papier_gas_kWh/1000),0,IND_papier_gas_kWh/1000)*0.902</f>
        <v>300.22061683693323</v>
      </c>
      <c r="E13" s="33">
        <f>C35*'E Balans VL '!I23/100/3.6*1000000</f>
        <v>9.8954176292952944E-2</v>
      </c>
      <c r="F13" s="33">
        <f>C35*'E Balans VL '!L23/100/3.6*1000000+C35*'E Balans VL '!N23/100/3.6*1000000</f>
        <v>1.7027716390803567</v>
      </c>
      <c r="G13" s="34"/>
      <c r="H13" s="33"/>
      <c r="I13" s="33"/>
      <c r="J13" s="40">
        <f>C35*'E Balans VL '!D23/100/3.6*1000000+C35*'E Balans VL '!E23/100/3.6*1000000</f>
        <v>1.0786934006188693E-2</v>
      </c>
      <c r="K13" s="33"/>
      <c r="L13" s="33"/>
      <c r="M13" s="33"/>
      <c r="N13" s="33">
        <f>C35*'E Balans VL '!Y23/100/3.6*1000000</f>
        <v>202.73624513072232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237.80145904440499</v>
      </c>
      <c r="C15" s="33"/>
      <c r="D15" s="37">
        <f>IF( ISERROR(IND_rest_gas_kWh/1000),0,IND_rest_gas_kWh/1000)*0.902</f>
        <v>803.55254286933541</v>
      </c>
      <c r="E15" s="33">
        <f>C37*'E Balans VL '!I15/100/3.6*1000000</f>
        <v>13.130431395031978</v>
      </c>
      <c r="F15" s="33">
        <f>C37*'E Balans VL '!L15/100/3.6*1000000+C37*'E Balans VL '!N15/100/3.6*1000000</f>
        <v>47.101351517480254</v>
      </c>
      <c r="G15" s="34"/>
      <c r="H15" s="33"/>
      <c r="I15" s="33"/>
      <c r="J15" s="40">
        <f>C37*'E Balans VL '!D15/100/3.6*1000000+C37*'E Balans VL '!E15/100/3.6*1000000</f>
        <v>0.85132470143494265</v>
      </c>
      <c r="K15" s="33"/>
      <c r="L15" s="33"/>
      <c r="M15" s="33"/>
      <c r="N15" s="33">
        <f>C37*'E Balans VL '!Y15/100/3.6*1000000</f>
        <v>53.342599936332711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2017.0309551064079</v>
      </c>
      <c r="C18" s="21">
        <f>C5+C16</f>
        <v>0</v>
      </c>
      <c r="D18" s="21">
        <f>MAX((D5+D16),0)</f>
        <v>4382.9213849698708</v>
      </c>
      <c r="E18" s="21">
        <f>MAX((E5+E16),0)</f>
        <v>325.90777671231393</v>
      </c>
      <c r="F18" s="21">
        <f>MAX((F5+F16),0)</f>
        <v>947.09540093281566</v>
      </c>
      <c r="G18" s="21"/>
      <c r="H18" s="21"/>
      <c r="I18" s="21"/>
      <c r="J18" s="21">
        <f>MAX((J5+J16),0)</f>
        <v>0.86211163544113134</v>
      </c>
      <c r="K18" s="21"/>
      <c r="L18" s="21">
        <f>MAX((L5+L16),0)</f>
        <v>0</v>
      </c>
      <c r="M18" s="21"/>
      <c r="N18" s="21">
        <f>MAX((N5+N16),0)</f>
        <v>644.78900093505672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0.214528990835994</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432.71161528393878</v>
      </c>
      <c r="C22" s="23">
        <f ca="1">C18*C20</f>
        <v>0</v>
      </c>
      <c r="D22" s="23">
        <f>D18*D20</f>
        <v>885.35011976391399</v>
      </c>
      <c r="E22" s="23">
        <f>E18*E20</f>
        <v>73.981065313695268</v>
      </c>
      <c r="F22" s="23">
        <f>F18*F20</f>
        <v>252.87447204906181</v>
      </c>
      <c r="G22" s="23"/>
      <c r="H22" s="23"/>
      <c r="I22" s="23"/>
      <c r="J22" s="23">
        <f>J18*J20</f>
        <v>0.30518751894616047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125.21938293641399</v>
      </c>
      <c r="C30" s="39">
        <f>IF(ISERROR(B30*3.6/1000000/'E Balans VL '!Z18*100),0,B30*3.6/1000000/'E Balans VL '!Z18*100)</f>
        <v>7.0965035145048446E-3</v>
      </c>
      <c r="D30" s="237" t="s">
        <v>754</v>
      </c>
    </row>
    <row r="31" spans="1:18">
      <c r="A31" s="6" t="s">
        <v>33</v>
      </c>
      <c r="B31" s="37">
        <f>IF( ISERROR(IND_ander_ele_kWh/1000),0,IND_ander_ele_kWh/1000)</f>
        <v>1061.92759625504</v>
      </c>
      <c r="C31" s="39">
        <f>IF(ISERROR(B31*3.6/1000000/'E Balans VL '!Z19*100),0,B31*3.6/1000000/'E Balans VL '!Z19*100)</f>
        <v>4.8164613976577703E-2</v>
      </c>
      <c r="D31" s="237" t="s">
        <v>754</v>
      </c>
    </row>
    <row r="32" spans="1:18">
      <c r="A32" s="171" t="s">
        <v>41</v>
      </c>
      <c r="B32" s="37">
        <f>IF( ISERROR(IND_voed_ele_kWh/1000),0,IND_voed_ele_kWh/1000)</f>
        <v>522.33612704075301</v>
      </c>
      <c r="C32" s="39">
        <f>IF(ISERROR(B32*3.6/1000000/'E Balans VL '!Z20*100),0,B32*3.6/1000000/'E Balans VL '!Z20*100)</f>
        <v>1.6158227615173323E-2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69.746389829796101</v>
      </c>
      <c r="C35" s="39">
        <f>IF(ISERROR(B35*3.6/1000000/'E Balans VL '!Z22*100),0,B35*3.6/1000000/'E Balans VL '!Z22*100)</f>
        <v>1.2545199468079157E-2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237.80145904440499</v>
      </c>
      <c r="C37" s="39">
        <f>IF(ISERROR(B37*3.6/1000000/'E Balans VL '!Z15*100),0,B37*3.6/1000000/'E Balans VL '!Z15*100)</f>
        <v>1.8848686108937835E-3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322.69210144280771</v>
      </c>
      <c r="C5" s="17">
        <f>'Eigen informatie GS &amp; warmtenet'!B60</f>
        <v>0</v>
      </c>
      <c r="D5" s="30">
        <f>IF(ISERROR(SUM(LB_lb_gas_kWh,LB_rest_gas_kWh)/1000),0,SUM(LB_lb_gas_kWh,LB_rest_gas_kWh)/1000)*0.902</f>
        <v>459.18097074048472</v>
      </c>
      <c r="E5" s="17">
        <f>B17*'E Balans VL '!I25/3.6*1000000/100</f>
        <v>9.4849064768431361</v>
      </c>
      <c r="F5" s="17">
        <f>B17*('E Balans VL '!L25/3.6*1000000+'E Balans VL '!N25/3.6*1000000)/100</f>
        <v>1344.3178572448219</v>
      </c>
      <c r="G5" s="18"/>
      <c r="H5" s="17"/>
      <c r="I5" s="17"/>
      <c r="J5" s="17">
        <f>('E Balans VL '!D25+'E Balans VL '!E25)/3.6*1000000*landbouw!B17/100</f>
        <v>46.751155606858653</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322.69210144280771</v>
      </c>
      <c r="C8" s="21">
        <f>C5+C6</f>
        <v>0</v>
      </c>
      <c r="D8" s="21">
        <f>MAX((D5+D6),0)</f>
        <v>459.18097074048472</v>
      </c>
      <c r="E8" s="21">
        <f>MAX((E5+E6),0)</f>
        <v>9.4849064768431361</v>
      </c>
      <c r="F8" s="21">
        <f>MAX((F5+F6),0)</f>
        <v>1344.3178572448219</v>
      </c>
      <c r="G8" s="21"/>
      <c r="H8" s="21"/>
      <c r="I8" s="21"/>
      <c r="J8" s="21">
        <f>MAX((J5+J6),0)</f>
        <v>46.751155606858653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0.214528990835994</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69.226810873271745</v>
      </c>
      <c r="C12" s="23">
        <f ca="1">C8*C10</f>
        <v>0</v>
      </c>
      <c r="D12" s="23">
        <f>D8*D10</f>
        <v>92.754556089577918</v>
      </c>
      <c r="E12" s="23">
        <f>E8*E10</f>
        <v>2.1530737702433922</v>
      </c>
      <c r="F12" s="23">
        <f>F8*F10</f>
        <v>358.93286788436745</v>
      </c>
      <c r="G12" s="23"/>
      <c r="H12" s="23"/>
      <c r="I12" s="23"/>
      <c r="J12" s="23">
        <f>J8*J10</f>
        <v>16.549909084827963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4.5791021610327165E-2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17.376017712190418</v>
      </c>
      <c r="C26" s="247">
        <f>B26*'GWP N2O_CH4'!B5</f>
        <v>364.8963719559988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2.5270328643155104</v>
      </c>
      <c r="C27" s="247">
        <f>B27*'GWP N2O_CH4'!B5</f>
        <v>53.067690150625722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0.18234328941743252</v>
      </c>
      <c r="C28" s="247">
        <f>B28*'GWP N2O_CH4'!B4</f>
        <v>56.526419719404082</v>
      </c>
      <c r="D28" s="50"/>
    </row>
    <row r="29" spans="1:4">
      <c r="A29" s="41" t="s">
        <v>277</v>
      </c>
      <c r="B29" s="247">
        <f>B34*'ha_N2O bodem landbouw'!B4</f>
        <v>2.8026281082508921</v>
      </c>
      <c r="C29" s="247">
        <f>B29*'GWP N2O_CH4'!B4</f>
        <v>868.8147135577766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6.3955007601672364E-4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1.6809781921694439E-4</v>
      </c>
      <c r="C5" s="463" t="s">
        <v>211</v>
      </c>
      <c r="D5" s="448">
        <f>SUM(D6:D11)</f>
        <v>5.9285009784734439E-4</v>
      </c>
      <c r="E5" s="448">
        <f>SUM(E6:E11)</f>
        <v>7.8946787598111541E-4</v>
      </c>
      <c r="F5" s="461" t="s">
        <v>211</v>
      </c>
      <c r="G5" s="448">
        <f>SUM(G6:G11)</f>
        <v>0.25414725050892206</v>
      </c>
      <c r="H5" s="448">
        <f>SUM(H6:H11)</f>
        <v>6.6796107735810947E-2</v>
      </c>
      <c r="I5" s="463" t="s">
        <v>211</v>
      </c>
      <c r="J5" s="463" t="s">
        <v>211</v>
      </c>
      <c r="K5" s="463" t="s">
        <v>211</v>
      </c>
      <c r="L5" s="463" t="s">
        <v>211</v>
      </c>
      <c r="M5" s="448">
        <f>SUM(M6:M11)</f>
        <v>1.6819047432694488E-2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1.301077563062952E-4</v>
      </c>
      <c r="C6" s="449"/>
      <c r="D6" s="892">
        <f>vkm_2011_GW_PW*SUMIFS(TableVerdeelsleutelVkm[CNG],TableVerdeelsleutelVkm[Voertuigtype],"Lichte voertuigen")*SUMIFS(TableECFTransport[EnergieConsumptieFactor (PJ per km)],TableECFTransport[Index],CONCATENATE($A6,"_CNG_CNG"))</f>
        <v>3.9024859385928287E-4</v>
      </c>
      <c r="E6" s="892">
        <f>vkm_2011_GW_PW*SUMIFS(TableVerdeelsleutelVkm[LPG],TableVerdeelsleutelVkm[Voertuigtype],"Lichte voertuigen")*SUMIFS(TableECFTransport[EnergieConsumptieFactor (PJ per km)],TableECFTransport[Index],CONCATENATE($A6,"_LPG_LPG"))</f>
        <v>5.3313563565970013E-4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0.13784443606420721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4.4386287142074918E-2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9.3628808403646083E-3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4.7570738336625111E-2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1.4498594402688656E-5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2.7798734538311406E-3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3.7990062910649198E-5</v>
      </c>
      <c r="C8" s="449"/>
      <c r="D8" s="451">
        <f>vkm_2011_NGW_PW*SUMIFS(TableVerdeelsleutelVkm[CNG],TableVerdeelsleutelVkm[Voertuigtype],"Lichte voertuigen")*SUMIFS(TableECFTransport[EnergieConsumptieFactor (PJ per km)],TableECFTransport[Index],CONCATENATE($A8,"_CNG_CNG"))</f>
        <v>2.026015039880615E-4</v>
      </c>
      <c r="E8" s="451">
        <f>vkm_2011_NGW_PW*SUMIFS(TableVerdeelsleutelVkm[LPG],TableVerdeelsleutelVkm[Voertuigtype],"Lichte voertuigen")*SUMIFS(TableECFTransport[EnergieConsumptieFactor (PJ per km)],TableECFTransport[Index],CONCATENATE($A8,"_LPG_LPG"))</f>
        <v>2.5633224032141523E-4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6.1762002199254047E-2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2.2393322119764095E-2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4.2689892052198098E-3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6.9700739088356667E-3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1.9998795692367872E-6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4.0730393327892601E-4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46.693838671373442</v>
      </c>
      <c r="C14" s="21"/>
      <c r="D14" s="21">
        <f t="shared" ref="D14:M14" si="0">((D5)*10^9/3600)+D12</f>
        <v>164.68058273537343</v>
      </c>
      <c r="E14" s="21">
        <f t="shared" si="0"/>
        <v>219.29663221697649</v>
      </c>
      <c r="F14" s="21"/>
      <c r="G14" s="21">
        <f t="shared" si="0"/>
        <v>70596.458474700572</v>
      </c>
      <c r="H14" s="21">
        <f t="shared" si="0"/>
        <v>18554.474371058597</v>
      </c>
      <c r="I14" s="21"/>
      <c r="J14" s="21"/>
      <c r="K14" s="21"/>
      <c r="L14" s="21"/>
      <c r="M14" s="21">
        <f t="shared" si="0"/>
        <v>4671.9576201929131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0.214528990835994</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10.017182088428456</v>
      </c>
      <c r="C18" s="23"/>
      <c r="D18" s="23">
        <f t="shared" ref="D18:M18" si="1">D14*D16</f>
        <v>33.265477712545433</v>
      </c>
      <c r="E18" s="23">
        <f t="shared" si="1"/>
        <v>49.780335513253668</v>
      </c>
      <c r="F18" s="23"/>
      <c r="G18" s="23">
        <f t="shared" si="1"/>
        <v>18849.254412745053</v>
      </c>
      <c r="H18" s="23">
        <f t="shared" si="1"/>
        <v>4620.0641183935904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6.8869600777574204E-3</v>
      </c>
      <c r="H50" s="321">
        <f t="shared" si="2"/>
        <v>0</v>
      </c>
      <c r="I50" s="321">
        <f t="shared" si="2"/>
        <v>0</v>
      </c>
      <c r="J50" s="321">
        <f t="shared" si="2"/>
        <v>0</v>
      </c>
      <c r="K50" s="321">
        <f t="shared" si="2"/>
        <v>0</v>
      </c>
      <c r="L50" s="321">
        <f t="shared" si="2"/>
        <v>0</v>
      </c>
      <c r="M50" s="321">
        <f t="shared" si="2"/>
        <v>3.9114892940530073E-4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6.8869600777574204E-3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3.9114892940530073E-4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1913.0444660437279</v>
      </c>
      <c r="H54" s="21">
        <f t="shared" si="3"/>
        <v>0</v>
      </c>
      <c r="I54" s="21">
        <f t="shared" si="3"/>
        <v>0</v>
      </c>
      <c r="J54" s="21">
        <f t="shared" si="3"/>
        <v>0</v>
      </c>
      <c r="K54" s="21">
        <f t="shared" si="3"/>
        <v>0</v>
      </c>
      <c r="L54" s="21">
        <f t="shared" si="3"/>
        <v>0</v>
      </c>
      <c r="M54" s="21">
        <f t="shared" si="3"/>
        <v>108.6524803903613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0.214528990835994</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510.78287243367538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28164.251212987361</v>
      </c>
      <c r="D10" s="1013">
        <f ca="1">tertiair!C16</f>
        <v>24.351351351351351</v>
      </c>
      <c r="E10" s="1013">
        <f ca="1">tertiair!D16</f>
        <v>46660.018104819486</v>
      </c>
      <c r="F10" s="1013">
        <f>tertiair!E16</f>
        <v>371.59749320724728</v>
      </c>
      <c r="G10" s="1013">
        <f ca="1">tertiair!F16</f>
        <v>4839.5128784267017</v>
      </c>
      <c r="H10" s="1013">
        <f>tertiair!G16</f>
        <v>0</v>
      </c>
      <c r="I10" s="1013">
        <f>tertiair!H16</f>
        <v>0</v>
      </c>
      <c r="J10" s="1013">
        <f>tertiair!I16</f>
        <v>0</v>
      </c>
      <c r="K10" s="1013">
        <f>tertiair!J16</f>
        <v>8.9855716433375157E-2</v>
      </c>
      <c r="L10" s="1013">
        <f>tertiair!K16</f>
        <v>0</v>
      </c>
      <c r="M10" s="1013">
        <f ca="1">tertiair!L16</f>
        <v>0</v>
      </c>
      <c r="N10" s="1013">
        <f>tertiair!M16</f>
        <v>0</v>
      </c>
      <c r="O10" s="1013">
        <f ca="1">tertiair!N16</f>
        <v>3556.1702504906239</v>
      </c>
      <c r="P10" s="1013">
        <f>tertiair!O16</f>
        <v>4.6900000000000004</v>
      </c>
      <c r="Q10" s="1014">
        <f>tertiair!P16</f>
        <v>38.133333333333333</v>
      </c>
      <c r="R10" s="700">
        <f ca="1">SUM(C10:Q10)</f>
        <v>83658.814480332541</v>
      </c>
      <c r="S10" s="67"/>
    </row>
    <row r="11" spans="1:19" s="473" customFormat="1">
      <c r="A11" s="809" t="s">
        <v>225</v>
      </c>
      <c r="B11" s="814"/>
      <c r="C11" s="1013">
        <f>huishoudens!B8</f>
        <v>45688.162206402019</v>
      </c>
      <c r="D11" s="1013">
        <f>huishoudens!C8</f>
        <v>0</v>
      </c>
      <c r="E11" s="1013">
        <f>huishoudens!D8</f>
        <v>137408.07655020658</v>
      </c>
      <c r="F11" s="1013">
        <f>huishoudens!E8</f>
        <v>4418.5372763520791</v>
      </c>
      <c r="G11" s="1013">
        <f>huishoudens!F8</f>
        <v>18486.82549069068</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11075.818431093408</v>
      </c>
      <c r="P11" s="1013">
        <f>huishoudens!O8</f>
        <v>181.34666666666669</v>
      </c>
      <c r="Q11" s="1014">
        <f>huishoudens!P8</f>
        <v>1449.0666666666666</v>
      </c>
      <c r="R11" s="700">
        <f>SUM(C11:Q11)</f>
        <v>218707.83328807814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2017.0309551064079</v>
      </c>
      <c r="D13" s="1013">
        <f>industrie!C18</f>
        <v>0</v>
      </c>
      <c r="E13" s="1013">
        <f>industrie!D18</f>
        <v>4382.9213849698708</v>
      </c>
      <c r="F13" s="1013">
        <f>industrie!E18</f>
        <v>325.90777671231393</v>
      </c>
      <c r="G13" s="1013">
        <f>industrie!F18</f>
        <v>947.09540093281566</v>
      </c>
      <c r="H13" s="1013">
        <f>industrie!G18</f>
        <v>0</v>
      </c>
      <c r="I13" s="1013">
        <f>industrie!H18</f>
        <v>0</v>
      </c>
      <c r="J13" s="1013">
        <f>industrie!I18</f>
        <v>0</v>
      </c>
      <c r="K13" s="1013">
        <f>industrie!J18</f>
        <v>0.86211163544113134</v>
      </c>
      <c r="L13" s="1013">
        <f>industrie!K18</f>
        <v>0</v>
      </c>
      <c r="M13" s="1013">
        <f>industrie!L18</f>
        <v>0</v>
      </c>
      <c r="N13" s="1013">
        <f>industrie!M18</f>
        <v>0</v>
      </c>
      <c r="O13" s="1013">
        <f>industrie!N18</f>
        <v>644.78900093505672</v>
      </c>
      <c r="P13" s="1013">
        <f>industrie!O18</f>
        <v>0</v>
      </c>
      <c r="Q13" s="1014">
        <f>industrie!P18</f>
        <v>0</v>
      </c>
      <c r="R13" s="700">
        <f>SUM(C13:Q13)</f>
        <v>8318.6066302919062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75869.444374495797</v>
      </c>
      <c r="D16" s="732">
        <f t="shared" ref="D16:R16" ca="1" si="0">SUM(D9:D15)</f>
        <v>24.351351351351351</v>
      </c>
      <c r="E16" s="732">
        <f t="shared" ca="1" si="0"/>
        <v>188451.01603999594</v>
      </c>
      <c r="F16" s="732">
        <f t="shared" si="0"/>
        <v>5116.0425462716403</v>
      </c>
      <c r="G16" s="732">
        <f t="shared" ca="1" si="0"/>
        <v>24273.433770050196</v>
      </c>
      <c r="H16" s="732">
        <f t="shared" si="0"/>
        <v>0</v>
      </c>
      <c r="I16" s="732">
        <f t="shared" si="0"/>
        <v>0</v>
      </c>
      <c r="J16" s="732">
        <f t="shared" si="0"/>
        <v>0</v>
      </c>
      <c r="K16" s="732">
        <f t="shared" si="0"/>
        <v>0.95196735187450654</v>
      </c>
      <c r="L16" s="732">
        <f t="shared" si="0"/>
        <v>0</v>
      </c>
      <c r="M16" s="732">
        <f t="shared" ca="1" si="0"/>
        <v>0</v>
      </c>
      <c r="N16" s="732">
        <f t="shared" si="0"/>
        <v>0</v>
      </c>
      <c r="O16" s="732">
        <f t="shared" ca="1" si="0"/>
        <v>15276.777682519089</v>
      </c>
      <c r="P16" s="732">
        <f t="shared" si="0"/>
        <v>186.03666666666669</v>
      </c>
      <c r="Q16" s="732">
        <f t="shared" si="0"/>
        <v>1487.2</v>
      </c>
      <c r="R16" s="732">
        <f t="shared" ca="1" si="0"/>
        <v>310685.25439870259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1913.0444660437279</v>
      </c>
      <c r="I19" s="1013">
        <f>transport!H54</f>
        <v>0</v>
      </c>
      <c r="J19" s="1013">
        <f>transport!I54</f>
        <v>0</v>
      </c>
      <c r="K19" s="1013">
        <f>transport!J54</f>
        <v>0</v>
      </c>
      <c r="L19" s="1013">
        <f>transport!K54</f>
        <v>0</v>
      </c>
      <c r="M19" s="1013">
        <f>transport!L54</f>
        <v>0</v>
      </c>
      <c r="N19" s="1013">
        <f>transport!M54</f>
        <v>108.6524803903613</v>
      </c>
      <c r="O19" s="1013">
        <f>transport!N54</f>
        <v>0</v>
      </c>
      <c r="P19" s="1013">
        <f>transport!O54</f>
        <v>0</v>
      </c>
      <c r="Q19" s="1014">
        <f>transport!P54</f>
        <v>0</v>
      </c>
      <c r="R19" s="700">
        <f>SUM(C19:Q19)</f>
        <v>2021.6969464340891</v>
      </c>
      <c r="S19" s="67"/>
    </row>
    <row r="20" spans="1:19" s="473" customFormat="1">
      <c r="A20" s="809" t="s">
        <v>307</v>
      </c>
      <c r="B20" s="814"/>
      <c r="C20" s="1013">
        <f>transport!B14</f>
        <v>46.693838671373442</v>
      </c>
      <c r="D20" s="1013">
        <f>transport!C14</f>
        <v>0</v>
      </c>
      <c r="E20" s="1013">
        <f>transport!D14</f>
        <v>164.68058273537343</v>
      </c>
      <c r="F20" s="1013">
        <f>transport!E14</f>
        <v>219.29663221697649</v>
      </c>
      <c r="G20" s="1013">
        <f>transport!F14</f>
        <v>0</v>
      </c>
      <c r="H20" s="1013">
        <f>transport!G14</f>
        <v>70596.458474700572</v>
      </c>
      <c r="I20" s="1013">
        <f>transport!H14</f>
        <v>18554.474371058597</v>
      </c>
      <c r="J20" s="1013">
        <f>transport!I14</f>
        <v>0</v>
      </c>
      <c r="K20" s="1013">
        <f>transport!J14</f>
        <v>0</v>
      </c>
      <c r="L20" s="1013">
        <f>transport!K14</f>
        <v>0</v>
      </c>
      <c r="M20" s="1013">
        <f>transport!L14</f>
        <v>0</v>
      </c>
      <c r="N20" s="1013">
        <f>transport!M14</f>
        <v>4671.9576201929131</v>
      </c>
      <c r="O20" s="1013">
        <f>transport!N14</f>
        <v>0</v>
      </c>
      <c r="P20" s="1013">
        <f>transport!O14</f>
        <v>0</v>
      </c>
      <c r="Q20" s="1014">
        <f>transport!P14</f>
        <v>0</v>
      </c>
      <c r="R20" s="700">
        <f>SUM(C20:Q20)</f>
        <v>94253.561519575815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46.693838671373442</v>
      </c>
      <c r="D22" s="812">
        <f t="shared" ref="D22:R22" si="1">SUM(D18:D21)</f>
        <v>0</v>
      </c>
      <c r="E22" s="812">
        <f t="shared" si="1"/>
        <v>164.68058273537343</v>
      </c>
      <c r="F22" s="812">
        <f t="shared" si="1"/>
        <v>219.29663221697649</v>
      </c>
      <c r="G22" s="812">
        <f t="shared" si="1"/>
        <v>0</v>
      </c>
      <c r="H22" s="812">
        <f t="shared" si="1"/>
        <v>72509.502940744307</v>
      </c>
      <c r="I22" s="812">
        <f t="shared" si="1"/>
        <v>18554.474371058597</v>
      </c>
      <c r="J22" s="812">
        <f t="shared" si="1"/>
        <v>0</v>
      </c>
      <c r="K22" s="812">
        <f t="shared" si="1"/>
        <v>0</v>
      </c>
      <c r="L22" s="812">
        <f t="shared" si="1"/>
        <v>0</v>
      </c>
      <c r="M22" s="812">
        <f t="shared" si="1"/>
        <v>0</v>
      </c>
      <c r="N22" s="812">
        <f t="shared" si="1"/>
        <v>4780.6101005832743</v>
      </c>
      <c r="O22" s="812">
        <f t="shared" si="1"/>
        <v>0</v>
      </c>
      <c r="P22" s="812">
        <f t="shared" si="1"/>
        <v>0</v>
      </c>
      <c r="Q22" s="812">
        <f t="shared" si="1"/>
        <v>0</v>
      </c>
      <c r="R22" s="812">
        <f t="shared" si="1"/>
        <v>96275.258466009909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322.69210144280771</v>
      </c>
      <c r="D24" s="1013">
        <f>+landbouw!C8</f>
        <v>0</v>
      </c>
      <c r="E24" s="1013">
        <f>+landbouw!D8</f>
        <v>459.18097074048472</v>
      </c>
      <c r="F24" s="1013">
        <f>+landbouw!E8</f>
        <v>9.4849064768431361</v>
      </c>
      <c r="G24" s="1013">
        <f>+landbouw!F8</f>
        <v>1344.3178572448219</v>
      </c>
      <c r="H24" s="1013">
        <f>+landbouw!G8</f>
        <v>0</v>
      </c>
      <c r="I24" s="1013">
        <f>+landbouw!H8</f>
        <v>0</v>
      </c>
      <c r="J24" s="1013">
        <f>+landbouw!I8</f>
        <v>0</v>
      </c>
      <c r="K24" s="1013">
        <f>+landbouw!J8</f>
        <v>46.751155606858653</v>
      </c>
      <c r="L24" s="1013">
        <f>+landbouw!K8</f>
        <v>0</v>
      </c>
      <c r="M24" s="1013">
        <f>+landbouw!L8</f>
        <v>0</v>
      </c>
      <c r="N24" s="1013">
        <f>+landbouw!M8</f>
        <v>0</v>
      </c>
      <c r="O24" s="1013">
        <f>+landbouw!N8</f>
        <v>0</v>
      </c>
      <c r="P24" s="1013">
        <f>+landbouw!O8</f>
        <v>0</v>
      </c>
      <c r="Q24" s="1014">
        <f>+landbouw!P8</f>
        <v>0</v>
      </c>
      <c r="R24" s="700">
        <f>SUM(C24:Q24)</f>
        <v>2182.4269915118157</v>
      </c>
      <c r="S24" s="67"/>
    </row>
    <row r="25" spans="1:19" s="473" customFormat="1" ht="15" thickBot="1">
      <c r="A25" s="831" t="s">
        <v>836</v>
      </c>
      <c r="B25" s="1016"/>
      <c r="C25" s="1017">
        <f>IF(Onbekend_ele_kWh="---",0,Onbekend_ele_kWh)/1000+IF(REST_rest_ele_kWh="---",0,REST_rest_ele_kWh)/1000</f>
        <v>2021.8302252768999</v>
      </c>
      <c r="D25" s="1017"/>
      <c r="E25" s="1017">
        <f>IF(onbekend_gas_kWh="---",0,onbekend_gas_kWh)/1000+IF(REST_rest_gas_kWh="---",0,REST_rest_gas_kWh)/1000</f>
        <v>5817.8591924767106</v>
      </c>
      <c r="F25" s="1017"/>
      <c r="G25" s="1017"/>
      <c r="H25" s="1017"/>
      <c r="I25" s="1017"/>
      <c r="J25" s="1017"/>
      <c r="K25" s="1017"/>
      <c r="L25" s="1017"/>
      <c r="M25" s="1017"/>
      <c r="N25" s="1017"/>
      <c r="O25" s="1017"/>
      <c r="P25" s="1017"/>
      <c r="Q25" s="1018"/>
      <c r="R25" s="700">
        <f>SUM(C25:Q25)</f>
        <v>7839.6894177536105</v>
      </c>
      <c r="S25" s="67"/>
    </row>
    <row r="26" spans="1:19" s="473" customFormat="1" ht="15.75" thickBot="1">
      <c r="A26" s="705" t="s">
        <v>837</v>
      </c>
      <c r="B26" s="817"/>
      <c r="C26" s="812">
        <f>SUM(C24:C25)</f>
        <v>2344.5223267197075</v>
      </c>
      <c r="D26" s="812">
        <f t="shared" ref="D26:R26" si="2">SUM(D24:D25)</f>
        <v>0</v>
      </c>
      <c r="E26" s="812">
        <f t="shared" si="2"/>
        <v>6277.0401632171952</v>
      </c>
      <c r="F26" s="812">
        <f t="shared" si="2"/>
        <v>9.4849064768431361</v>
      </c>
      <c r="G26" s="812">
        <f t="shared" si="2"/>
        <v>1344.3178572448219</v>
      </c>
      <c r="H26" s="812">
        <f t="shared" si="2"/>
        <v>0</v>
      </c>
      <c r="I26" s="812">
        <f t="shared" si="2"/>
        <v>0</v>
      </c>
      <c r="J26" s="812">
        <f t="shared" si="2"/>
        <v>0</v>
      </c>
      <c r="K26" s="812">
        <f t="shared" si="2"/>
        <v>46.751155606858653</v>
      </c>
      <c r="L26" s="812">
        <f t="shared" si="2"/>
        <v>0</v>
      </c>
      <c r="M26" s="812">
        <f t="shared" si="2"/>
        <v>0</v>
      </c>
      <c r="N26" s="812">
        <f t="shared" si="2"/>
        <v>0</v>
      </c>
      <c r="O26" s="812">
        <f t="shared" si="2"/>
        <v>0</v>
      </c>
      <c r="P26" s="812">
        <f t="shared" si="2"/>
        <v>0</v>
      </c>
      <c r="Q26" s="812">
        <f t="shared" si="2"/>
        <v>0</v>
      </c>
      <c r="R26" s="812">
        <f t="shared" si="2"/>
        <v>10022.116409265425</v>
      </c>
      <c r="S26" s="67"/>
    </row>
    <row r="27" spans="1:19" s="473" customFormat="1" ht="17.25" thickTop="1" thickBot="1">
      <c r="A27" s="706" t="s">
        <v>116</v>
      </c>
      <c r="B27" s="805"/>
      <c r="C27" s="707">
        <f ca="1">C22+C16+C26</f>
        <v>78260.660539886885</v>
      </c>
      <c r="D27" s="707">
        <f t="shared" ref="D27:R27" ca="1" si="3">D22+D16+D26</f>
        <v>24.351351351351351</v>
      </c>
      <c r="E27" s="707">
        <f t="shared" ca="1" si="3"/>
        <v>194892.73678594851</v>
      </c>
      <c r="F27" s="707">
        <f t="shared" si="3"/>
        <v>5344.8240849654603</v>
      </c>
      <c r="G27" s="707">
        <f t="shared" ca="1" si="3"/>
        <v>25617.75162729502</v>
      </c>
      <c r="H27" s="707">
        <f t="shared" si="3"/>
        <v>72509.502940744307</v>
      </c>
      <c r="I27" s="707">
        <f t="shared" si="3"/>
        <v>18554.474371058597</v>
      </c>
      <c r="J27" s="707">
        <f t="shared" si="3"/>
        <v>0</v>
      </c>
      <c r="K27" s="707">
        <f t="shared" si="3"/>
        <v>47.703122958733161</v>
      </c>
      <c r="L27" s="707">
        <f t="shared" si="3"/>
        <v>0</v>
      </c>
      <c r="M27" s="707">
        <f t="shared" ca="1" si="3"/>
        <v>0</v>
      </c>
      <c r="N27" s="707">
        <f t="shared" si="3"/>
        <v>4780.6101005832743</v>
      </c>
      <c r="O27" s="707">
        <f t="shared" ca="1" si="3"/>
        <v>15276.777682519089</v>
      </c>
      <c r="P27" s="707">
        <f t="shared" si="3"/>
        <v>186.03666666666669</v>
      </c>
      <c r="Q27" s="707">
        <f t="shared" si="3"/>
        <v>1487.2</v>
      </c>
      <c r="R27" s="707">
        <f t="shared" ca="1" si="3"/>
        <v>416982.62927397795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6042.0483903735985</v>
      </c>
      <c r="D40" s="1013">
        <f ca="1">tertiair!C20</f>
        <v>5.4655255255255248</v>
      </c>
      <c r="E40" s="1013">
        <f ca="1">tertiair!D20</f>
        <v>9425.323657173536</v>
      </c>
      <c r="F40" s="1013">
        <f>tertiair!E20</f>
        <v>84.35263095804514</v>
      </c>
      <c r="G40" s="1013">
        <f ca="1">tertiair!F20</f>
        <v>1292.1499385399295</v>
      </c>
      <c r="H40" s="1013">
        <f>tertiair!G20</f>
        <v>0</v>
      </c>
      <c r="I40" s="1013">
        <f>tertiair!H20</f>
        <v>0</v>
      </c>
      <c r="J40" s="1013">
        <f>tertiair!I20</f>
        <v>0</v>
      </c>
      <c r="K40" s="1013">
        <f>tertiair!J20</f>
        <v>3.1808923617414803E-2</v>
      </c>
      <c r="L40" s="1013">
        <f>tertiair!K20</f>
        <v>0</v>
      </c>
      <c r="M40" s="1013">
        <f ca="1">tertiair!L20</f>
        <v>0</v>
      </c>
      <c r="N40" s="1013">
        <f>tertiair!M20</f>
        <v>0</v>
      </c>
      <c r="O40" s="1013">
        <f ca="1">tertiair!N20</f>
        <v>0</v>
      </c>
      <c r="P40" s="1013">
        <f>tertiair!O20</f>
        <v>0</v>
      </c>
      <c r="Q40" s="774">
        <f>tertiair!P20</f>
        <v>0</v>
      </c>
      <c r="R40" s="850">
        <f t="shared" ca="1" si="4"/>
        <v>16849.371951494253</v>
      </c>
    </row>
    <row r="41" spans="1:18">
      <c r="A41" s="822" t="s">
        <v>225</v>
      </c>
      <c r="B41" s="829"/>
      <c r="C41" s="1013">
        <f ca="1">huishoudens!B12</f>
        <v>9801.435331290626</v>
      </c>
      <c r="D41" s="1013">
        <f ca="1">huishoudens!C12</f>
        <v>0</v>
      </c>
      <c r="E41" s="1013">
        <f>huishoudens!D12</f>
        <v>27756.431463141729</v>
      </c>
      <c r="F41" s="1013">
        <f>huishoudens!E12</f>
        <v>1003.007961731922</v>
      </c>
      <c r="G41" s="1013">
        <f>huishoudens!F12</f>
        <v>4935.9824060144119</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43496.857162178683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432.71161528393878</v>
      </c>
      <c r="D43" s="1013">
        <f ca="1">industrie!C22</f>
        <v>0</v>
      </c>
      <c r="E43" s="1013">
        <f>industrie!D22</f>
        <v>885.35011976391399</v>
      </c>
      <c r="F43" s="1013">
        <f>industrie!E22</f>
        <v>73.981065313695268</v>
      </c>
      <c r="G43" s="1013">
        <f>industrie!F22</f>
        <v>252.87447204906181</v>
      </c>
      <c r="H43" s="1013">
        <f>industrie!G22</f>
        <v>0</v>
      </c>
      <c r="I43" s="1013">
        <f>industrie!H22</f>
        <v>0</v>
      </c>
      <c r="J43" s="1013">
        <f>industrie!I22</f>
        <v>0</v>
      </c>
      <c r="K43" s="1013">
        <f>industrie!J22</f>
        <v>0.30518751894616047</v>
      </c>
      <c r="L43" s="1013">
        <f>industrie!K22</f>
        <v>0</v>
      </c>
      <c r="M43" s="1013">
        <f>industrie!L22</f>
        <v>0</v>
      </c>
      <c r="N43" s="1013">
        <f>industrie!M22</f>
        <v>0</v>
      </c>
      <c r="O43" s="1013">
        <f>industrie!N22</f>
        <v>0</v>
      </c>
      <c r="P43" s="1013">
        <f>industrie!O22</f>
        <v>0</v>
      </c>
      <c r="Q43" s="774">
        <f>industrie!P22</f>
        <v>0</v>
      </c>
      <c r="R43" s="849">
        <f t="shared" ca="1" si="4"/>
        <v>1645.2224599295562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16276.195336948163</v>
      </c>
      <c r="D46" s="732">
        <f t="shared" ref="D46:Q46" ca="1" si="5">SUM(D39:D45)</f>
        <v>5.4655255255255248</v>
      </c>
      <c r="E46" s="732">
        <f t="shared" ca="1" si="5"/>
        <v>38067.105240079181</v>
      </c>
      <c r="F46" s="732">
        <f t="shared" si="5"/>
        <v>1161.3416580036626</v>
      </c>
      <c r="G46" s="732">
        <f t="shared" ca="1" si="5"/>
        <v>6481.0068166034034</v>
      </c>
      <c r="H46" s="732">
        <f t="shared" si="5"/>
        <v>0</v>
      </c>
      <c r="I46" s="732">
        <f t="shared" si="5"/>
        <v>0</v>
      </c>
      <c r="J46" s="732">
        <f t="shared" si="5"/>
        <v>0</v>
      </c>
      <c r="K46" s="732">
        <f t="shared" si="5"/>
        <v>0.3369964425635753</v>
      </c>
      <c r="L46" s="732">
        <f t="shared" si="5"/>
        <v>0</v>
      </c>
      <c r="M46" s="732">
        <f t="shared" ca="1" si="5"/>
        <v>0</v>
      </c>
      <c r="N46" s="732">
        <f t="shared" si="5"/>
        <v>0</v>
      </c>
      <c r="O46" s="732">
        <f t="shared" ca="1" si="5"/>
        <v>0</v>
      </c>
      <c r="P46" s="732">
        <f t="shared" si="5"/>
        <v>0</v>
      </c>
      <c r="Q46" s="732">
        <f t="shared" si="5"/>
        <v>0</v>
      </c>
      <c r="R46" s="732">
        <f ca="1">SUM(R39:R45)</f>
        <v>61991.451573602491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510.78287243367538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510.78287243367538</v>
      </c>
    </row>
    <row r="50" spans="1:18">
      <c r="A50" s="825" t="s">
        <v>307</v>
      </c>
      <c r="B50" s="835"/>
      <c r="C50" s="703">
        <f ca="1">transport!B18</f>
        <v>10.017182088428456</v>
      </c>
      <c r="D50" s="703">
        <f>transport!C18</f>
        <v>0</v>
      </c>
      <c r="E50" s="703">
        <f>transport!D18</f>
        <v>33.265477712545433</v>
      </c>
      <c r="F50" s="703">
        <f>transport!E18</f>
        <v>49.780335513253668</v>
      </c>
      <c r="G50" s="703">
        <f>transport!F18</f>
        <v>0</v>
      </c>
      <c r="H50" s="703">
        <f>transport!G18</f>
        <v>18849.254412745053</v>
      </c>
      <c r="I50" s="703">
        <f>transport!H18</f>
        <v>4620.0641183935904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23562.381526452871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10.017182088428456</v>
      </c>
      <c r="D52" s="732">
        <f t="shared" ref="D52:Q52" ca="1" si="6">SUM(D48:D51)</f>
        <v>0</v>
      </c>
      <c r="E52" s="732">
        <f t="shared" si="6"/>
        <v>33.265477712545433</v>
      </c>
      <c r="F52" s="732">
        <f t="shared" si="6"/>
        <v>49.780335513253668</v>
      </c>
      <c r="G52" s="732">
        <f t="shared" si="6"/>
        <v>0</v>
      </c>
      <c r="H52" s="732">
        <f t="shared" si="6"/>
        <v>19360.037285178729</v>
      </c>
      <c r="I52" s="732">
        <f t="shared" si="6"/>
        <v>4620.0641183935904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24073.164398886547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69.226810873271745</v>
      </c>
      <c r="D54" s="703">
        <f ca="1">+landbouw!C12</f>
        <v>0</v>
      </c>
      <c r="E54" s="703">
        <f>+landbouw!D12</f>
        <v>92.754556089577918</v>
      </c>
      <c r="F54" s="703">
        <f>+landbouw!E12</f>
        <v>2.1530737702433922</v>
      </c>
      <c r="G54" s="703">
        <f>+landbouw!F12</f>
        <v>358.93286788436745</v>
      </c>
      <c r="H54" s="703">
        <f>+landbouw!G12</f>
        <v>0</v>
      </c>
      <c r="I54" s="703">
        <f>+landbouw!H12</f>
        <v>0</v>
      </c>
      <c r="J54" s="703">
        <f>+landbouw!I12</f>
        <v>0</v>
      </c>
      <c r="K54" s="703">
        <f>+landbouw!J12</f>
        <v>16.549909084827963</v>
      </c>
      <c r="L54" s="703">
        <f>+landbouw!K12</f>
        <v>0</v>
      </c>
      <c r="M54" s="703">
        <f>+landbouw!L12</f>
        <v>0</v>
      </c>
      <c r="N54" s="703">
        <f>+landbouw!M12</f>
        <v>0</v>
      </c>
      <c r="O54" s="703">
        <f>+landbouw!N12</f>
        <v>0</v>
      </c>
      <c r="P54" s="703">
        <f>+landbouw!O12</f>
        <v>0</v>
      </c>
      <c r="Q54" s="704">
        <f>+landbouw!P12</f>
        <v>0</v>
      </c>
      <c r="R54" s="731">
        <f ca="1">SUM(C54:Q54)</f>
        <v>539.61721770228849</v>
      </c>
    </row>
    <row r="55" spans="1:18" ht="15" thickBot="1">
      <c r="A55" s="825" t="s">
        <v>836</v>
      </c>
      <c r="B55" s="835"/>
      <c r="C55" s="703">
        <f ca="1">C25*'EF ele_warmte'!B12</f>
        <v>433.74119787036375</v>
      </c>
      <c r="D55" s="703"/>
      <c r="E55" s="703">
        <f>E25*EF_CO2_aardgas</f>
        <v>1175.2075568802957</v>
      </c>
      <c r="F55" s="703"/>
      <c r="G55" s="703"/>
      <c r="H55" s="703"/>
      <c r="I55" s="703"/>
      <c r="J55" s="703"/>
      <c r="K55" s="703"/>
      <c r="L55" s="703"/>
      <c r="M55" s="703"/>
      <c r="N55" s="703"/>
      <c r="O55" s="703"/>
      <c r="P55" s="703"/>
      <c r="Q55" s="704"/>
      <c r="R55" s="731">
        <f ca="1">SUM(C55:Q55)</f>
        <v>1608.9487547506594</v>
      </c>
    </row>
    <row r="56" spans="1:18" ht="15.75" thickBot="1">
      <c r="A56" s="823" t="s">
        <v>837</v>
      </c>
      <c r="B56" s="836"/>
      <c r="C56" s="732">
        <f ca="1">SUM(C54:C55)</f>
        <v>502.96800874363549</v>
      </c>
      <c r="D56" s="732">
        <f t="shared" ref="D56:Q56" ca="1" si="7">SUM(D54:D55)</f>
        <v>0</v>
      </c>
      <c r="E56" s="732">
        <f t="shared" si="7"/>
        <v>1267.9621129698735</v>
      </c>
      <c r="F56" s="732">
        <f t="shared" si="7"/>
        <v>2.1530737702433922</v>
      </c>
      <c r="G56" s="732">
        <f t="shared" si="7"/>
        <v>358.93286788436745</v>
      </c>
      <c r="H56" s="732">
        <f t="shared" si="7"/>
        <v>0</v>
      </c>
      <c r="I56" s="732">
        <f t="shared" si="7"/>
        <v>0</v>
      </c>
      <c r="J56" s="732">
        <f t="shared" si="7"/>
        <v>0</v>
      </c>
      <c r="K56" s="732">
        <f t="shared" si="7"/>
        <v>16.549909084827963</v>
      </c>
      <c r="L56" s="732">
        <f t="shared" si="7"/>
        <v>0</v>
      </c>
      <c r="M56" s="732">
        <f t="shared" si="7"/>
        <v>0</v>
      </c>
      <c r="N56" s="732">
        <f t="shared" si="7"/>
        <v>0</v>
      </c>
      <c r="O56" s="732">
        <f t="shared" si="7"/>
        <v>0</v>
      </c>
      <c r="P56" s="732">
        <f t="shared" si="7"/>
        <v>0</v>
      </c>
      <c r="Q56" s="733">
        <f t="shared" si="7"/>
        <v>0</v>
      </c>
      <c r="R56" s="734">
        <f ca="1">SUM(R54:R55)</f>
        <v>2148.5659724529478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16789.180527780227</v>
      </c>
      <c r="D61" s="740">
        <f t="shared" ref="D61:Q61" ca="1" si="8">D46+D52+D56</f>
        <v>5.4655255255255248</v>
      </c>
      <c r="E61" s="740">
        <f t="shared" ca="1" si="8"/>
        <v>39368.332830761596</v>
      </c>
      <c r="F61" s="740">
        <f t="shared" si="8"/>
        <v>1213.2750672871596</v>
      </c>
      <c r="G61" s="740">
        <f t="shared" ca="1" si="8"/>
        <v>6839.939684487771</v>
      </c>
      <c r="H61" s="740">
        <f t="shared" si="8"/>
        <v>19360.037285178729</v>
      </c>
      <c r="I61" s="740">
        <f t="shared" si="8"/>
        <v>4620.0641183935904</v>
      </c>
      <c r="J61" s="740">
        <f t="shared" si="8"/>
        <v>0</v>
      </c>
      <c r="K61" s="740">
        <f t="shared" si="8"/>
        <v>16.886905527391537</v>
      </c>
      <c r="L61" s="740">
        <f t="shared" si="8"/>
        <v>0</v>
      </c>
      <c r="M61" s="740">
        <f t="shared" ca="1" si="8"/>
        <v>0</v>
      </c>
      <c r="N61" s="740">
        <f t="shared" si="8"/>
        <v>0</v>
      </c>
      <c r="O61" s="740">
        <f t="shared" ca="1" si="8"/>
        <v>0</v>
      </c>
      <c r="P61" s="740">
        <f t="shared" si="8"/>
        <v>0</v>
      </c>
      <c r="Q61" s="740">
        <f t="shared" si="8"/>
        <v>0</v>
      </c>
      <c r="R61" s="740">
        <f ca="1">R46+R52+R56</f>
        <v>88213.181944941985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0.21452899083599394</v>
      </c>
      <c r="D63" s="781">
        <f t="shared" ca="1" si="9"/>
        <v>0.22444444444444442</v>
      </c>
      <c r="E63" s="1024">
        <f t="shared" ca="1" si="9"/>
        <v>0.20199999999999999</v>
      </c>
      <c r="F63" s="781">
        <f t="shared" si="9"/>
        <v>0.22700000000000001</v>
      </c>
      <c r="G63" s="781">
        <f t="shared" ca="1" si="9"/>
        <v>0.26700000000000002</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2291.7828375127988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17</v>
      </c>
      <c r="D76" s="1034">
        <f>'lokale energieproductie'!C8</f>
        <v>18.888888888888886</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3.8155555555555551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2291.7828375127988</v>
      </c>
      <c r="C78" s="755">
        <f>SUM(C72:C77)</f>
        <v>17</v>
      </c>
      <c r="D78" s="756">
        <f t="shared" ref="D78:H78" si="10">SUM(D76:D77)</f>
        <v>18.888888888888886</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3.8155555555555551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24.351351351351351</v>
      </c>
      <c r="D87" s="777">
        <f>'lokale energieproductie'!C17</f>
        <v>27.057057057057051</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5.4655255255255248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24.351351351351351</v>
      </c>
      <c r="D90" s="755">
        <f t="shared" ref="D90:H90" si="12">SUM(D87:D89)</f>
        <v>27.057057057057051</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5.4655255255255248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2291.7828375127988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17</v>
      </c>
      <c r="C8" s="570">
        <f>B101</f>
        <v>18.888888888888886</v>
      </c>
      <c r="D8" s="1044"/>
      <c r="E8" s="1044">
        <f>E101</f>
        <v>0</v>
      </c>
      <c r="F8" s="1045"/>
      <c r="G8" s="571"/>
      <c r="H8" s="1044">
        <f>I101</f>
        <v>0</v>
      </c>
      <c r="I8" s="1044">
        <f>G101+F101</f>
        <v>0</v>
      </c>
      <c r="J8" s="1044">
        <f>H101+D101+C101</f>
        <v>0</v>
      </c>
      <c r="K8" s="1044"/>
      <c r="L8" s="1044"/>
      <c r="M8" s="1044"/>
      <c r="N8" s="572"/>
      <c r="O8" s="573">
        <f>C8*$C$12+D8*$D$12+E8*$E$12+F8*$F$12+G8*$G$12+H8*$H$12+I8*$I$12+J8*$J$12</f>
        <v>3.8155555555555551</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2308.7828375127988</v>
      </c>
      <c r="C10" s="583">
        <f t="shared" ref="C10:L10" si="0">SUM(C8:C9)</f>
        <v>18.888888888888886</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3.8155555555555551</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24.351351351351351</v>
      </c>
      <c r="C17" s="595">
        <f>B102</f>
        <v>27.057057057057051</v>
      </c>
      <c r="D17" s="596"/>
      <c r="E17" s="596">
        <f>E102</f>
        <v>0</v>
      </c>
      <c r="F17" s="1050"/>
      <c r="G17" s="597"/>
      <c r="H17" s="595">
        <f>I102</f>
        <v>0</v>
      </c>
      <c r="I17" s="596">
        <f>G102+F102</f>
        <v>0</v>
      </c>
      <c r="J17" s="596">
        <f>H102+D102+C102</f>
        <v>0</v>
      </c>
      <c r="K17" s="596"/>
      <c r="L17" s="596"/>
      <c r="M17" s="596"/>
      <c r="N17" s="1051"/>
      <c r="O17" s="598">
        <f>C17*$C$22+E17*$E$22+H17*$H$22+I17*$I$22+J17*$J$22+D17*$D$22+F17*$F$22+G17*$G$22+K17*$K$22+L17*$L$22</f>
        <v>5.4655255255255248</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24.351351351351351</v>
      </c>
      <c r="C20" s="582">
        <f>SUM(C17:C19)</f>
        <v>27.057057057057051</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5.4655255255255248</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11039</v>
      </c>
      <c r="C28" s="796">
        <v>2970</v>
      </c>
      <c r="D28" s="653"/>
      <c r="E28" s="652"/>
      <c r="F28" s="652" t="s">
        <v>881</v>
      </c>
      <c r="G28" s="652" t="s">
        <v>882</v>
      </c>
      <c r="H28" s="652" t="s">
        <v>882</v>
      </c>
      <c r="I28" s="652" t="s">
        <v>883</v>
      </c>
      <c r="J28" s="795">
        <v>41417</v>
      </c>
      <c r="K28" s="795">
        <v>42164</v>
      </c>
      <c r="L28" s="652" t="s">
        <v>884</v>
      </c>
      <c r="M28" s="652">
        <v>3.4</v>
      </c>
      <c r="N28" s="652">
        <v>17</v>
      </c>
      <c r="O28" s="652">
        <v>24.351351351351351</v>
      </c>
      <c r="P28" s="652">
        <v>45.945945945945944</v>
      </c>
      <c r="Q28" s="652">
        <v>0</v>
      </c>
      <c r="R28" s="652">
        <v>0</v>
      </c>
      <c r="S28" s="652">
        <v>0</v>
      </c>
      <c r="T28" s="652">
        <v>0</v>
      </c>
      <c r="U28" s="652">
        <v>0</v>
      </c>
      <c r="V28" s="652">
        <v>0</v>
      </c>
      <c r="W28" s="652">
        <v>0</v>
      </c>
      <c r="X28" s="652">
        <v>1100</v>
      </c>
      <c r="Y28" s="652" t="s">
        <v>52</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3.4</v>
      </c>
      <c r="N58" s="610">
        <f>SUM(N28:N57)</f>
        <v>17</v>
      </c>
      <c r="O58" s="610">
        <f t="shared" ref="O58:W58" si="2">SUM(O28:O57)</f>
        <v>24.351351351351351</v>
      </c>
      <c r="P58" s="610">
        <f t="shared" si="2"/>
        <v>45.945945945945944</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3.4</v>
      </c>
      <c r="N60" s="610">
        <f ca="1">SUMIF($Z$28:AD57,"tertiair",N28:N57)</f>
        <v>17</v>
      </c>
      <c r="O60" s="610">
        <f ca="1">SUMIF($Z$28:AE57,"tertiair",O28:O57)</f>
        <v>24.351351351351351</v>
      </c>
      <c r="P60" s="610">
        <f ca="1">SUMIF($Z$28:AF57,"tertiair",P28:P57)</f>
        <v>45.945945945945944</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0.5888888888888888</v>
      </c>
      <c r="C98" s="635">
        <f>IF(ISERROR(N58/(O58+N58)),0,N58/(N58+O58))</f>
        <v>0.41111111111111109</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18.888888888888886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27.057057057057051</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45688.162206402019</v>
      </c>
      <c r="C4" s="477">
        <f>huishoudens!C8</f>
        <v>0</v>
      </c>
      <c r="D4" s="477">
        <f>huishoudens!D8</f>
        <v>137408.07655020658</v>
      </c>
      <c r="E4" s="477">
        <f>huishoudens!E8</f>
        <v>4418.5372763520791</v>
      </c>
      <c r="F4" s="477">
        <f>huishoudens!F8</f>
        <v>18486.82549069068</v>
      </c>
      <c r="G4" s="477">
        <f>huishoudens!G8</f>
        <v>0</v>
      </c>
      <c r="H4" s="477">
        <f>huishoudens!H8</f>
        <v>0</v>
      </c>
      <c r="I4" s="477">
        <f>huishoudens!I8</f>
        <v>0</v>
      </c>
      <c r="J4" s="477">
        <f>huishoudens!J8</f>
        <v>0</v>
      </c>
      <c r="K4" s="477">
        <f>huishoudens!K8</f>
        <v>0</v>
      </c>
      <c r="L4" s="477">
        <f>huishoudens!L8</f>
        <v>0</v>
      </c>
      <c r="M4" s="477">
        <f>huishoudens!M8</f>
        <v>0</v>
      </c>
      <c r="N4" s="477">
        <f>huishoudens!N8</f>
        <v>11075.818431093408</v>
      </c>
      <c r="O4" s="477">
        <f>huishoudens!O8</f>
        <v>181.34666666666669</v>
      </c>
      <c r="P4" s="478">
        <f>huishoudens!P8</f>
        <v>1449.0666666666666</v>
      </c>
      <c r="Q4" s="479">
        <f>SUM(B4:P4)</f>
        <v>218707.83328807814</v>
      </c>
    </row>
    <row r="5" spans="1:17">
      <c r="A5" s="476" t="s">
        <v>156</v>
      </c>
      <c r="B5" s="477">
        <f ca="1">tertiair!B16</f>
        <v>27191.49721298736</v>
      </c>
      <c r="C5" s="477">
        <f ca="1">tertiair!C16</f>
        <v>24.351351351351351</v>
      </c>
      <c r="D5" s="477">
        <f ca="1">tertiair!D16</f>
        <v>46660.018104819486</v>
      </c>
      <c r="E5" s="477">
        <f>tertiair!E16</f>
        <v>371.59749320724728</v>
      </c>
      <c r="F5" s="477">
        <f ca="1">tertiair!F16</f>
        <v>4839.5128784267017</v>
      </c>
      <c r="G5" s="477">
        <f>tertiair!G16</f>
        <v>0</v>
      </c>
      <c r="H5" s="477">
        <f>tertiair!H16</f>
        <v>0</v>
      </c>
      <c r="I5" s="477">
        <f>tertiair!I16</f>
        <v>0</v>
      </c>
      <c r="J5" s="477">
        <f>tertiair!J16</f>
        <v>8.9855716433375157E-2</v>
      </c>
      <c r="K5" s="477">
        <f>tertiair!K16</f>
        <v>0</v>
      </c>
      <c r="L5" s="477">
        <f ca="1">tertiair!L16</f>
        <v>0</v>
      </c>
      <c r="M5" s="477">
        <f>tertiair!M16</f>
        <v>0</v>
      </c>
      <c r="N5" s="477">
        <f ca="1">tertiair!N16</f>
        <v>3556.1702504906239</v>
      </c>
      <c r="O5" s="477">
        <f>tertiair!O16</f>
        <v>4.6900000000000004</v>
      </c>
      <c r="P5" s="478">
        <f>tertiair!P16</f>
        <v>38.133333333333333</v>
      </c>
      <c r="Q5" s="476">
        <f t="shared" ref="Q5:Q14" ca="1" si="0">SUM(B5:P5)</f>
        <v>82686.060480332526</v>
      </c>
    </row>
    <row r="6" spans="1:17">
      <c r="A6" s="476" t="s">
        <v>194</v>
      </c>
      <c r="B6" s="477">
        <f>'openbare verlichting'!B8</f>
        <v>972.75400000000002</v>
      </c>
      <c r="C6" s="477"/>
      <c r="D6" s="477"/>
      <c r="E6" s="477"/>
      <c r="F6" s="477"/>
      <c r="G6" s="477"/>
      <c r="H6" s="477"/>
      <c r="I6" s="477"/>
      <c r="J6" s="477"/>
      <c r="K6" s="477"/>
      <c r="L6" s="477"/>
      <c r="M6" s="477"/>
      <c r="N6" s="477"/>
      <c r="O6" s="477"/>
      <c r="P6" s="478"/>
      <c r="Q6" s="476">
        <f t="shared" si="0"/>
        <v>972.75400000000002</v>
      </c>
    </row>
    <row r="7" spans="1:17">
      <c r="A7" s="476" t="s">
        <v>112</v>
      </c>
      <c r="B7" s="477">
        <f>landbouw!B8</f>
        <v>322.69210144280771</v>
      </c>
      <c r="C7" s="477">
        <f>landbouw!C8</f>
        <v>0</v>
      </c>
      <c r="D7" s="477">
        <f>landbouw!D8</f>
        <v>459.18097074048472</v>
      </c>
      <c r="E7" s="477">
        <f>landbouw!E8</f>
        <v>9.4849064768431361</v>
      </c>
      <c r="F7" s="477">
        <f>landbouw!F8</f>
        <v>1344.3178572448219</v>
      </c>
      <c r="G7" s="477">
        <f>landbouw!G8</f>
        <v>0</v>
      </c>
      <c r="H7" s="477">
        <f>landbouw!H8</f>
        <v>0</v>
      </c>
      <c r="I7" s="477">
        <f>landbouw!I8</f>
        <v>0</v>
      </c>
      <c r="J7" s="477">
        <f>landbouw!J8</f>
        <v>46.751155606858653</v>
      </c>
      <c r="K7" s="477">
        <f>landbouw!K8</f>
        <v>0</v>
      </c>
      <c r="L7" s="477">
        <f>landbouw!L8</f>
        <v>0</v>
      </c>
      <c r="M7" s="477">
        <f>landbouw!M8</f>
        <v>0</v>
      </c>
      <c r="N7" s="477">
        <f>landbouw!N8</f>
        <v>0</v>
      </c>
      <c r="O7" s="477">
        <f>landbouw!O8</f>
        <v>0</v>
      </c>
      <c r="P7" s="478">
        <f>landbouw!P8</f>
        <v>0</v>
      </c>
      <c r="Q7" s="476">
        <f t="shared" si="0"/>
        <v>2182.4269915118157</v>
      </c>
    </row>
    <row r="8" spans="1:17">
      <c r="A8" s="476" t="s">
        <v>635</v>
      </c>
      <c r="B8" s="477">
        <f>industrie!B18</f>
        <v>2017.0309551064079</v>
      </c>
      <c r="C8" s="477">
        <f>industrie!C18</f>
        <v>0</v>
      </c>
      <c r="D8" s="477">
        <f>industrie!D18</f>
        <v>4382.9213849698708</v>
      </c>
      <c r="E8" s="477">
        <f>industrie!E18</f>
        <v>325.90777671231393</v>
      </c>
      <c r="F8" s="477">
        <f>industrie!F18</f>
        <v>947.09540093281566</v>
      </c>
      <c r="G8" s="477">
        <f>industrie!G18</f>
        <v>0</v>
      </c>
      <c r="H8" s="477">
        <f>industrie!H18</f>
        <v>0</v>
      </c>
      <c r="I8" s="477">
        <f>industrie!I18</f>
        <v>0</v>
      </c>
      <c r="J8" s="477">
        <f>industrie!J18</f>
        <v>0.86211163544113134</v>
      </c>
      <c r="K8" s="477">
        <f>industrie!K18</f>
        <v>0</v>
      </c>
      <c r="L8" s="477">
        <f>industrie!L18</f>
        <v>0</v>
      </c>
      <c r="M8" s="477">
        <f>industrie!M18</f>
        <v>0</v>
      </c>
      <c r="N8" s="477">
        <f>industrie!N18</f>
        <v>644.78900093505672</v>
      </c>
      <c r="O8" s="477">
        <f>industrie!O18</f>
        <v>0</v>
      </c>
      <c r="P8" s="478">
        <f>industrie!P18</f>
        <v>0</v>
      </c>
      <c r="Q8" s="476">
        <f t="shared" si="0"/>
        <v>8318.6066302919062</v>
      </c>
    </row>
    <row r="9" spans="1:17" s="482" customFormat="1">
      <c r="A9" s="480" t="s">
        <v>561</v>
      </c>
      <c r="B9" s="481">
        <f>transport!B14</f>
        <v>46.693838671373442</v>
      </c>
      <c r="C9" s="481">
        <f>transport!C14</f>
        <v>0</v>
      </c>
      <c r="D9" s="481">
        <f>transport!D14</f>
        <v>164.68058273537343</v>
      </c>
      <c r="E9" s="481">
        <f>transport!E14</f>
        <v>219.29663221697649</v>
      </c>
      <c r="F9" s="481">
        <f>transport!F14</f>
        <v>0</v>
      </c>
      <c r="G9" s="481">
        <f>transport!G14</f>
        <v>70596.458474700572</v>
      </c>
      <c r="H9" s="481">
        <f>transport!H14</f>
        <v>18554.474371058597</v>
      </c>
      <c r="I9" s="481">
        <f>transport!I14</f>
        <v>0</v>
      </c>
      <c r="J9" s="481">
        <f>transport!J14</f>
        <v>0</v>
      </c>
      <c r="K9" s="481">
        <f>transport!K14</f>
        <v>0</v>
      </c>
      <c r="L9" s="481">
        <f>transport!L14</f>
        <v>0</v>
      </c>
      <c r="M9" s="481">
        <f>transport!M14</f>
        <v>4671.9576201929131</v>
      </c>
      <c r="N9" s="481">
        <f>transport!N14</f>
        <v>0</v>
      </c>
      <c r="O9" s="481">
        <f>transport!O14</f>
        <v>0</v>
      </c>
      <c r="P9" s="481">
        <f>transport!P14</f>
        <v>0</v>
      </c>
      <c r="Q9" s="480">
        <f>SUM(B9:P9)</f>
        <v>94253.561519575815</v>
      </c>
    </row>
    <row r="10" spans="1:17">
      <c r="A10" s="476" t="s">
        <v>551</v>
      </c>
      <c r="B10" s="477">
        <f>transport!B54</f>
        <v>0</v>
      </c>
      <c r="C10" s="477">
        <f>transport!C54</f>
        <v>0</v>
      </c>
      <c r="D10" s="477">
        <f>transport!D54</f>
        <v>0</v>
      </c>
      <c r="E10" s="477">
        <f>transport!E54</f>
        <v>0</v>
      </c>
      <c r="F10" s="477">
        <f>transport!F54</f>
        <v>0</v>
      </c>
      <c r="G10" s="477">
        <f>transport!G54</f>
        <v>1913.0444660437279</v>
      </c>
      <c r="H10" s="477">
        <f>transport!H54</f>
        <v>0</v>
      </c>
      <c r="I10" s="477">
        <f>transport!I54</f>
        <v>0</v>
      </c>
      <c r="J10" s="477">
        <f>transport!J54</f>
        <v>0</v>
      </c>
      <c r="K10" s="477">
        <f>transport!K54</f>
        <v>0</v>
      </c>
      <c r="L10" s="477">
        <f>transport!L54</f>
        <v>0</v>
      </c>
      <c r="M10" s="477">
        <f>transport!M54</f>
        <v>108.6524803903613</v>
      </c>
      <c r="N10" s="477">
        <f>transport!N54</f>
        <v>0</v>
      </c>
      <c r="O10" s="477">
        <f>transport!O54</f>
        <v>0</v>
      </c>
      <c r="P10" s="478">
        <f>transport!P54</f>
        <v>0</v>
      </c>
      <c r="Q10" s="476">
        <f t="shared" si="0"/>
        <v>2021.6969464340891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2021.8302252768999</v>
      </c>
      <c r="C14" s="484"/>
      <c r="D14" s="484">
        <f>'SEAP template'!E25</f>
        <v>5817.8591924767106</v>
      </c>
      <c r="E14" s="484"/>
      <c r="F14" s="484"/>
      <c r="G14" s="484"/>
      <c r="H14" s="484"/>
      <c r="I14" s="484"/>
      <c r="J14" s="484"/>
      <c r="K14" s="484"/>
      <c r="L14" s="484"/>
      <c r="M14" s="484"/>
      <c r="N14" s="484"/>
      <c r="O14" s="484"/>
      <c r="P14" s="485"/>
      <c r="Q14" s="476">
        <f t="shared" si="0"/>
        <v>7839.6894177536105</v>
      </c>
    </row>
    <row r="15" spans="1:17" s="486" customFormat="1">
      <c r="A15" s="1039" t="s">
        <v>555</v>
      </c>
      <c r="B15" s="987">
        <f ca="1">SUM(B4:B14)</f>
        <v>78260.660539886885</v>
      </c>
      <c r="C15" s="987">
        <f t="shared" ref="C15:Q15" ca="1" si="1">SUM(C4:C14)</f>
        <v>24.351351351351351</v>
      </c>
      <c r="D15" s="987">
        <f t="shared" ca="1" si="1"/>
        <v>194892.73678594851</v>
      </c>
      <c r="E15" s="987">
        <f t="shared" si="1"/>
        <v>5344.8240849654603</v>
      </c>
      <c r="F15" s="987">
        <f t="shared" ca="1" si="1"/>
        <v>25617.75162729502</v>
      </c>
      <c r="G15" s="987">
        <f t="shared" si="1"/>
        <v>72509.502940744307</v>
      </c>
      <c r="H15" s="987">
        <f t="shared" si="1"/>
        <v>18554.474371058597</v>
      </c>
      <c r="I15" s="987">
        <f t="shared" si="1"/>
        <v>0</v>
      </c>
      <c r="J15" s="987">
        <f t="shared" si="1"/>
        <v>47.703122958733161</v>
      </c>
      <c r="K15" s="987">
        <f t="shared" si="1"/>
        <v>0</v>
      </c>
      <c r="L15" s="987">
        <f t="shared" ca="1" si="1"/>
        <v>0</v>
      </c>
      <c r="M15" s="987">
        <f t="shared" si="1"/>
        <v>4780.6101005832743</v>
      </c>
      <c r="N15" s="987">
        <f t="shared" ca="1" si="1"/>
        <v>15276.777682519089</v>
      </c>
      <c r="O15" s="987">
        <f t="shared" si="1"/>
        <v>186.03666666666669</v>
      </c>
      <c r="P15" s="987">
        <f t="shared" si="1"/>
        <v>1487.2</v>
      </c>
      <c r="Q15" s="987">
        <f t="shared" ca="1" si="1"/>
        <v>416982.62927397795</v>
      </c>
    </row>
    <row r="17" spans="1:17">
      <c r="A17" s="487" t="s">
        <v>556</v>
      </c>
      <c r="B17" s="786">
        <f ca="1">huishoudens!B10</f>
        <v>0.214528990835994</v>
      </c>
      <c r="C17" s="786">
        <f ca="1">huishoudens!C10</f>
        <v>0.22444444444444442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9801.435331290626</v>
      </c>
      <c r="C22" s="477">
        <f t="shared" ref="C22:C32" ca="1" si="3">C4*$C$17</f>
        <v>0</v>
      </c>
      <c r="D22" s="477">
        <f t="shared" ref="D22:D32" si="4">D4*$D$17</f>
        <v>27756.431463141729</v>
      </c>
      <c r="E22" s="477">
        <f t="shared" ref="E22:E32" si="5">E4*$E$17</f>
        <v>1003.007961731922</v>
      </c>
      <c r="F22" s="477">
        <f t="shared" ref="F22:F32" si="6">F4*$F$17</f>
        <v>4935.9824060144119</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43496.857162178683</v>
      </c>
    </row>
    <row r="23" spans="1:17">
      <c r="A23" s="476" t="s">
        <v>156</v>
      </c>
      <c r="B23" s="477">
        <f t="shared" ca="1" si="2"/>
        <v>5833.3644564219221</v>
      </c>
      <c r="C23" s="477">
        <f t="shared" ca="1" si="3"/>
        <v>5.4655255255255248</v>
      </c>
      <c r="D23" s="477">
        <f t="shared" ca="1" si="4"/>
        <v>9425.323657173536</v>
      </c>
      <c r="E23" s="477">
        <f t="shared" si="5"/>
        <v>84.35263095804514</v>
      </c>
      <c r="F23" s="477">
        <f t="shared" ca="1" si="6"/>
        <v>1292.1499385399295</v>
      </c>
      <c r="G23" s="477">
        <f t="shared" si="7"/>
        <v>0</v>
      </c>
      <c r="H23" s="477">
        <f t="shared" si="8"/>
        <v>0</v>
      </c>
      <c r="I23" s="477">
        <f t="shared" si="9"/>
        <v>0</v>
      </c>
      <c r="J23" s="477">
        <f t="shared" si="10"/>
        <v>3.1808923617414803E-2</v>
      </c>
      <c r="K23" s="477">
        <f t="shared" si="11"/>
        <v>0</v>
      </c>
      <c r="L23" s="477">
        <f t="shared" ca="1" si="12"/>
        <v>0</v>
      </c>
      <c r="M23" s="477">
        <f t="shared" si="13"/>
        <v>0</v>
      </c>
      <c r="N23" s="477">
        <f t="shared" ca="1" si="14"/>
        <v>0</v>
      </c>
      <c r="O23" s="477">
        <f t="shared" si="15"/>
        <v>0</v>
      </c>
      <c r="P23" s="478">
        <f t="shared" si="16"/>
        <v>0</v>
      </c>
      <c r="Q23" s="476">
        <f t="shared" ref="Q23:Q32" ca="1" si="17">SUM(B23:P23)</f>
        <v>16640.688017542576</v>
      </c>
    </row>
    <row r="24" spans="1:17">
      <c r="A24" s="476" t="s">
        <v>194</v>
      </c>
      <c r="B24" s="477">
        <f t="shared" ca="1" si="2"/>
        <v>208.68393395167652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208.68393395167652</v>
      </c>
    </row>
    <row r="25" spans="1:17">
      <c r="A25" s="476" t="s">
        <v>112</v>
      </c>
      <c r="B25" s="477">
        <f t="shared" ca="1" si="2"/>
        <v>69.226810873271745</v>
      </c>
      <c r="C25" s="477">
        <f t="shared" ca="1" si="3"/>
        <v>0</v>
      </c>
      <c r="D25" s="477">
        <f t="shared" si="4"/>
        <v>92.754556089577918</v>
      </c>
      <c r="E25" s="477">
        <f t="shared" si="5"/>
        <v>2.1530737702433922</v>
      </c>
      <c r="F25" s="477">
        <f t="shared" si="6"/>
        <v>358.93286788436745</v>
      </c>
      <c r="G25" s="477">
        <f t="shared" si="7"/>
        <v>0</v>
      </c>
      <c r="H25" s="477">
        <f t="shared" si="8"/>
        <v>0</v>
      </c>
      <c r="I25" s="477">
        <f t="shared" si="9"/>
        <v>0</v>
      </c>
      <c r="J25" s="477">
        <f t="shared" si="10"/>
        <v>16.549909084827963</v>
      </c>
      <c r="K25" s="477">
        <f t="shared" si="11"/>
        <v>0</v>
      </c>
      <c r="L25" s="477">
        <f t="shared" si="12"/>
        <v>0</v>
      </c>
      <c r="M25" s="477">
        <f t="shared" si="13"/>
        <v>0</v>
      </c>
      <c r="N25" s="477">
        <f t="shared" si="14"/>
        <v>0</v>
      </c>
      <c r="O25" s="477">
        <f t="shared" si="15"/>
        <v>0</v>
      </c>
      <c r="P25" s="478">
        <f t="shared" si="16"/>
        <v>0</v>
      </c>
      <c r="Q25" s="476">
        <f t="shared" ca="1" si="17"/>
        <v>539.61721770228849</v>
      </c>
    </row>
    <row r="26" spans="1:17">
      <c r="A26" s="476" t="s">
        <v>635</v>
      </c>
      <c r="B26" s="477">
        <f t="shared" ca="1" si="2"/>
        <v>432.71161528393878</v>
      </c>
      <c r="C26" s="477">
        <f t="shared" ca="1" si="3"/>
        <v>0</v>
      </c>
      <c r="D26" s="477">
        <f t="shared" si="4"/>
        <v>885.35011976391399</v>
      </c>
      <c r="E26" s="477">
        <f t="shared" si="5"/>
        <v>73.981065313695268</v>
      </c>
      <c r="F26" s="477">
        <f t="shared" si="6"/>
        <v>252.87447204906181</v>
      </c>
      <c r="G26" s="477">
        <f t="shared" si="7"/>
        <v>0</v>
      </c>
      <c r="H26" s="477">
        <f t="shared" si="8"/>
        <v>0</v>
      </c>
      <c r="I26" s="477">
        <f t="shared" si="9"/>
        <v>0</v>
      </c>
      <c r="J26" s="477">
        <f t="shared" si="10"/>
        <v>0.30518751894616047</v>
      </c>
      <c r="K26" s="477">
        <f t="shared" si="11"/>
        <v>0</v>
      </c>
      <c r="L26" s="477">
        <f t="shared" si="12"/>
        <v>0</v>
      </c>
      <c r="M26" s="477">
        <f t="shared" si="13"/>
        <v>0</v>
      </c>
      <c r="N26" s="477">
        <f t="shared" si="14"/>
        <v>0</v>
      </c>
      <c r="O26" s="477">
        <f t="shared" si="15"/>
        <v>0</v>
      </c>
      <c r="P26" s="478">
        <f t="shared" si="16"/>
        <v>0</v>
      </c>
      <c r="Q26" s="476">
        <f t="shared" ca="1" si="17"/>
        <v>1645.2224599295562</v>
      </c>
    </row>
    <row r="27" spans="1:17" s="482" customFormat="1">
      <c r="A27" s="480" t="s">
        <v>561</v>
      </c>
      <c r="B27" s="780">
        <f t="shared" ca="1" si="2"/>
        <v>10.017182088428456</v>
      </c>
      <c r="C27" s="481">
        <f t="shared" ca="1" si="3"/>
        <v>0</v>
      </c>
      <c r="D27" s="481">
        <f t="shared" si="4"/>
        <v>33.265477712545433</v>
      </c>
      <c r="E27" s="481">
        <f t="shared" si="5"/>
        <v>49.780335513253668</v>
      </c>
      <c r="F27" s="481">
        <f t="shared" si="6"/>
        <v>0</v>
      </c>
      <c r="G27" s="481">
        <f t="shared" si="7"/>
        <v>18849.254412745053</v>
      </c>
      <c r="H27" s="481">
        <f t="shared" si="8"/>
        <v>4620.0641183935904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23562.381526452871</v>
      </c>
    </row>
    <row r="28" spans="1:17">
      <c r="A28" s="476" t="s">
        <v>551</v>
      </c>
      <c r="B28" s="477">
        <f t="shared" ca="1" si="2"/>
        <v>0</v>
      </c>
      <c r="C28" s="477">
        <f t="shared" ca="1" si="3"/>
        <v>0</v>
      </c>
      <c r="D28" s="477">
        <f t="shared" si="4"/>
        <v>0</v>
      </c>
      <c r="E28" s="477">
        <f t="shared" si="5"/>
        <v>0</v>
      </c>
      <c r="F28" s="477">
        <f t="shared" si="6"/>
        <v>0</v>
      </c>
      <c r="G28" s="477">
        <f t="shared" si="7"/>
        <v>510.78287243367538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510.78287243367538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433.74119787036375</v>
      </c>
      <c r="C32" s="477">
        <f t="shared" ca="1" si="3"/>
        <v>0</v>
      </c>
      <c r="D32" s="477">
        <f t="shared" si="4"/>
        <v>1175.2075568802957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1608.9487547506594</v>
      </c>
    </row>
    <row r="33" spans="1:17" s="486" customFormat="1">
      <c r="A33" s="1039" t="s">
        <v>555</v>
      </c>
      <c r="B33" s="987">
        <f ca="1">SUM(B22:B32)</f>
        <v>16789.180527780227</v>
      </c>
      <c r="C33" s="987">
        <f t="shared" ref="C33:Q33" ca="1" si="18">SUM(C22:C32)</f>
        <v>5.4655255255255248</v>
      </c>
      <c r="D33" s="987">
        <f t="shared" ca="1" si="18"/>
        <v>39368.332830761603</v>
      </c>
      <c r="E33" s="987">
        <f t="shared" si="18"/>
        <v>1213.2750672871596</v>
      </c>
      <c r="F33" s="987">
        <f t="shared" ca="1" si="18"/>
        <v>6839.939684487771</v>
      </c>
      <c r="G33" s="987">
        <f t="shared" si="18"/>
        <v>19360.037285178729</v>
      </c>
      <c r="H33" s="987">
        <f t="shared" si="18"/>
        <v>4620.0641183935904</v>
      </c>
      <c r="I33" s="987">
        <f t="shared" si="18"/>
        <v>0</v>
      </c>
      <c r="J33" s="987">
        <f t="shared" si="18"/>
        <v>16.886905527391537</v>
      </c>
      <c r="K33" s="987">
        <f t="shared" si="18"/>
        <v>0</v>
      </c>
      <c r="L33" s="987">
        <f t="shared" ca="1" si="18"/>
        <v>0</v>
      </c>
      <c r="M33" s="987">
        <f t="shared" si="18"/>
        <v>0</v>
      </c>
      <c r="N33" s="987">
        <f t="shared" ca="1" si="18"/>
        <v>0</v>
      </c>
      <c r="O33" s="987">
        <f t="shared" si="18"/>
        <v>0</v>
      </c>
      <c r="P33" s="987">
        <f t="shared" si="18"/>
        <v>0</v>
      </c>
      <c r="Q33" s="987">
        <f t="shared" ca="1" si="18"/>
        <v>88213.181944941985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2291.7828375127988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17</v>
      </c>
      <c r="D8" s="1056">
        <f>'SEAP template'!D76</f>
        <v>18.888888888888886</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3.8155555555555551</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2291.7828375127988</v>
      </c>
      <c r="C10" s="1060">
        <f>SUM(C4:C9)</f>
        <v>17</v>
      </c>
      <c r="D10" s="1060">
        <f t="shared" ref="D10:H10" si="0">SUM(D8:D9)</f>
        <v>18.888888888888886</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3.8155555555555551</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0.214528990835994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24.351351351351351</v>
      </c>
      <c r="D17" s="1057">
        <f>'SEAP template'!D87</f>
        <v>27.057057057057051</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5.4655255255255248</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24.351351351351351</v>
      </c>
      <c r="D20" s="1060">
        <f t="shared" ref="D20:H20" si="2">SUM(D17:D19)</f>
        <v>27.057057057057051</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5.4655255255255248</v>
      </c>
    </row>
    <row r="22" spans="1:16">
      <c r="A22" s="487" t="s">
        <v>862</v>
      </c>
      <c r="B22" s="786" t="s">
        <v>856</v>
      </c>
      <c r="C22" s="786">
        <f ca="1">'EF ele_warmte'!B22</f>
        <v>0.22444444444444442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0.214528990835994</v>
      </c>
      <c r="C17" s="524">
        <f ca="1">'EF ele_warmte'!B22</f>
        <v>0.22444444444444442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2019-08-12T08:31:20Z</dcterms:modified>
</cp:coreProperties>
</file>