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20" s="1"/>
  <c r="L78" i="14"/>
  <c r="L8" i="61"/>
  <c r="L10" s="1"/>
  <c r="B10" i="18"/>
  <c r="M77" i="14"/>
  <c r="M9" i="61" s="1"/>
  <c r="H9" i="18"/>
  <c r="P31" i="48"/>
  <c r="J22" i="14"/>
  <c r="G77"/>
  <c r="G9" i="61" s="1"/>
  <c r="G10" s="1"/>
  <c r="H20"/>
  <c r="P25" i="48"/>
  <c r="I77" i="14"/>
  <c r="I9" i="61" s="1"/>
  <c r="O9" i="18"/>
  <c r="O10" i="61"/>
  <c r="G20"/>
  <c r="K20"/>
  <c r="Q11" i="48"/>
  <c r="O25"/>
  <c r="O32"/>
  <c r="C98" i="18"/>
  <c r="F101" s="1"/>
  <c r="D13" i="15"/>
  <c r="B72" i="14"/>
  <c r="B4" i="61" s="1"/>
  <c r="O30" i="48"/>
  <c r="C13" i="15"/>
  <c r="L13"/>
  <c r="B13"/>
  <c r="H90" i="14"/>
  <c r="N13" i="15"/>
  <c r="F77" i="14"/>
  <c r="F9" i="61" s="1"/>
  <c r="H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E101"/>
  <c r="E8" s="1"/>
  <c r="E10" s="1"/>
  <c r="G101"/>
  <c r="I8" s="1"/>
  <c r="I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D78"/>
  <c r="J87"/>
  <c r="J20" i="18"/>
  <c r="I87" i="14"/>
  <c r="I17" i="61" s="1"/>
  <c r="I20" s="1"/>
  <c r="I20" i="18"/>
  <c r="O17"/>
  <c r="O20" s="1"/>
  <c r="Q87" i="14"/>
  <c r="D90"/>
  <c r="J10" i="18"/>
  <c r="J76" i="14"/>
  <c r="D5" i="13"/>
  <c r="J78" i="14" l="1"/>
  <c r="J8" i="61"/>
  <c r="J10" s="1"/>
  <c r="J90" i="14"/>
  <c r="J17" i="61"/>
  <c r="J20" s="1"/>
  <c r="F78" i="14"/>
  <c r="F8" i="61"/>
  <c r="F10" s="1"/>
  <c r="Q90" i="14"/>
  <c r="B17" i="6" s="1"/>
  <c r="P17" i="61"/>
  <c r="P20" s="1"/>
  <c r="Q76" i="14"/>
  <c r="I90"/>
  <c r="B87"/>
  <c r="C87"/>
  <c r="C76"/>
  <c r="B76"/>
  <c r="B26" i="17"/>
  <c r="C90" i="14" l="1"/>
  <c r="C17" i="61"/>
  <c r="C20" s="1"/>
  <c r="C78" i="14"/>
  <c r="C8" i="61"/>
  <c r="C10" s="1"/>
  <c r="B78" i="14"/>
  <c r="B4" i="6" s="1"/>
  <c r="B8" i="61"/>
  <c r="B10" s="1"/>
  <c r="Q78" i="14"/>
  <c r="B9" i="6" s="1"/>
  <c r="P8" i="61"/>
  <c r="P10" s="1"/>
  <c r="B90" i="14"/>
  <c r="B17" i="61"/>
  <c r="B2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9"/>
  <c r="F28"/>
  <c r="F27"/>
  <c r="N32"/>
  <c r="N24"/>
  <c r="N27"/>
  <c r="N31"/>
  <c r="N30"/>
  <c r="N28"/>
  <c r="N29"/>
  <c r="B10"/>
  <c r="C19" i="14"/>
  <c r="E31" i="48"/>
  <c r="E29"/>
  <c r="E30"/>
  <c r="E28"/>
  <c r="E32"/>
  <c r="E24"/>
  <c r="M29"/>
  <c r="M25"/>
  <c r="M32"/>
  <c r="M22"/>
  <c r="M26"/>
  <c r="M24"/>
  <c r="M30"/>
  <c r="M23"/>
  <c r="L10" i="14"/>
  <c r="L16" s="1"/>
  <c r="L27" s="1"/>
  <c r="K5" i="48"/>
  <c r="D30"/>
  <c r="D28"/>
  <c r="D24"/>
  <c r="D29"/>
  <c r="D31"/>
  <c r="D32"/>
  <c r="L29"/>
  <c r="L32"/>
  <c r="L22"/>
  <c r="L30"/>
  <c r="L28"/>
  <c r="L27"/>
  <c r="L31"/>
  <c r="L24"/>
  <c r="P5"/>
  <c r="P23" s="1"/>
  <c r="Q10" i="14"/>
  <c r="K32" i="48"/>
  <c r="K24"/>
  <c r="K31"/>
  <c r="K22"/>
  <c r="K30"/>
  <c r="K25"/>
  <c r="K27"/>
  <c r="K26"/>
  <c r="K28"/>
  <c r="K29"/>
  <c r="B7"/>
  <c r="C24" i="14"/>
  <c r="C26" s="1"/>
  <c r="J24" i="48"/>
  <c r="J31"/>
  <c r="J29"/>
  <c r="J30"/>
  <c r="J32"/>
  <c r="J28"/>
  <c r="J27"/>
  <c r="P4"/>
  <c r="Q11" i="14"/>
  <c r="O4" i="48"/>
  <c r="P11" i="14"/>
  <c r="I29" i="48"/>
  <c r="I25"/>
  <c r="I27"/>
  <c r="I31"/>
  <c r="I24"/>
  <c r="I28"/>
  <c r="I30"/>
  <c r="I22"/>
  <c r="I32"/>
  <c r="I26"/>
  <c r="E11" i="14"/>
  <c r="D4" i="48"/>
  <c r="D22" s="1"/>
  <c r="H29"/>
  <c r="H32"/>
  <c r="H28"/>
  <c r="H26"/>
  <c r="H24"/>
  <c r="H22"/>
  <c r="H30"/>
  <c r="H25"/>
  <c r="H23"/>
  <c r="D11" i="14"/>
  <c r="C4" i="48"/>
  <c r="G23"/>
  <c r="G22"/>
  <c r="G30"/>
  <c r="G32"/>
  <c r="G26"/>
  <c r="G29"/>
  <c r="G24"/>
  <c r="G25"/>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P8" i="48"/>
  <c r="P26" s="1"/>
  <c r="Q13" i="14"/>
  <c r="Q16" s="1"/>
  <c r="Q27" s="1"/>
  <c r="D9" i="48"/>
  <c r="D27" s="1"/>
  <c r="E20" i="14"/>
  <c r="E22" s="1"/>
  <c r="O5" i="48"/>
  <c r="O23" s="1"/>
  <c r="P10" i="14"/>
  <c r="B9" i="48"/>
  <c r="C20" i="14"/>
  <c r="K24"/>
  <c r="K26" s="1"/>
  <c r="J7" i="48"/>
  <c r="J25" s="1"/>
  <c r="P15"/>
  <c r="P22"/>
  <c r="P33" s="1"/>
  <c r="G11" i="14"/>
  <c r="F4" i="48"/>
  <c r="F22" s="1"/>
  <c r="J10" i="14"/>
  <c r="J16" s="1"/>
  <c r="J27" s="1"/>
  <c r="I5" i="48"/>
  <c r="O22"/>
  <c r="H18" i="14"/>
  <c r="G13" i="48"/>
  <c r="G31" s="1"/>
  <c r="K23"/>
  <c r="K15"/>
  <c r="C22" i="14"/>
  <c r="L61"/>
  <c r="L63"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N19" i="14"/>
  <c r="M10" i="48"/>
  <c r="M28" s="1"/>
  <c r="G10"/>
  <c r="H19" i="14"/>
  <c r="E7" i="48"/>
  <c r="E25" s="1"/>
  <c r="F24" i="14"/>
  <c r="F26" s="1"/>
  <c r="P13"/>
  <c r="O8" i="48"/>
  <c r="O26" s="1"/>
  <c r="I15"/>
  <c r="I23"/>
  <c r="I33" s="1"/>
  <c r="J4"/>
  <c r="K11" i="14"/>
  <c r="O11"/>
  <c r="N4" i="48"/>
  <c r="N22" s="1"/>
  <c r="O33"/>
  <c r="H14" i="22"/>
  <c r="P16" i="14"/>
  <c r="P27" s="1"/>
  <c r="P46"/>
  <c r="P61" s="1"/>
  <c r="J63"/>
  <c r="Q63"/>
  <c r="O15" i="48"/>
  <c r="I20" i="14"/>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G28"/>
  <c r="Q10"/>
  <c r="H22" i="14"/>
  <c r="H27" s="1"/>
  <c r="R19"/>
  <c r="G9" i="48"/>
  <c r="H20" i="14"/>
  <c r="E22" i="48"/>
  <c r="Q4"/>
  <c r="K10" i="14"/>
  <c r="J5" i="48"/>
  <c r="J23" s="1"/>
  <c r="P63" i="14"/>
  <c r="Q7" i="48"/>
  <c r="N52" i="14"/>
  <c r="N61" s="1"/>
  <c r="R11"/>
  <c r="M15" i="48"/>
  <c r="M27"/>
  <c r="M33" s="1"/>
  <c r="Q9"/>
  <c r="H15"/>
  <c r="H27"/>
  <c r="H33" s="1"/>
  <c r="N63" i="14"/>
  <c r="R20"/>
  <c r="R22" s="1"/>
  <c r="R24"/>
  <c r="R26" s="1"/>
  <c r="N18" i="16"/>
  <c r="E20" i="15"/>
  <c r="F40" i="14" s="1"/>
  <c r="F18" i="16"/>
  <c r="J18"/>
  <c r="E18"/>
  <c r="G18" i="22"/>
  <c r="H50" i="14" s="1"/>
  <c r="H52" s="1"/>
  <c r="H61" s="1"/>
  <c r="H63" s="1"/>
  <c r="H18" i="22"/>
  <c r="I50" i="14" s="1"/>
  <c r="I52" s="1"/>
  <c r="I61" s="1"/>
  <c r="I63" s="1"/>
  <c r="K13" l="1"/>
  <c r="J8" i="48"/>
  <c r="G27"/>
  <c r="G33" s="1"/>
  <c r="G15"/>
  <c r="E8"/>
  <c r="F13" i="14"/>
  <c r="F16" s="1"/>
  <c r="F27" s="1"/>
  <c r="K16"/>
  <c r="K27" s="1"/>
  <c r="K63" s="1"/>
  <c r="N8" i="48"/>
  <c r="N26" s="1"/>
  <c r="O13" i="14"/>
  <c r="F8" i="48"/>
  <c r="G13" i="14"/>
  <c r="E22" i="16"/>
  <c r="F43" i="14" s="1"/>
  <c r="F46" s="1"/>
  <c r="F61" s="1"/>
  <c r="F22" i="16"/>
  <c r="G43" i="14" s="1"/>
  <c r="N22" i="16"/>
  <c r="O43" i="14" s="1"/>
  <c r="J22" i="16"/>
  <c r="K43" i="14" s="1"/>
  <c r="K46" s="1"/>
  <c r="K61" s="1"/>
  <c r="F63" l="1"/>
  <c r="E26" i="48"/>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<sst xmlns="http://schemas.openxmlformats.org/spreadsheetml/2006/main" count="2392" uniqueCount="887">
  <si>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</si>
  <si>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</si>
  <si>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</si>
  <si>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</si>
  <si>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</si>
  <si>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</si>
  <si>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</si>
  <si>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</si>
  <si>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</si>
  <si>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</si>
  <si>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</si>
  <si>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</si>
  <si>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</si>
  <si>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</si>
  <si>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</si>
  <si>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</si>
  <si>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</si>
  <si>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</si>
  <si>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</si>
  <si>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</si>
  <si>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</si>
  <si>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</si>
  <si>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</si>
  <si>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</si>
  <si>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</si>
  <si>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</si>
  <si>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</si>
  <si>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</si>
  <si>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</si>
  <si>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</si>
  <si>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</si>
  <si>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</si>
  <si>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</si>
  <si>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</si>
  <si>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</si>
  <si>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</si>
  <si>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</si>
  <si>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</si>
  <si>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</si>
  <si>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</si>
  <si>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</si>
  <si>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</si>
  <si>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</si>
  <si>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</si>
  <si>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</si>
  <si>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</si>
  <si>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</si>
  <si>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</si>
  <si>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</si>
  <si>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</si>
  <si>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</si>
  <si>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</si>
  <si>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</si>
  <si>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</si>
  <si>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</si>
  <si>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</si>
  <si>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</si>
  <si>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</si>
  <si>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</si>
  <si>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</si>
  <si>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</si>
  <si>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</si>
  <si>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</si>
  <si>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</si>
  <si>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</si>
  <si>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</si>
  <si>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</si>
  <si>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</si>
  <si>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</si>
  <si>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</si>
  <si>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</si>
  <si>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</si>
  <si>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</si>
  <si>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</si>
  <si>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</si>
  <si>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</si>
  <si>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</si>
  <si>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</si>
  <si>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</si>
  <si>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</si>
  <si>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</si>
  <si>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</si>
  <si>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</si>
  <si>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</si>
  <si>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</si>
  <si>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</si>
  <si>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</si>
  <si>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</si>
  <si>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</si>
  <si>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</si>
  <si>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</si>
  <si>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</si>
  <si>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</si>
  <si>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</si>
  <si>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</si>
  <si>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</si>
  <si>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</si>
  <si>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</si>
  <si>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</si>
  <si>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</si>
  <si>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</si>
  <si>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</si>
  <si>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</si>
  <si>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</si>
  <si>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</si>
  <si>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</si>
  <si>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</si>
  <si>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</si>
  <si>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</si>
  <si>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</si>
  <si>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</si>
  <si>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</si>
  <si>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</si>
  <si>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</si>
  <si>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</si>
  <si>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</si>
  <si>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</si>
  <si>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</si>
  <si>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</si>
  <si>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</si>
  <si>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</si>
  <si>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</si>
  <si>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</si>
  <si>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</si>
  <si>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</si>
  <si>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</si>
  <si>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</si>
  <si>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</si>
  <si>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</si>
  <si>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</si>
  <si>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</si>
  <si>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</si>
  <si>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</si>
  <si>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</si>
  <si>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</si>
  <si>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</si>
  <si>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</si>
  <si>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</si>
  <si>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</si>
  <si>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</si>
  <si>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</si>
  <si>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</si>
  <si>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</si>
  <si>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</si>
  <si>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</si>
  <si>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</si>
  <si>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</si>
  <si>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</si>
  <si>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</si>
  <si>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</si>
  <si>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</si>
  <si>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</si>
  <si>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</si>
  <si>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</si>
  <si>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</si>
  <si>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</si>
  <si>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</si>
  <si>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</si>
  <si>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</si>
  <si>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</si>
  <si>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</si>
  <si>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</si>
  <si>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</si>
  <si>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</si>
  <si>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</si>
  <si>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</si>
  <si>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</si>
  <si>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</si>
  <si>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</si>
  <si>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</si>
  <si>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</si>
  <si>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</si>
  <si>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</si>
  <si>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</si>
  <si>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</si>
  <si>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</si>
  <si>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</si>
  <si>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</si>
  <si>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</si>
  <si>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</si>
  <si>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</si>
  <si>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</si>
  <si>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</si>
  <si>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</si>
  <si>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</si>
  <si>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</si>
  <si>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</si>
  <si>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</si>
  <si>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</si>
  <si>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</si>
  <si>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</si>
  <si>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</si>
  <si>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</si>
  <si>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</si>
  <si>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</si>
  <si>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</si>
  <si>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</si>
  <si>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</si>
  <si>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</si>
  <si>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</si>
  <si>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</si>
  <si>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</si>
  <si>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</si>
  <si>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</si>
  <si>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</si>
  <si>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</si>
  <si>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</si>
  <si>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</si>
  <si>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</si>
  <si>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</si>
  <si>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</si>
  <si>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</si>
  <si>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</si>
  <si>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</si>
  <si>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</si>
  <si>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</si>
  <si>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</si>
  <si>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</si>
  <si>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</si>
  <si>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</si>
  <si>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</si>
  <si>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</si>
  <si>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</si>
  <si>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</si>
  <si>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</si>
  <si>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</si>
  <si>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</si>
  <si>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</si>
  <si>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</si>
  <si>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</si>
  <si>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</si>
  <si>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</si>
  <si>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</si>
  <si>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</si>
  <si>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</si>
  <si>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</si>
  <si>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</si>
  <si>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</si>
  <si>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</si>
  <si>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</si>
  <si>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</si>
  <si>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</si>
  <si>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</si>
  <si>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</si>
  <si>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</si>
  <si>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</si>
  <si>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</si>
  <si>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</si>
  <si>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</si>
  <si>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</si>
  <si>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</si>
  <si>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</si>
  <si>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</si>
  <si>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</si>
  <si>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</si>
  <si>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</si>
  <si>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</si>
  <si>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</si>
  <si>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</si>
  <si>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</si>
  <si>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</si>
  <si>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</si>
  <si>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</si>
  <si>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</si>
  <si>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</si>
  <si>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</si>
  <si>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</si>
  <si>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</si>
  <si>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</si>
  <si>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</si>
  <si>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</si>
  <si>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</si>
  <si>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</si>
  <si>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</si>
  <si>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</si>
  <si>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</si>
  <si>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</si>
  <si>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</si>
  <si>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</si>
  <si>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</si>
  <si>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</si>
  <si>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</si>
  <si>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</si>
  <si>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</si>
  <si>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</si>
  <si>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</si>
  <si>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</si>
  <si>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</si>
  <si>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</si>
  <si>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</si>
  <si>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</si>
  <si>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</si>
  <si>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</si>
  <si>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</si>
  <si>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</si>
  <si>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</si>
  <si>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</si>
  <si>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</si>
  <si>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</si>
  <si>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</si>
  <si>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</si>
  <si>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</si>
  <si>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</si>
  <si>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</si>
  <si>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</si>
  <si>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</si>
  <si>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</si>
  <si>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</si>
  <si>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</si>
  <si>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</si>
  <si>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</si>
  <si>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</si>
  <si>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</si>
  <si>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</si>
  <si>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</si>
  <si>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</si>
  <si>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</si>
  <si>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</si>
  <si>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</si>
  <si>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</si>
  <si>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</si>
  <si>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</si>
  <si>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</si>
  <si>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</si>
  <si>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</si>
  <si>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</si>
  <si>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</si>
  <si>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</si>
  <si>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</si>
  <si>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</si>
  <si>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</si>
  <si>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</si>
  <si>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</si>
  <si>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</si>
  <si>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</si>
  <si>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</si>
  <si>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</si>
  <si>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</si>
  <si>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</si>
  <si>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</si>
  <si>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</si>
  <si>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</si>
  <si>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</si>
  <si>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</si>
  <si>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</si>
  <si>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</si>
  <si>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</si>
  <si>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</si>
  <si>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</si>
  <si>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</si>
  <si>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</si>
  <si>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</si>
  <si>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</si>
  <si>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</si>
  <si>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</si>
  <si>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</si>
  <si>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</si>
  <si>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</si>
  <si>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</si>
  <si>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</si>
  <si>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</si>
  <si>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</si>
  <si>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</si>
  <si>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</si>
  <si>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</si>
  <si>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</si>
  <si>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</si>
  <si>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</si>
  <si>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</si>
  <si>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</si>
  <si>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</si>
  <si>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</si>
  <si>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</si>
  <si>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</si>
  <si>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</si>
  <si>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</si>
  <si>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</si>
  <si>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</si>
  <si>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</si>
  <si>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</si>
  <si>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</si>
  <si>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</si>
  <si>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</si>
  <si>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</si>
  <si>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</si>
  <si>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</si>
  <si>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</si>
  <si>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</si>
  <si>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</si>
  <si>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</si>
  <si>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</si>
  <si>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</si>
  <si>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</si>
  <si>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</si>
  <si>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</si>
  <si>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</si>
  <si>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</si>
  <si>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</si>
  <si>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</si>
  <si>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</si>
  <si>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</si>
  <si>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</si>
  <si>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</si>
  <si>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</si>
  <si>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</si>
  <si>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</si>
  <si>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</si>
  <si>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</si>
  <si>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</si>
  <si>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</si>
  <si>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</si>
  <si>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</si>
  <si>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</si>
  <si>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</si>
  <si>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</si>
  <si>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</si>
  <si>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</si>
  <si>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</si>
  <si>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</si>
  <si>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</si>
  <si>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</si>
  <si>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</si>
  <si>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</si>
  <si>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</si>
  <si>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</si>
  <si>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</si>
  <si>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</si>
  <si>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</si>
  <si>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</si>
  <si>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</si>
  <si>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</si>
  <si>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</si>
  <si>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</si>
  <si>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</si>
  <si>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</si>
  <si>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</si>
  <si>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</si>
  <si>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</si>
  <si>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</si>
  <si>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</si>
  <si>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</si>
  <si>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</si>
  <si>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</si>
  <si>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</si>
  <si>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</si>
  <si>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</si>
  <si>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</si>
  <si>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</si>
  <si>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</si>
  <si>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</si>
  <si>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</si>
  <si>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</si>
  <si>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</si>
  <si>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</si>
  <si>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</si>
  <si>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</si>
  <si>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</si>
  <si>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</si>
  <si>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</si>
  <si>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</si>
  <si>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</si>
  <si>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</si>
  <si>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</si>
  <si>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</si>
  <si>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</si>
  <si>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</si>
  <si>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</si>
  <si>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</si>
  <si>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</si>
  <si>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</si>
  <si>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</si>
  <si>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</si>
  <si>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</si>
  <si>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</si>
  <si>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</si>
  <si>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</si>
  <si>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</si>
  <si>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</si>
  <si>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</si>
  <si>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</si>
  <si>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</si>
  <si>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</si>
  <si>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</si>
  <si>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</si>
  <si>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</si>
  <si>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</si>
  <si>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</si>
  <si>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</si>
  <si>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</si>
  <si>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</si>
  <si>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</si>
  <si>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</si>
  <si>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</si>
  <si>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</si>
  <si>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</si>
  <si>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</si>
  <si>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</si>
  <si>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</si>
  <si>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</si>
  <si>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</si>
  <si>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</si>
  <si>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</si>
  <si>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</si>
  <si>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</si>
  <si>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</si>
  <si>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</si>
  <si>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</si>
  <si>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</si>
  <si>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</si>
  <si>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</si>
  <si>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</si>
  <si>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</si>
  <si>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</si>
  <si>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</si>
  <si>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</si>
  <si>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</si>
  <si>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</si>
  <si>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</si>
  <si>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</si>
  <si>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</si>
  <si>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</si>
  <si>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</si>
  <si>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</si>
  <si>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</si>
  <si>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</si>
  <si>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</si>
  <si>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</si>
  <si>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</si>
  <si>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</si>
  <si>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</si>
  <si>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</si>
  <si>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</si>
  <si>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</si>
  <si>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</si>
  <si>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</si>
  <si>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</si>
  <si>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</si>
  <si>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</si>
  <si>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</si>
  <si>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</si>
  <si>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</si>
  <si>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</si>
  <si>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</si>
  <si>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</si>
  <si>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</si>
  <si>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</si>
  <si>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</si>
  <si>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</si>
  <si>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</si>
  <si>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</si>
  <si>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</si>
  <si>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</si>
  <si>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</si>
  <si>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</si>
  <si>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</si>
  <si>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</si>
  <si>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</si>
  <si>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</si>
  <si>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</si>
  <si>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</si>
  <si>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</si>
  <si>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</si>
  <si>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</si>
  <si>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</si>
  <si>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</si>
  <si>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</si>
  <si>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</si>
  <si>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</si>
  <si>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</si>
  <si>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</si>
  <si>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</si>
  <si>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</si>
  <si>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</si>
  <si>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</si>
  <si>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</si>
  <si>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</si>
  <si>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</si>
  <si>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</si>
  <si>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</si>
  <si>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</si>
  <si>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</si>
  <si>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</si>
  <si>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</si>
  <si>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</si>
  <si>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</si>
  <si>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</si>
  <si>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</si>
  <si>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</si>
  <si>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</si>
  <si>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</si>
  <si>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</si>
  <si>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</si>
  <si>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</si>
  <si>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</si>
  <si>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</si>
  <si>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</si>
  <si>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</si>
  <si>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</si>
  <si>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</si>
  <si>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</si>
  <si>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</si>
  <si>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</si>
  <si>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</si>
  <si>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</si>
  <si>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</si>
  <si>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</si>
  <si>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</si>
  <si>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</si>
  <si>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</si>
  <si>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</si>
  <si>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</si>
  <si>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</si>
  <si>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</si>
  <si>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</si>
  <si>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</si>
  <si>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</si>
  <si>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</si>
  <si>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</si>
  <si>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</si>
  <si>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</si>
  <si>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</si>
  <si>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</si>
  <si>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</si>
  <si>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</si>
  <si>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</si>
  <si>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</si>
  <si>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</si>
  <si>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</si>
  <si>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</si>
  <si>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</si>
  <si>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</si>
  <si>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</si>
  <si>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</si>
  <si>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</si>
  <si>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</si>
  <si>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</si>
  <si>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</si>
  <si>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</si>
  <si>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</si>
  <si>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</si>
  <si>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</si>
  <si>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</si>
  <si>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</si>
  <si>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</si>
  <si>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</si>
  <si>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</si>
  <si>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</si>
  <si>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</si>
  <si>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</si>
  <si>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</si>
  <si>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</si>
  <si>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</si>
  <si>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</si>
  <si>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</si>
  <si>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</si>
  <si>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</si>
  <si>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</si>
  <si>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</si>
  <si>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</si>
  <si>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</si>
  <si>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</si>
  <si>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</si>
  <si>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</si>
  <si>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</si>
  <si>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</si>
  <si>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</si>
  <si>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</si>
  <si>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</si>
  <si>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</si>
  <si>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</si>
  <si>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</si>
  <si>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</si>
  <si>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</si>
  <si>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</si>
  <si>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</si>
  <si>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</si>
  <si>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</si>
  <si>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</si>
  <si>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</si>
  <si>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</si>
  <si>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</si>
  <si>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</si>
  <si>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</si>
  <si>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</si>
  <si>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</si>
  <si>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</si>
  <si>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</si>
  <si>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</si>
  <si>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</si>
  <si>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</si>
  <si>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</si>
  <si>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</si>
  <si>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</si>
  <si>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</si>
  <si>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</si>
  <si>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</si>
  <si>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</si>
  <si>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</si>
  <si>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</si>
  <si>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</si>
  <si>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</si>
  <si>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</si>
  <si>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</si>
  <si>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</si>
  <si>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</si>
  <si>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</si>
  <si>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</si>
  <si>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</si>
  <si>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</si>
  <si>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</si>
  <si>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</si>
  <si>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</si>
  <si>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</si>
  <si>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</si>
  <si>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</si>
  <si>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</si>
  <si>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</si>
  <si>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</si>
  <si>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</si>
  <si>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</si>
  <si>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</si>
  <si>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</si>
  <si>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</si>
  <si>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</si>
  <si>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</si>
  <si>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</si>
  <si>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</si>
  <si>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</si>
  <si>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</si>
  <si>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</si>
  <si>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</si>
  <si>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</si>
  <si>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</si>
  <si>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</si>
  <si>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</si>
  <si>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</si>
  <si>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</si>
  <si>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</si>
  <si>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</si>
  <si>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</si>
  <si>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</si>
  <si>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</si>
  <si>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</si>
  <si>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</si>
  <si>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</si>
  <si>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</si>
  <si>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</si>
  <si>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</si>
  <si>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</si>
  <si>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</si>
  <si>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</si>
  <si>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</si>
  <si>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</si>
  <si>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</si>
  <si>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</si>
  <si>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</si>
  <si>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</si>
  <si>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</si>
  <si>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</si>
  <si>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</si>
  <si>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</si>
  <si>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</si>
  <si>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</si>
  <si>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</si>
  <si>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</si>
  <si>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</si>
  <si>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</si>
  <si>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</si>
  <si>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</si>
  <si>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</si>
  <si>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</si>
  <si>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</si>
  <si>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</si>
  <si>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</si>
  <si>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</si>
  <si>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</si>
  <si>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</si>
  <si>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</si>
  <si>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</si>
  <si>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</si>
  <si>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</si>
  <si>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</si>
  <si>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</si>
  <si>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</si>
  <si>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</si>
  <si>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</si>
  <si>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</si>
  <si>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</si>
  <si>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</si>
  <si>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</si>
  <si>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</si>
  <si>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</si>
  <si>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</si>
  <si>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</si>
  <si>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</si>
  <si>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</si>
  <si>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</si>
  <si>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</si>
  <si>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</si>
  <si>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</si>
  <si>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</si>
  <si>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</si>
  <si>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</si>
  <si>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</si>
  <si>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</si>
  <si>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</si>
  <si>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</si>
  <si>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</si>
  <si>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</si>
  <si>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</si>
  <si>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</si>
  <si>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</si>
  <si>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</si>
  <si>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</si>
  <si>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</si>
  <si>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</si>
  <si>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</si>
  <si>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</si>
  <si>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</si>
  <si>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</si>
  <si>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</si>
  <si>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</si>
  <si>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</si>
  <si>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</si>
  <si>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</si>
  <si>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</si>
  <si>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</si>
  <si>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</si>
  <si>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</si>
  <si>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</si>
  <si>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</si>
  <si>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</si>
  <si>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</si>
  <si>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</si>
  <si>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</si>
  <si>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</si>
  <si>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</si>
  <si>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</si>
  <si>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</si>
  <si>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</si>
  <si>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</si>
  <si>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</si>
  <si>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</si>
  <si>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</si>
  <si>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</si>
  <si>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</si>
  <si>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</si>
  <si>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</si>
  <si>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</si>
  <si>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</si>
  <si>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</si>
  <si>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</si>
  <si>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</si>
  <si>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</si>
  <si>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</si>
  <si>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</si>
  <si>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</si>
  <si>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</si>
  <si>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</si>
  <si>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</si>
  <si>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</si>
  <si>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</si>
  <si>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</si>
  <si>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</si>
  <si>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</si>
  <si>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</si>
  <si>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</si>
  <si>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</si>
  <si>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</si>
  <si>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</si>
  <si>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</si>
  <si>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</si>
  <si>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</si>
  <si>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11013</t>
  </si>
  <si>
    <t>EDEGEM</t>
  </si>
  <si>
    <t>Eandis (januari 2018); Infrax (juni 2018)</t>
  </si>
  <si>
    <t>MOW (september 2017)</t>
  </si>
  <si>
    <t>referentietaak LNE (2017); Jaarverslag De Lijn (2016)</t>
  </si>
  <si>
    <t>VEA (april 2018)</t>
  </si>
  <si>
    <t>VEA (januari 2017)</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</si>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</sst>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159660.44117207458</c:v>
                </c:pt>
                <c:pt idx="1">
                  <c:v>110312.84362262294</c:v>
                </c:pt>
                <c:pt idx="2">
                  <c:v>894.94200000000001</c:v>
                </c:pt>
                <c:pt idx="3">
                  <c:v>2739.5512237715384</c:v>
                </c:pt>
                <c:pt idx="4">
                  <c:v>26183.691935522435</c:v>
                </c:pt>
                <c:pt idx="5">
                  <c:v>121979.63257169398</c:v>
                </c:pt>
                <c:pt idx="6">
                  <c:v>2756.740144821365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717824"/>
        <c:axId val="176719360"/>
      </c:barChart>
      <c:catAx>
        <c:axId val="176717824"/>
        <c:scaling>
          <c:orientation val="minMax"/>
        </c:scaling>
        <c:axPos val="b"/>
        <c:numFmt formatCode="General" sourceLinked="0"/>
        <c:tickLblPos val="nextTo"/>
        <c:crossAx val="176719360"/>
        <c:crosses val="autoZero"/>
        <c:auto val="1"/>
        <c:lblAlgn val="ctr"/>
        <c:lblOffset val="100"/>
      </c:catAx>
      <c:valAx>
        <c:axId val="176719360"/>
        <c:scaling>
          <c:orientation val="minMax"/>
        </c:scaling>
        <c:axPos val="l"/>
        <c:majorGridlines>
          <c:spPr>
            <a:ln>
              <a:noFill/>
            </a:ln>
          </c:spPr>
        </c:majorGridlines>
        <c:numFmt formatCode="#,##0" sourceLinked="1"/>
        <c:tickLblPos val="nextTo"/>
        <c:crossAx val="17671782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159660.44117207458</c:v>
                </c:pt>
                <c:pt idx="1">
                  <c:v>110312.84362262294</c:v>
                </c:pt>
                <c:pt idx="2">
                  <c:v>894.94200000000001</c:v>
                </c:pt>
                <c:pt idx="3">
                  <c:v>2739.5512237715384</c:v>
                </c:pt>
                <c:pt idx="4">
                  <c:v>26183.691935522435</c:v>
                </c:pt>
                <c:pt idx="5">
                  <c:v>121979.63257169398</c:v>
                </c:pt>
                <c:pt idx="6">
                  <c:v>2756.740144821365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32715.200136522017</c:v>
                </c:pt>
                <c:pt idx="2">
                  <c:v>23123.493456254717</c:v>
                </c:pt>
                <c:pt idx="3">
                  <c:v>195.1192022064123</c:v>
                </c:pt>
                <c:pt idx="4">
                  <c:v>698.41156012383203</c:v>
                </c:pt>
                <c:pt idx="5">
                  <c:v>5160.9618291238739</c:v>
                </c:pt>
                <c:pt idx="6">
                  <c:v>30522.174153479358</c:v>
                </c:pt>
                <c:pt idx="7">
                  <c:v>696.49195059067154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462144"/>
        <c:axId val="183468032"/>
      </c:barChart>
      <c:catAx>
        <c:axId val="183462144"/>
        <c:scaling>
          <c:orientation val="minMax"/>
        </c:scaling>
        <c:axPos val="b"/>
        <c:numFmt formatCode="General" sourceLinked="0"/>
        <c:tickLblPos val="nextTo"/>
        <c:crossAx val="183468032"/>
        <c:crosses val="autoZero"/>
        <c:auto val="1"/>
        <c:lblAlgn val="ctr"/>
        <c:lblOffset val="100"/>
      </c:catAx>
      <c:valAx>
        <c:axId val="183468032"/>
        <c:scaling>
          <c:orientation val="minMax"/>
        </c:scaling>
        <c:axPos val="l"/>
        <c:majorGridlines>
          <c:spPr>
            <a:ln>
              <a:noFill/>
            </a:ln>
          </c:spPr>
        </c:majorGridlines>
        <c:numFmt formatCode="#,##0" sourceLinked="1"/>
        <c:tickLblPos val="nextTo"/>
        <c:crossAx val="1834621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32715.200136522017</c:v>
                </c:pt>
                <c:pt idx="2">
                  <c:v>23123.493456254717</c:v>
                </c:pt>
                <c:pt idx="3">
                  <c:v>195.1192022064123</c:v>
                </c:pt>
                <c:pt idx="4">
                  <c:v>698.41156012383203</c:v>
                </c:pt>
                <c:pt idx="5">
                  <c:v>5160.9618291238739</c:v>
                </c:pt>
                <c:pt idx="6">
                  <c:v>30522.174153479358</c:v>
                </c:pt>
                <c:pt idx="7">
                  <c:v>696.49195059067154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41610.75069851373</v>
      </c>
      <c r="D10" s="1013">
        <f ca="1">tertiair!C16</f>
        <v>10028.571428571429</v>
      </c>
      <c r="E10" s="1013">
        <f ca="1">tertiair!D16</f>
        <v>51083.752218438385</v>
      </c>
      <c r="F10" s="1013">
        <f>tertiair!E16</f>
        <v>247.6380420704854</v>
      </c>
      <c r="G10" s="1013">
        <f ca="1">tertiair!F16</f>
        <v>5573.179807854357</v>
      </c>
      <c r="H10" s="1013">
        <f>tertiair!G16</f>
        <v>0</v>
      </c>
      <c r="I10" s="1013">
        <f>tertiair!H16</f>
        <v>0</v>
      </c>
      <c r="J10" s="1013">
        <f>tertiair!I16</f>
        <v>0</v>
      </c>
      <c r="K10" s="1013">
        <f>tertiair!J16</f>
        <v>6.2033709994793365E-2</v>
      </c>
      <c r="L10" s="1013">
        <f>tertiair!K16</f>
        <v>0</v>
      </c>
      <c r="M10" s="1013">
        <f ca="1">tertiair!L16</f>
        <v>0</v>
      </c>
      <c r="N10" s="1013">
        <f>tertiair!M16</f>
        <v>0</v>
      </c>
      <c r="O10" s="1013">
        <f ca="1">tertiair!N16</f>
        <v>2659.1413934645707</v>
      </c>
      <c r="P10" s="1013">
        <f>tertiair!O16</f>
        <v>4.6900000000000004</v>
      </c>
      <c r="Q10" s="1014">
        <f>tertiair!P16</f>
        <v>0</v>
      </c>
      <c r="R10" s="700">
        <f ca="1">SUM(C10:Q10)</f>
        <v>111207.78562262295</v>
      </c>
      <c r="S10" s="67"/>
    </row>
    <row r="11" spans="1:19" s="473" customFormat="1">
      <c r="A11" s="809" t="s">
        <v>225</v>
      </c>
      <c r="B11" s="814"/>
      <c r="C11" s="1013">
        <f>huishoudens!B8</f>
        <v>32918.221562923296</v>
      </c>
      <c r="D11" s="1013">
        <f>huishoudens!C8</f>
        <v>0</v>
      </c>
      <c r="E11" s="1013">
        <f>huishoudens!D8</f>
        <v>117286.48569769299</v>
      </c>
      <c r="F11" s="1013">
        <f>huishoudens!E8</f>
        <v>231.9180351172638</v>
      </c>
      <c r="G11" s="1013">
        <f>huishoudens!F8</f>
        <v>6718.0103834676265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1712.4554928733883</v>
      </c>
      <c r="P11" s="1013">
        <f>huishoudens!O8</f>
        <v>164.15</v>
      </c>
      <c r="Q11" s="1014">
        <f>huishoudens!P8</f>
        <v>629.20000000000005</v>
      </c>
      <c r="R11" s="700">
        <f>SUM(C11:Q11)</f>
        <v>159660.44117207458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10115.121592758424</v>
      </c>
      <c r="D13" s="1013">
        <f>industrie!C18</f>
        <v>0</v>
      </c>
      <c r="E13" s="1013">
        <f>industrie!D18</f>
        <v>11075.568040515587</v>
      </c>
      <c r="F13" s="1013">
        <f>industrie!E18</f>
        <v>607.48955861721925</v>
      </c>
      <c r="G13" s="1013">
        <f>industrie!F18</f>
        <v>2129.96468778296</v>
      </c>
      <c r="H13" s="1013">
        <f>industrie!G18</f>
        <v>0</v>
      </c>
      <c r="I13" s="1013">
        <f>industrie!H18</f>
        <v>0</v>
      </c>
      <c r="J13" s="1013">
        <f>industrie!I18</f>
        <v>0</v>
      </c>
      <c r="K13" s="1013">
        <f>industrie!J18</f>
        <v>33.200447905843241</v>
      </c>
      <c r="L13" s="1013">
        <f>industrie!K18</f>
        <v>0</v>
      </c>
      <c r="M13" s="1013">
        <f>industrie!L18</f>
        <v>0</v>
      </c>
      <c r="N13" s="1013">
        <f>industrie!M18</f>
        <v>0</v>
      </c>
      <c r="O13" s="1013">
        <f>industrie!N18</f>
        <v>2222.3476079423999</v>
      </c>
      <c r="P13" s="1013">
        <f>industrie!O18</f>
        <v>0</v>
      </c>
      <c r="Q13" s="1014">
        <f>industrie!P18</f>
        <v>0</v>
      </c>
      <c r="R13" s="700">
        <f>SUM(C13:Q13)</f>
        <v>26183.691935522435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84644.093854195453</v>
      </c>
      <c r="D16" s="732">
        <f t="shared" ref="D16:R16" ca="1" si="0">SUM(D9:D15)</f>
        <v>10028.571428571429</v>
      </c>
      <c r="E16" s="732">
        <f t="shared" ca="1" si="0"/>
        <v>179445.80595664697</v>
      </c>
      <c r="F16" s="732">
        <f t="shared" si="0"/>
        <v>1087.0456358049685</v>
      </c>
      <c r="G16" s="732">
        <f t="shared" ca="1" si="0"/>
        <v>14421.154879104944</v>
      </c>
      <c r="H16" s="732">
        <f t="shared" si="0"/>
        <v>0</v>
      </c>
      <c r="I16" s="732">
        <f t="shared" si="0"/>
        <v>0</v>
      </c>
      <c r="J16" s="732">
        <f t="shared" si="0"/>
        <v>0</v>
      </c>
      <c r="K16" s="732">
        <f t="shared" si="0"/>
        <v>33.262481615838034</v>
      </c>
      <c r="L16" s="732">
        <f t="shared" si="0"/>
        <v>0</v>
      </c>
      <c r="M16" s="732">
        <f t="shared" ca="1" si="0"/>
        <v>0</v>
      </c>
      <c r="N16" s="732">
        <f t="shared" si="0"/>
        <v>0</v>
      </c>
      <c r="O16" s="732">
        <f t="shared" ca="1" si="0"/>
        <v>6593.9444942803584</v>
      </c>
      <c r="P16" s="732">
        <f t="shared" si="0"/>
        <v>168.84</v>
      </c>
      <c r="Q16" s="732">
        <f t="shared" si="0"/>
        <v>629.20000000000005</v>
      </c>
      <c r="R16" s="732">
        <f t="shared" ca="1" si="0"/>
        <v>297051.91873021994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2608.5840846092565</v>
      </c>
      <c r="I19" s="1013">
        <f>transport!H54</f>
        <v>0</v>
      </c>
      <c r="J19" s="1013">
        <f>transport!I54</f>
        <v>0</v>
      </c>
      <c r="K19" s="1013">
        <f>transport!J54</f>
        <v>0</v>
      </c>
      <c r="L19" s="1013">
        <f>transport!K54</f>
        <v>0</v>
      </c>
      <c r="M19" s="1013">
        <f>transport!L54</f>
        <v>0</v>
      </c>
      <c r="N19" s="1013">
        <f>transport!M54</f>
        <v>148.15606021210871</v>
      </c>
      <c r="O19" s="1013">
        <f>transport!N54</f>
        <v>0</v>
      </c>
      <c r="P19" s="1013">
        <f>transport!O54</f>
        <v>0</v>
      </c>
      <c r="Q19" s="1014">
        <f>transport!P54</f>
        <v>0</v>
      </c>
      <c r="R19" s="700">
        <f>SUM(C19:Q19)</f>
        <v>2756.740144821365</v>
      </c>
      <c r="S19" s="67"/>
    </row>
    <row r="20" spans="1:19" s="473" customFormat="1">
      <c r="A20" s="809" t="s">
        <v>307</v>
      </c>
      <c r="B20" s="814"/>
      <c r="C20" s="1013">
        <f>transport!B14</f>
        <v>52.517249836117571</v>
      </c>
      <c r="D20" s="1013">
        <f>transport!C14</f>
        <v>0</v>
      </c>
      <c r="E20" s="1013">
        <f>transport!D14</f>
        <v>186.82771965570359</v>
      </c>
      <c r="F20" s="1013">
        <f>transport!E14</f>
        <v>280.84134266517827</v>
      </c>
      <c r="G20" s="1013">
        <f>transport!F14</f>
        <v>0</v>
      </c>
      <c r="H20" s="1013">
        <f>transport!G14</f>
        <v>93824.987892708799</v>
      </c>
      <c r="I20" s="1013">
        <f>transport!H14</f>
        <v>21517.920319360943</v>
      </c>
      <c r="J20" s="1013">
        <f>transport!I14</f>
        <v>0</v>
      </c>
      <c r="K20" s="1013">
        <f>transport!J14</f>
        <v>0</v>
      </c>
      <c r="L20" s="1013">
        <f>transport!K14</f>
        <v>0</v>
      </c>
      <c r="M20" s="1013">
        <f>transport!L14</f>
        <v>0</v>
      </c>
      <c r="N20" s="1013">
        <f>transport!M14</f>
        <v>6116.5380474672311</v>
      </c>
      <c r="O20" s="1013">
        <f>transport!N14</f>
        <v>0</v>
      </c>
      <c r="P20" s="1013">
        <f>transport!O14</f>
        <v>0</v>
      </c>
      <c r="Q20" s="1014">
        <f>transport!P14</f>
        <v>0</v>
      </c>
      <c r="R20" s="700">
        <f>SUM(C20:Q20)</f>
        <v>121979.63257169398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52.517249836117571</v>
      </c>
      <c r="D22" s="812">
        <f t="shared" ref="D22:R22" si="1">SUM(D18:D21)</f>
        <v>0</v>
      </c>
      <c r="E22" s="812">
        <f t="shared" si="1"/>
        <v>186.82771965570359</v>
      </c>
      <c r="F22" s="812">
        <f t="shared" si="1"/>
        <v>280.84134266517827</v>
      </c>
      <c r="G22" s="812">
        <f t="shared" si="1"/>
        <v>0</v>
      </c>
      <c r="H22" s="812">
        <f t="shared" si="1"/>
        <v>96433.571977318061</v>
      </c>
      <c r="I22" s="812">
        <f t="shared" si="1"/>
        <v>21517.920319360943</v>
      </c>
      <c r="J22" s="812">
        <f t="shared" si="1"/>
        <v>0</v>
      </c>
      <c r="K22" s="812">
        <f t="shared" si="1"/>
        <v>0</v>
      </c>
      <c r="L22" s="812">
        <f t="shared" si="1"/>
        <v>0</v>
      </c>
      <c r="M22" s="812">
        <f t="shared" si="1"/>
        <v>0</v>
      </c>
      <c r="N22" s="812">
        <f t="shared" si="1"/>
        <v>6264.69410767934</v>
      </c>
      <c r="O22" s="812">
        <f t="shared" si="1"/>
        <v>0</v>
      </c>
      <c r="P22" s="812">
        <f t="shared" si="1"/>
        <v>0</v>
      </c>
      <c r="Q22" s="812">
        <f t="shared" si="1"/>
        <v>0</v>
      </c>
      <c r="R22" s="812">
        <f t="shared" si="1"/>
        <v>124736.37271651534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468.46753984234203</v>
      </c>
      <c r="D24" s="1013">
        <f>+landbouw!C8</f>
        <v>0</v>
      </c>
      <c r="E24" s="1013">
        <f>+landbouw!D8</f>
        <v>237.83264967458297</v>
      </c>
      <c r="F24" s="1013">
        <f>+landbouw!E8</f>
        <v>13.769691860985695</v>
      </c>
      <c r="G24" s="1013">
        <f>+landbouw!F8</f>
        <v>1951.6104563260512</v>
      </c>
      <c r="H24" s="1013">
        <f>+landbouw!G8</f>
        <v>0</v>
      </c>
      <c r="I24" s="1013">
        <f>+landbouw!H8</f>
        <v>0</v>
      </c>
      <c r="J24" s="1013">
        <f>+landbouw!I8</f>
        <v>0</v>
      </c>
      <c r="K24" s="1013">
        <f>+landbouw!J8</f>
        <v>67.87088606757635</v>
      </c>
      <c r="L24" s="1013">
        <f>+landbouw!K8</f>
        <v>0</v>
      </c>
      <c r="M24" s="1013">
        <f>+landbouw!L8</f>
        <v>0</v>
      </c>
      <c r="N24" s="1013">
        <f>+landbouw!M8</f>
        <v>0</v>
      </c>
      <c r="O24" s="1013">
        <f>+landbouw!N8</f>
        <v>0</v>
      </c>
      <c r="P24" s="1013">
        <f>+landbouw!O8</f>
        <v>0</v>
      </c>
      <c r="Q24" s="1014">
        <f>+landbouw!P8</f>
        <v>0</v>
      </c>
      <c r="R24" s="700">
        <f>SUM(C24:Q24)</f>
        <v>2739.5512237715384</v>
      </c>
      <c r="S24" s="67"/>
    </row>
    <row r="25" spans="1:19" s="473" customFormat="1" ht="15" thickBot="1">
      <c r="A25" s="831" t="s">
        <v>836</v>
      </c>
      <c r="B25" s="1016"/>
      <c r="C25" s="1017">
        <f>IF(Onbekend_ele_kWh="---",0,Onbekend_ele_kWh)/1000+IF(REST_rest_ele_kWh="---",0,REST_rest_ele_kWh)/1000</f>
        <v>2043.6794926407199</v>
      </c>
      <c r="D25" s="1017"/>
      <c r="E25" s="1017">
        <f>IF(onbekend_gas_kWh="---",0,onbekend_gas_kWh)/1000+IF(REST_rest_gas_kWh="---",0,REST_rest_gas_kWh)/1000</f>
        <v>3851.4800484183997</v>
      </c>
      <c r="F25" s="1017"/>
      <c r="G25" s="1017"/>
      <c r="H25" s="1017"/>
      <c r="I25" s="1017"/>
      <c r="J25" s="1017"/>
      <c r="K25" s="1017"/>
      <c r="L25" s="1017"/>
      <c r="M25" s="1017"/>
      <c r="N25" s="1017"/>
      <c r="O25" s="1017"/>
      <c r="P25" s="1017"/>
      <c r="Q25" s="1018"/>
      <c r="R25" s="700">
        <f>SUM(C25:Q25)</f>
        <v>5895.1595410591199</v>
      </c>
      <c r="S25" s="67"/>
    </row>
    <row r="26" spans="1:19" s="473" customFormat="1" ht="15.75" thickBot="1">
      <c r="A26" s="705" t="s">
        <v>837</v>
      </c>
      <c r="B26" s="817"/>
      <c r="C26" s="812">
        <f>SUM(C24:C25)</f>
        <v>2512.147032483062</v>
      </c>
      <c r="D26" s="812">
        <f t="shared" ref="D26:R26" si="2">SUM(D24:D25)</f>
        <v>0</v>
      </c>
      <c r="E26" s="812">
        <f t="shared" si="2"/>
        <v>4089.3126980929828</v>
      </c>
      <c r="F26" s="812">
        <f t="shared" si="2"/>
        <v>13.769691860985695</v>
      </c>
      <c r="G26" s="812">
        <f t="shared" si="2"/>
        <v>1951.6104563260512</v>
      </c>
      <c r="H26" s="812">
        <f t="shared" si="2"/>
        <v>0</v>
      </c>
      <c r="I26" s="812">
        <f t="shared" si="2"/>
        <v>0</v>
      </c>
      <c r="J26" s="812">
        <f t="shared" si="2"/>
        <v>0</v>
      </c>
      <c r="K26" s="812">
        <f t="shared" si="2"/>
        <v>67.87088606757635</v>
      </c>
      <c r="L26" s="812">
        <f t="shared" si="2"/>
        <v>0</v>
      </c>
      <c r="M26" s="812">
        <f t="shared" si="2"/>
        <v>0</v>
      </c>
      <c r="N26" s="812">
        <f t="shared" si="2"/>
        <v>0</v>
      </c>
      <c r="O26" s="812">
        <f t="shared" si="2"/>
        <v>0</v>
      </c>
      <c r="P26" s="812">
        <f t="shared" si="2"/>
        <v>0</v>
      </c>
      <c r="Q26" s="812">
        <f t="shared" si="2"/>
        <v>0</v>
      </c>
      <c r="R26" s="812">
        <f t="shared" si="2"/>
        <v>8634.7107648306592</v>
      </c>
      <c r="S26" s="67"/>
    </row>
    <row r="27" spans="1:19" s="473" customFormat="1" ht="17.25" thickTop="1" thickBot="1">
      <c r="A27" s="706" t="s">
        <v>116</v>
      </c>
      <c r="B27" s="805"/>
      <c r="C27" s="707">
        <f ca="1">C22+C16+C26</f>
        <v>87208.758136514632</v>
      </c>
      <c r="D27" s="707">
        <f t="shared" ref="D27:R27" ca="1" si="3">D22+D16+D26</f>
        <v>10028.571428571429</v>
      </c>
      <c r="E27" s="707">
        <f t="shared" ca="1" si="3"/>
        <v>183721.94637439566</v>
      </c>
      <c r="F27" s="707">
        <f t="shared" si="3"/>
        <v>1381.6566703311323</v>
      </c>
      <c r="G27" s="707">
        <f t="shared" ca="1" si="3"/>
        <v>16372.765335430995</v>
      </c>
      <c r="H27" s="707">
        <f t="shared" si="3"/>
        <v>96433.571977318061</v>
      </c>
      <c r="I27" s="707">
        <f t="shared" si="3"/>
        <v>21517.920319360943</v>
      </c>
      <c r="J27" s="707">
        <f t="shared" si="3"/>
        <v>0</v>
      </c>
      <c r="K27" s="707">
        <f t="shared" si="3"/>
        <v>101.13336768341438</v>
      </c>
      <c r="L27" s="707">
        <f t="shared" si="3"/>
        <v>0</v>
      </c>
      <c r="M27" s="707">
        <f t="shared" ca="1" si="3"/>
        <v>0</v>
      </c>
      <c r="N27" s="707">
        <f t="shared" si="3"/>
        <v>6264.69410767934</v>
      </c>
      <c r="O27" s="707">
        <f t="shared" ca="1" si="3"/>
        <v>6593.9444942803584</v>
      </c>
      <c r="P27" s="707">
        <f t="shared" si="3"/>
        <v>168.84</v>
      </c>
      <c r="Q27" s="707">
        <f t="shared" si="3"/>
        <v>629.20000000000005</v>
      </c>
      <c r="R27" s="707">
        <f t="shared" ca="1" si="3"/>
        <v>430423.00221156591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9072.1594019544409</v>
      </c>
      <c r="D40" s="1013">
        <f ca="1">tertiair!C20</f>
        <v>2383.2605042016817</v>
      </c>
      <c r="E40" s="1013">
        <f ca="1">tertiair!D20</f>
        <v>10318.917948124554</v>
      </c>
      <c r="F40" s="1013">
        <f>tertiair!E20</f>
        <v>56.213835550000184</v>
      </c>
      <c r="G40" s="1013">
        <f ca="1">tertiair!F20</f>
        <v>1488.0390086971133</v>
      </c>
      <c r="H40" s="1013">
        <f>tertiair!G20</f>
        <v>0</v>
      </c>
      <c r="I40" s="1013">
        <f>tertiair!H20</f>
        <v>0</v>
      </c>
      <c r="J40" s="1013">
        <f>tertiair!I20</f>
        <v>0</v>
      </c>
      <c r="K40" s="1013">
        <f>tertiair!J20</f>
        <v>2.1959933338156851E-2</v>
      </c>
      <c r="L40" s="1013">
        <f>tertiair!K20</f>
        <v>0</v>
      </c>
      <c r="M40" s="1013">
        <f ca="1">tertiair!L20</f>
        <v>0</v>
      </c>
      <c r="N40" s="1013">
        <f>tertiair!M20</f>
        <v>0</v>
      </c>
      <c r="O40" s="1013">
        <f ca="1">tertiair!N20</f>
        <v>0</v>
      </c>
      <c r="P40" s="1013">
        <f>tertiair!O20</f>
        <v>0</v>
      </c>
      <c r="Q40" s="774">
        <f>tertiair!P20</f>
        <v>0</v>
      </c>
      <c r="R40" s="850">
        <f t="shared" ca="1" si="4"/>
        <v>23318.612658461127</v>
      </c>
    </row>
    <row r="41" spans="1:18">
      <c r="A41" s="822" t="s">
        <v>225</v>
      </c>
      <c r="B41" s="829"/>
      <c r="C41" s="1013">
        <f ca="1">huishoudens!B12</f>
        <v>7176.9758592305552</v>
      </c>
      <c r="D41" s="1013">
        <f ca="1">huishoudens!C12</f>
        <v>0</v>
      </c>
      <c r="E41" s="1013">
        <f>huishoudens!D12</f>
        <v>23691.870110933985</v>
      </c>
      <c r="F41" s="1013">
        <f>huishoudens!E12</f>
        <v>52.645393971618887</v>
      </c>
      <c r="G41" s="1013">
        <f>huishoudens!F12</f>
        <v>1793.7087723858565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32715.200136522017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2205.3434249368988</v>
      </c>
      <c r="D43" s="1013">
        <f ca="1">industrie!C22</f>
        <v>0</v>
      </c>
      <c r="E43" s="1013">
        <f>industrie!D22</f>
        <v>2237.2647441841486</v>
      </c>
      <c r="F43" s="1013">
        <f>industrie!E22</f>
        <v>137.90012980610877</v>
      </c>
      <c r="G43" s="1013">
        <f>industrie!F22</f>
        <v>568.70057163805041</v>
      </c>
      <c r="H43" s="1013">
        <f>industrie!G22</f>
        <v>0</v>
      </c>
      <c r="I43" s="1013">
        <f>industrie!H22</f>
        <v>0</v>
      </c>
      <c r="J43" s="1013">
        <f>industrie!I22</f>
        <v>0</v>
      </c>
      <c r="K43" s="1013">
        <f>industrie!J22</f>
        <v>11.752958558668507</v>
      </c>
      <c r="L43" s="1013">
        <f>industrie!K22</f>
        <v>0</v>
      </c>
      <c r="M43" s="1013">
        <f>industrie!L22</f>
        <v>0</v>
      </c>
      <c r="N43" s="1013">
        <f>industrie!M22</f>
        <v>0</v>
      </c>
      <c r="O43" s="1013">
        <f>industrie!N22</f>
        <v>0</v>
      </c>
      <c r="P43" s="1013">
        <f>industrie!O22</f>
        <v>0</v>
      </c>
      <c r="Q43" s="774">
        <f>industrie!P22</f>
        <v>0</v>
      </c>
      <c r="R43" s="849">
        <f t="shared" ca="1" si="4"/>
        <v>5160.9618291238739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18454.478686121896</v>
      </c>
      <c r="D46" s="732">
        <f t="shared" ref="D46:Q46" ca="1" si="5">SUM(D39:D45)</f>
        <v>2383.2605042016817</v>
      </c>
      <c r="E46" s="732">
        <f t="shared" ca="1" si="5"/>
        <v>36248.052803242688</v>
      </c>
      <c r="F46" s="732">
        <f t="shared" si="5"/>
        <v>246.75935932772785</v>
      </c>
      <c r="G46" s="732">
        <f t="shared" ca="1" si="5"/>
        <v>3850.44835272102</v>
      </c>
      <c r="H46" s="732">
        <f t="shared" si="5"/>
        <v>0</v>
      </c>
      <c r="I46" s="732">
        <f t="shared" si="5"/>
        <v>0</v>
      </c>
      <c r="J46" s="732">
        <f t="shared" si="5"/>
        <v>0</v>
      </c>
      <c r="K46" s="732">
        <f t="shared" si="5"/>
        <v>11.774918492006664</v>
      </c>
      <c r="L46" s="732">
        <f t="shared" si="5"/>
        <v>0</v>
      </c>
      <c r="M46" s="732">
        <f t="shared" ca="1" si="5"/>
        <v>0</v>
      </c>
      <c r="N46" s="732">
        <f t="shared" si="5"/>
        <v>0</v>
      </c>
      <c r="O46" s="732">
        <f t="shared" ca="1" si="5"/>
        <v>0</v>
      </c>
      <c r="P46" s="732">
        <f t="shared" si="5"/>
        <v>0</v>
      </c>
      <c r="Q46" s="732">
        <f t="shared" si="5"/>
        <v>0</v>
      </c>
      <c r="R46" s="732">
        <f ca="1">SUM(R39:R45)</f>
        <v>61194.774624107013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696.49195059067154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696.49195059067154</v>
      </c>
    </row>
    <row r="50" spans="1:18">
      <c r="A50" s="825" t="s">
        <v>307</v>
      </c>
      <c r="B50" s="835"/>
      <c r="C50" s="703">
        <f ca="1">transport!B18</f>
        <v>11.450042449787917</v>
      </c>
      <c r="D50" s="703">
        <f>transport!C18</f>
        <v>0</v>
      </c>
      <c r="E50" s="703">
        <f>transport!D18</f>
        <v>37.739199370452127</v>
      </c>
      <c r="F50" s="703">
        <f>transport!E18</f>
        <v>63.750984784995474</v>
      </c>
      <c r="G50" s="703">
        <f>transport!F18</f>
        <v>0</v>
      </c>
      <c r="H50" s="703">
        <f>transport!G18</f>
        <v>25051.27176735325</v>
      </c>
      <c r="I50" s="703">
        <f>transport!H18</f>
        <v>5357.9621595208746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30522.174153479358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11.450042449787917</v>
      </c>
      <c r="D52" s="732">
        <f t="shared" ref="D52:Q52" ca="1" si="6">SUM(D48:D51)</f>
        <v>0</v>
      </c>
      <c r="E52" s="732">
        <f t="shared" si="6"/>
        <v>37.739199370452127</v>
      </c>
      <c r="F52" s="732">
        <f t="shared" si="6"/>
        <v>63.750984784995474</v>
      </c>
      <c r="G52" s="732">
        <f t="shared" si="6"/>
        <v>0</v>
      </c>
      <c r="H52" s="732">
        <f t="shared" si="6"/>
        <v>25747.763717943923</v>
      </c>
      <c r="I52" s="732">
        <f t="shared" si="6"/>
        <v>5357.9621595208746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31218.666104070031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102.13735933014479</v>
      </c>
      <c r="D54" s="703">
        <f ca="1">+landbouw!C12</f>
        <v>0</v>
      </c>
      <c r="E54" s="703">
        <f>+landbouw!D12</f>
        <v>48.042195234265762</v>
      </c>
      <c r="F54" s="703">
        <f>+landbouw!E12</f>
        <v>3.1257200524437527</v>
      </c>
      <c r="G54" s="703">
        <f>+landbouw!F12</f>
        <v>521.07999183905577</v>
      </c>
      <c r="H54" s="703">
        <f>+landbouw!G12</f>
        <v>0</v>
      </c>
      <c r="I54" s="703">
        <f>+landbouw!H12</f>
        <v>0</v>
      </c>
      <c r="J54" s="703">
        <f>+landbouw!I12</f>
        <v>0</v>
      </c>
      <c r="K54" s="703">
        <f>+landbouw!J12</f>
        <v>24.026293667922026</v>
      </c>
      <c r="L54" s="703">
        <f>+landbouw!K12</f>
        <v>0</v>
      </c>
      <c r="M54" s="703">
        <f>+landbouw!L12</f>
        <v>0</v>
      </c>
      <c r="N54" s="703">
        <f>+landbouw!M12</f>
        <v>0</v>
      </c>
      <c r="O54" s="703">
        <f>+landbouw!N12</f>
        <v>0</v>
      </c>
      <c r="P54" s="703">
        <f>+landbouw!O12</f>
        <v>0</v>
      </c>
      <c r="Q54" s="704">
        <f>+landbouw!P12</f>
        <v>0</v>
      </c>
      <c r="R54" s="731">
        <f ca="1">SUM(C54:Q54)</f>
        <v>698.41156012383203</v>
      </c>
    </row>
    <row r="55" spans="1:18" ht="15" thickBot="1">
      <c r="A55" s="825" t="s">
        <v>836</v>
      </c>
      <c r="B55" s="835"/>
      <c r="C55" s="703">
        <f ca="1">C25*'EF ele_warmte'!B12</f>
        <v>445.57201714710305</v>
      </c>
      <c r="D55" s="703"/>
      <c r="E55" s="703">
        <f>E25*EF_CO2_aardgas</f>
        <v>777.99896978051675</v>
      </c>
      <c r="F55" s="703"/>
      <c r="G55" s="703"/>
      <c r="H55" s="703"/>
      <c r="I55" s="703"/>
      <c r="J55" s="703"/>
      <c r="K55" s="703"/>
      <c r="L55" s="703"/>
      <c r="M55" s="703"/>
      <c r="N55" s="703"/>
      <c r="O55" s="703"/>
      <c r="P55" s="703"/>
      <c r="Q55" s="704"/>
      <c r="R55" s="731">
        <f ca="1">SUM(C55:Q55)</f>
        <v>1223.5709869276197</v>
      </c>
    </row>
    <row r="56" spans="1:18" ht="15.75" thickBot="1">
      <c r="A56" s="823" t="s">
        <v>837</v>
      </c>
      <c r="B56" s="836"/>
      <c r="C56" s="732">
        <f ca="1">SUM(C54:C55)</f>
        <v>547.70937647724782</v>
      </c>
      <c r="D56" s="732">
        <f t="shared" ref="D56:Q56" ca="1" si="7">SUM(D54:D55)</f>
        <v>0</v>
      </c>
      <c r="E56" s="732">
        <f t="shared" si="7"/>
        <v>826.04116501478256</v>
      </c>
      <c r="F56" s="732">
        <f t="shared" si="7"/>
        <v>3.1257200524437527</v>
      </c>
      <c r="G56" s="732">
        <f t="shared" si="7"/>
        <v>521.07999183905577</v>
      </c>
      <c r="H56" s="732">
        <f t="shared" si="7"/>
        <v>0</v>
      </c>
      <c r="I56" s="732">
        <f t="shared" si="7"/>
        <v>0</v>
      </c>
      <c r="J56" s="732">
        <f t="shared" si="7"/>
        <v>0</v>
      </c>
      <c r="K56" s="732">
        <f t="shared" si="7"/>
        <v>24.026293667922026</v>
      </c>
      <c r="L56" s="732">
        <f t="shared" si="7"/>
        <v>0</v>
      </c>
      <c r="M56" s="732">
        <f t="shared" si="7"/>
        <v>0</v>
      </c>
      <c r="N56" s="732">
        <f t="shared" si="7"/>
        <v>0</v>
      </c>
      <c r="O56" s="732">
        <f t="shared" si="7"/>
        <v>0</v>
      </c>
      <c r="P56" s="732">
        <f t="shared" si="7"/>
        <v>0</v>
      </c>
      <c r="Q56" s="733">
        <f t="shared" si="7"/>
        <v>0</v>
      </c>
      <c r="R56" s="734">
        <f ca="1">SUM(R54:R55)</f>
        <v>1921.9825470514518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19013.638105048933</v>
      </c>
      <c r="D61" s="740">
        <f t="shared" ref="D61:Q61" ca="1" si="8">D46+D52+D56</f>
        <v>2383.2605042016817</v>
      </c>
      <c r="E61" s="740">
        <f t="shared" ca="1" si="8"/>
        <v>37111.833167627919</v>
      </c>
      <c r="F61" s="740">
        <f t="shared" si="8"/>
        <v>313.63606416516706</v>
      </c>
      <c r="G61" s="740">
        <f t="shared" ca="1" si="8"/>
        <v>4371.5283445600762</v>
      </c>
      <c r="H61" s="740">
        <f t="shared" si="8"/>
        <v>25747.763717943923</v>
      </c>
      <c r="I61" s="740">
        <f t="shared" si="8"/>
        <v>5357.9621595208746</v>
      </c>
      <c r="J61" s="740">
        <f t="shared" si="8"/>
        <v>0</v>
      </c>
      <c r="K61" s="740">
        <f t="shared" si="8"/>
        <v>35.801212159928689</v>
      </c>
      <c r="L61" s="740">
        <f t="shared" si="8"/>
        <v>0</v>
      </c>
      <c r="M61" s="740">
        <f t="shared" ca="1" si="8"/>
        <v>0</v>
      </c>
      <c r="N61" s="740">
        <f t="shared" si="8"/>
        <v>0</v>
      </c>
      <c r="O61" s="740">
        <f t="shared" ca="1" si="8"/>
        <v>0</v>
      </c>
      <c r="P61" s="740">
        <f t="shared" si="8"/>
        <v>0</v>
      </c>
      <c r="Q61" s="740">
        <f t="shared" si="8"/>
        <v>0</v>
      </c>
      <c r="R61" s="740">
        <f ca="1">R46+R52+R56</f>
        <v>94335.423275228488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0.21802441075110152</v>
      </c>
      <c r="D63" s="781">
        <f t="shared" ca="1" si="9"/>
        <v>0.23764705882352949</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1702.985502542886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7020</v>
      </c>
      <c r="D76" s="1034">
        <f>'lokale energieproductie'!C8</f>
        <v>8258.8235294117658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1668.2823529411769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1702.985502542886</v>
      </c>
      <c r="C78" s="755">
        <f>SUM(C72:C77)</f>
        <v>7020</v>
      </c>
      <c r="D78" s="756">
        <f t="shared" ref="D78:H78" si="10">SUM(D76:D77)</f>
        <v>8258.8235294117658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1668.2823529411769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10028.571428571429</v>
      </c>
      <c r="D87" s="777">
        <f>'lokale energieproductie'!C17</f>
        <v>11798.319327731097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2383.2605042016817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10028.571428571429</v>
      </c>
      <c r="D90" s="755">
        <f t="shared" ref="D90:H90" si="12">SUM(D87:D89)</f>
        <v>11798.319327731097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2383.2605042016817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32918.221562923296</v>
      </c>
      <c r="C4" s="477">
        <f>huishoudens!C8</f>
        <v>0</v>
      </c>
      <c r="D4" s="477">
        <f>huishoudens!D8</f>
        <v>117286.48569769299</v>
      </c>
      <c r="E4" s="477">
        <f>huishoudens!E8</f>
        <v>231.9180351172638</v>
      </c>
      <c r="F4" s="477">
        <f>huishoudens!F8</f>
        <v>6718.0103834676265</v>
      </c>
      <c r="G4" s="477">
        <f>huishoudens!G8</f>
        <v>0</v>
      </c>
      <c r="H4" s="477">
        <f>huishoudens!H8</f>
        <v>0</v>
      </c>
      <c r="I4" s="477">
        <f>huishoudens!I8</f>
        <v>0</v>
      </c>
      <c r="J4" s="477">
        <f>huishoudens!J8</f>
        <v>0</v>
      </c>
      <c r="K4" s="477">
        <f>huishoudens!K8</f>
        <v>0</v>
      </c>
      <c r="L4" s="477">
        <f>huishoudens!L8</f>
        <v>0</v>
      </c>
      <c r="M4" s="477">
        <f>huishoudens!M8</f>
        <v>0</v>
      </c>
      <c r="N4" s="477">
        <f>huishoudens!N8</f>
        <v>1712.4554928733883</v>
      </c>
      <c r="O4" s="477">
        <f>huishoudens!O8</f>
        <v>164.15</v>
      </c>
      <c r="P4" s="478">
        <f>huishoudens!P8</f>
        <v>629.20000000000005</v>
      </c>
      <c r="Q4" s="479">
        <f>SUM(B4:P4)</f>
        <v>159660.44117207458</v>
      </c>
    </row>
    <row r="5" spans="1:17">
      <c r="A5" s="476" t="s">
        <v>156</v>
      </c>
      <c r="B5" s="477">
        <f ca="1">tertiair!B16</f>
        <v>40715.808698513727</v>
      </c>
      <c r="C5" s="477">
        <f ca="1">tertiair!C16</f>
        <v>10028.571428571429</v>
      </c>
      <c r="D5" s="477">
        <f ca="1">tertiair!D16</f>
        <v>51083.752218438385</v>
      </c>
      <c r="E5" s="477">
        <f>tertiair!E16</f>
        <v>247.6380420704854</v>
      </c>
      <c r="F5" s="477">
        <f ca="1">tertiair!F16</f>
        <v>5573.179807854357</v>
      </c>
      <c r="G5" s="477">
        <f>tertiair!G16</f>
        <v>0</v>
      </c>
      <c r="H5" s="477">
        <f>tertiair!H16</f>
        <v>0</v>
      </c>
      <c r="I5" s="477">
        <f>tertiair!I16</f>
        <v>0</v>
      </c>
      <c r="J5" s="477">
        <f>tertiair!J16</f>
        <v>6.2033709994793365E-2</v>
      </c>
      <c r="K5" s="477">
        <f>tertiair!K16</f>
        <v>0</v>
      </c>
      <c r="L5" s="477">
        <f ca="1">tertiair!L16</f>
        <v>0</v>
      </c>
      <c r="M5" s="477">
        <f>tertiair!M16</f>
        <v>0</v>
      </c>
      <c r="N5" s="477">
        <f ca="1">tertiair!N16</f>
        <v>2659.1413934645707</v>
      </c>
      <c r="O5" s="477">
        <f>tertiair!O16</f>
        <v>4.6900000000000004</v>
      </c>
      <c r="P5" s="478">
        <f>tertiair!P16</f>
        <v>0</v>
      </c>
      <c r="Q5" s="476">
        <f t="shared" ref="Q5:Q14" ca="1" si="0">SUM(B5:P5)</f>
        <v>110312.84362262294</v>
      </c>
    </row>
    <row r="6" spans="1:17">
      <c r="A6" s="476" t="s">
        <v>194</v>
      </c>
      <c r="B6" s="477">
        <f>'openbare verlichting'!B8</f>
        <v>894.94200000000001</v>
      </c>
      <c r="C6" s="477"/>
      <c r="D6" s="477"/>
      <c r="E6" s="477"/>
      <c r="F6" s="477"/>
      <c r="G6" s="477"/>
      <c r="H6" s="477"/>
      <c r="I6" s="477"/>
      <c r="J6" s="477"/>
      <c r="K6" s="477"/>
      <c r="L6" s="477"/>
      <c r="M6" s="477"/>
      <c r="N6" s="477"/>
      <c r="O6" s="477"/>
      <c r="P6" s="478"/>
      <c r="Q6" s="476">
        <f t="shared" si="0"/>
        <v>894.94200000000001</v>
      </c>
    </row>
    <row r="7" spans="1:17">
      <c r="A7" s="476" t="s">
        <v>112</v>
      </c>
      <c r="B7" s="477">
        <f>landbouw!B8</f>
        <v>468.46753984234203</v>
      </c>
      <c r="C7" s="477">
        <f>landbouw!C8</f>
        <v>0</v>
      </c>
      <c r="D7" s="477">
        <f>landbouw!D8</f>
        <v>237.83264967458297</v>
      </c>
      <c r="E7" s="477">
        <f>landbouw!E8</f>
        <v>13.769691860985695</v>
      </c>
      <c r="F7" s="477">
        <f>landbouw!F8</f>
        <v>1951.6104563260512</v>
      </c>
      <c r="G7" s="477">
        <f>landbouw!G8</f>
        <v>0</v>
      </c>
      <c r="H7" s="477">
        <f>landbouw!H8</f>
        <v>0</v>
      </c>
      <c r="I7" s="477">
        <f>landbouw!I8</f>
        <v>0</v>
      </c>
      <c r="J7" s="477">
        <f>landbouw!J8</f>
        <v>67.87088606757635</v>
      </c>
      <c r="K7" s="477">
        <f>landbouw!K8</f>
        <v>0</v>
      </c>
      <c r="L7" s="477">
        <f>landbouw!L8</f>
        <v>0</v>
      </c>
      <c r="M7" s="477">
        <f>landbouw!M8</f>
        <v>0</v>
      </c>
      <c r="N7" s="477">
        <f>landbouw!N8</f>
        <v>0</v>
      </c>
      <c r="O7" s="477">
        <f>landbouw!O8</f>
        <v>0</v>
      </c>
      <c r="P7" s="478">
        <f>landbouw!P8</f>
        <v>0</v>
      </c>
      <c r="Q7" s="476">
        <f t="shared" si="0"/>
        <v>2739.5512237715384</v>
      </c>
    </row>
    <row r="8" spans="1:17">
      <c r="A8" s="476" t="s">
        <v>635</v>
      </c>
      <c r="B8" s="477">
        <f>industrie!B18</f>
        <v>10115.121592758424</v>
      </c>
      <c r="C8" s="477">
        <f>industrie!C18</f>
        <v>0</v>
      </c>
      <c r="D8" s="477">
        <f>industrie!D18</f>
        <v>11075.568040515587</v>
      </c>
      <c r="E8" s="477">
        <f>industrie!E18</f>
        <v>607.48955861721925</v>
      </c>
      <c r="F8" s="477">
        <f>industrie!F18</f>
        <v>2129.96468778296</v>
      </c>
      <c r="G8" s="477">
        <f>industrie!G18</f>
        <v>0</v>
      </c>
      <c r="H8" s="477">
        <f>industrie!H18</f>
        <v>0</v>
      </c>
      <c r="I8" s="477">
        <f>industrie!I18</f>
        <v>0</v>
      </c>
      <c r="J8" s="477">
        <f>industrie!J18</f>
        <v>33.200447905843241</v>
      </c>
      <c r="K8" s="477">
        <f>industrie!K18</f>
        <v>0</v>
      </c>
      <c r="L8" s="477">
        <f>industrie!L18</f>
        <v>0</v>
      </c>
      <c r="M8" s="477">
        <f>industrie!M18</f>
        <v>0</v>
      </c>
      <c r="N8" s="477">
        <f>industrie!N18</f>
        <v>2222.3476079423999</v>
      </c>
      <c r="O8" s="477">
        <f>industrie!O18</f>
        <v>0</v>
      </c>
      <c r="P8" s="478">
        <f>industrie!P18</f>
        <v>0</v>
      </c>
      <c r="Q8" s="476">
        <f t="shared" si="0"/>
        <v>26183.691935522435</v>
      </c>
    </row>
    <row r="9" spans="1:17" s="482" customFormat="1">
      <c r="A9" s="480" t="s">
        <v>561</v>
      </c>
      <c r="B9" s="481">
        <f>transport!B14</f>
        <v>52.517249836117571</v>
      </c>
      <c r="C9" s="481">
        <f>transport!C14</f>
        <v>0</v>
      </c>
      <c r="D9" s="481">
        <f>transport!D14</f>
        <v>186.82771965570359</v>
      </c>
      <c r="E9" s="481">
        <f>transport!E14</f>
        <v>280.84134266517827</v>
      </c>
      <c r="F9" s="481">
        <f>transport!F14</f>
        <v>0</v>
      </c>
      <c r="G9" s="481">
        <f>transport!G14</f>
        <v>93824.987892708799</v>
      </c>
      <c r="H9" s="481">
        <f>transport!H14</f>
        <v>21517.920319360943</v>
      </c>
      <c r="I9" s="481">
        <f>transport!I14</f>
        <v>0</v>
      </c>
      <c r="J9" s="481">
        <f>transport!J14</f>
        <v>0</v>
      </c>
      <c r="K9" s="481">
        <f>transport!K14</f>
        <v>0</v>
      </c>
      <c r="L9" s="481">
        <f>transport!L14</f>
        <v>0</v>
      </c>
      <c r="M9" s="481">
        <f>transport!M14</f>
        <v>6116.5380474672311</v>
      </c>
      <c r="N9" s="481">
        <f>transport!N14</f>
        <v>0</v>
      </c>
      <c r="O9" s="481">
        <f>transport!O14</f>
        <v>0</v>
      </c>
      <c r="P9" s="481">
        <f>transport!P14</f>
        <v>0</v>
      </c>
      <c r="Q9" s="480">
        <f>SUM(B9:P9)</f>
        <v>121979.63257169398</v>
      </c>
    </row>
    <row r="10" spans="1:17">
      <c r="A10" s="476" t="s">
        <v>551</v>
      </c>
      <c r="B10" s="477">
        <f>transport!B54</f>
        <v>0</v>
      </c>
      <c r="C10" s="477">
        <f>transport!C54</f>
        <v>0</v>
      </c>
      <c r="D10" s="477">
        <f>transport!D54</f>
        <v>0</v>
      </c>
      <c r="E10" s="477">
        <f>transport!E54</f>
        <v>0</v>
      </c>
      <c r="F10" s="477">
        <f>transport!F54</f>
        <v>0</v>
      </c>
      <c r="G10" s="477">
        <f>transport!G54</f>
        <v>2608.5840846092565</v>
      </c>
      <c r="H10" s="477">
        <f>transport!H54</f>
        <v>0</v>
      </c>
      <c r="I10" s="477">
        <f>transport!I54</f>
        <v>0</v>
      </c>
      <c r="J10" s="477">
        <f>transport!J54</f>
        <v>0</v>
      </c>
      <c r="K10" s="477">
        <f>transport!K54</f>
        <v>0</v>
      </c>
      <c r="L10" s="477">
        <f>transport!L54</f>
        <v>0</v>
      </c>
      <c r="M10" s="477">
        <f>transport!M54</f>
        <v>148.15606021210871</v>
      </c>
      <c r="N10" s="477">
        <f>transport!N54</f>
        <v>0</v>
      </c>
      <c r="O10" s="477">
        <f>transport!O54</f>
        <v>0</v>
      </c>
      <c r="P10" s="478">
        <f>transport!P54</f>
        <v>0</v>
      </c>
      <c r="Q10" s="476">
        <f t="shared" si="0"/>
        <v>2756.740144821365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2043.6794926407199</v>
      </c>
      <c r="C14" s="484"/>
      <c r="D14" s="484">
        <f>'SEAP template'!E25</f>
        <v>3851.4800484183997</v>
      </c>
      <c r="E14" s="484"/>
      <c r="F14" s="484"/>
      <c r="G14" s="484"/>
      <c r="H14" s="484"/>
      <c r="I14" s="484"/>
      <c r="J14" s="484"/>
      <c r="K14" s="484"/>
      <c r="L14" s="484"/>
      <c r="M14" s="484"/>
      <c r="N14" s="484"/>
      <c r="O14" s="484"/>
      <c r="P14" s="485"/>
      <c r="Q14" s="476">
        <f t="shared" si="0"/>
        <v>5895.1595410591199</v>
      </c>
    </row>
    <row r="15" spans="1:17" s="486" customFormat="1">
      <c r="A15" s="1039" t="s">
        <v>555</v>
      </c>
      <c r="B15" s="987">
        <f ca="1">SUM(B4:B14)</f>
        <v>87208.758136514632</v>
      </c>
      <c r="C15" s="987">
        <f t="shared" ref="C15:Q15" ca="1" si="1">SUM(C4:C14)</f>
        <v>10028.571428571429</v>
      </c>
      <c r="D15" s="987">
        <f t="shared" ca="1" si="1"/>
        <v>183721.94637439566</v>
      </c>
      <c r="E15" s="987">
        <f t="shared" si="1"/>
        <v>1381.6566703311323</v>
      </c>
      <c r="F15" s="987">
        <f t="shared" ca="1" si="1"/>
        <v>16372.765335430995</v>
      </c>
      <c r="G15" s="987">
        <f t="shared" si="1"/>
        <v>96433.571977318061</v>
      </c>
      <c r="H15" s="987">
        <f t="shared" si="1"/>
        <v>21517.920319360943</v>
      </c>
      <c r="I15" s="987">
        <f t="shared" si="1"/>
        <v>0</v>
      </c>
      <c r="J15" s="987">
        <f t="shared" si="1"/>
        <v>101.13336768341438</v>
      </c>
      <c r="K15" s="987">
        <f t="shared" si="1"/>
        <v>0</v>
      </c>
      <c r="L15" s="987">
        <f t="shared" ca="1" si="1"/>
        <v>0</v>
      </c>
      <c r="M15" s="987">
        <f t="shared" si="1"/>
        <v>6264.69410767934</v>
      </c>
      <c r="N15" s="987">
        <f t="shared" ca="1" si="1"/>
        <v>6593.9444942803584</v>
      </c>
      <c r="O15" s="987">
        <f t="shared" si="1"/>
        <v>168.84</v>
      </c>
      <c r="P15" s="987">
        <f t="shared" si="1"/>
        <v>629.20000000000005</v>
      </c>
      <c r="Q15" s="987">
        <f t="shared" ca="1" si="1"/>
        <v>430423.00221156591</v>
      </c>
    </row>
    <row r="17" spans="1:17">
      <c r="A17" s="487" t="s">
        <v>556</v>
      </c>
      <c r="B17" s="786">
        <f ca="1">huishoudens!B10</f>
        <v>0.21802441075110152</v>
      </c>
      <c r="C17" s="786">
        <f ca="1">huishoudens!C10</f>
        <v>0.23764705882352949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7176.9758592305552</v>
      </c>
      <c r="C22" s="477">
        <f t="shared" ref="C22:C32" ca="1" si="3">C4*$C$17</f>
        <v>0</v>
      </c>
      <c r="D22" s="477">
        <f t="shared" ref="D22:D32" si="4">D4*$D$17</f>
        <v>23691.870110933985</v>
      </c>
      <c r="E22" s="477">
        <f t="shared" ref="E22:E32" si="5">E4*$E$17</f>
        <v>52.645393971618887</v>
      </c>
      <c r="F22" s="477">
        <f t="shared" ref="F22:F32" si="6">F4*$F$17</f>
        <v>1793.7087723858565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32715.200136522017</v>
      </c>
    </row>
    <row r="23" spans="1:17">
      <c r="A23" s="476" t="s">
        <v>156</v>
      </c>
      <c r="B23" s="477">
        <f t="shared" ca="1" si="2"/>
        <v>8877.0401997480294</v>
      </c>
      <c r="C23" s="477">
        <f t="shared" ca="1" si="3"/>
        <v>2383.2605042016817</v>
      </c>
      <c r="D23" s="477">
        <f t="shared" ca="1" si="4"/>
        <v>10318.917948124554</v>
      </c>
      <c r="E23" s="477">
        <f t="shared" si="5"/>
        <v>56.213835550000184</v>
      </c>
      <c r="F23" s="477">
        <f t="shared" ca="1" si="6"/>
        <v>1488.0390086971133</v>
      </c>
      <c r="G23" s="477">
        <f t="shared" si="7"/>
        <v>0</v>
      </c>
      <c r="H23" s="477">
        <f t="shared" si="8"/>
        <v>0</v>
      </c>
      <c r="I23" s="477">
        <f t="shared" si="9"/>
        <v>0</v>
      </c>
      <c r="J23" s="477">
        <f t="shared" si="10"/>
        <v>2.1959933338156851E-2</v>
      </c>
      <c r="K23" s="477">
        <f t="shared" si="11"/>
        <v>0</v>
      </c>
      <c r="L23" s="477">
        <f t="shared" ca="1" si="12"/>
        <v>0</v>
      </c>
      <c r="M23" s="477">
        <f t="shared" si="13"/>
        <v>0</v>
      </c>
      <c r="N23" s="477">
        <f t="shared" ca="1" si="14"/>
        <v>0</v>
      </c>
      <c r="O23" s="477">
        <f t="shared" si="15"/>
        <v>0</v>
      </c>
      <c r="P23" s="478">
        <f t="shared" si="16"/>
        <v>0</v>
      </c>
      <c r="Q23" s="476">
        <f t="shared" ref="Q23:Q32" ca="1" si="17">SUM(B23:P23)</f>
        <v>23123.493456254717</v>
      </c>
    </row>
    <row r="24" spans="1:17">
      <c r="A24" s="476" t="s">
        <v>194</v>
      </c>
      <c r="B24" s="477">
        <f t="shared" ca="1" si="2"/>
        <v>195.1192022064123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195.1192022064123</v>
      </c>
    </row>
    <row r="25" spans="1:17">
      <c r="A25" s="476" t="s">
        <v>112</v>
      </c>
      <c r="B25" s="477">
        <f t="shared" ca="1" si="2"/>
        <v>102.13735933014479</v>
      </c>
      <c r="C25" s="477">
        <f t="shared" ca="1" si="3"/>
        <v>0</v>
      </c>
      <c r="D25" s="477">
        <f t="shared" si="4"/>
        <v>48.042195234265762</v>
      </c>
      <c r="E25" s="477">
        <f t="shared" si="5"/>
        <v>3.1257200524437527</v>
      </c>
      <c r="F25" s="477">
        <f t="shared" si="6"/>
        <v>521.07999183905577</v>
      </c>
      <c r="G25" s="477">
        <f t="shared" si="7"/>
        <v>0</v>
      </c>
      <c r="H25" s="477">
        <f t="shared" si="8"/>
        <v>0</v>
      </c>
      <c r="I25" s="477">
        <f t="shared" si="9"/>
        <v>0</v>
      </c>
      <c r="J25" s="477">
        <f t="shared" si="10"/>
        <v>24.026293667922026</v>
      </c>
      <c r="K25" s="477">
        <f t="shared" si="11"/>
        <v>0</v>
      </c>
      <c r="L25" s="477">
        <f t="shared" si="12"/>
        <v>0</v>
      </c>
      <c r="M25" s="477">
        <f t="shared" si="13"/>
        <v>0</v>
      </c>
      <c r="N25" s="477">
        <f t="shared" si="14"/>
        <v>0</v>
      </c>
      <c r="O25" s="477">
        <f t="shared" si="15"/>
        <v>0</v>
      </c>
      <c r="P25" s="478">
        <f t="shared" si="16"/>
        <v>0</v>
      </c>
      <c r="Q25" s="476">
        <f t="shared" ca="1" si="17"/>
        <v>698.41156012383203</v>
      </c>
    </row>
    <row r="26" spans="1:17">
      <c r="A26" s="476" t="s">
        <v>635</v>
      </c>
      <c r="B26" s="477">
        <f t="shared" ca="1" si="2"/>
        <v>2205.3434249368988</v>
      </c>
      <c r="C26" s="477">
        <f t="shared" ca="1" si="3"/>
        <v>0</v>
      </c>
      <c r="D26" s="477">
        <f t="shared" si="4"/>
        <v>2237.2647441841486</v>
      </c>
      <c r="E26" s="477">
        <f t="shared" si="5"/>
        <v>137.90012980610877</v>
      </c>
      <c r="F26" s="477">
        <f t="shared" si="6"/>
        <v>568.70057163805041</v>
      </c>
      <c r="G26" s="477">
        <f t="shared" si="7"/>
        <v>0</v>
      </c>
      <c r="H26" s="477">
        <f t="shared" si="8"/>
        <v>0</v>
      </c>
      <c r="I26" s="477">
        <f t="shared" si="9"/>
        <v>0</v>
      </c>
      <c r="J26" s="477">
        <f t="shared" si="10"/>
        <v>11.752958558668507</v>
      </c>
      <c r="K26" s="477">
        <f t="shared" si="11"/>
        <v>0</v>
      </c>
      <c r="L26" s="477">
        <f t="shared" si="12"/>
        <v>0</v>
      </c>
      <c r="M26" s="477">
        <f t="shared" si="13"/>
        <v>0</v>
      </c>
      <c r="N26" s="477">
        <f t="shared" si="14"/>
        <v>0</v>
      </c>
      <c r="O26" s="477">
        <f t="shared" si="15"/>
        <v>0</v>
      </c>
      <c r="P26" s="478">
        <f t="shared" si="16"/>
        <v>0</v>
      </c>
      <c r="Q26" s="476">
        <f t="shared" ca="1" si="17"/>
        <v>5160.9618291238739</v>
      </c>
    </row>
    <row r="27" spans="1:17" s="482" customFormat="1">
      <c r="A27" s="480" t="s">
        <v>561</v>
      </c>
      <c r="B27" s="780">
        <f t="shared" ca="1" si="2"/>
        <v>11.450042449787917</v>
      </c>
      <c r="C27" s="481">
        <f t="shared" ca="1" si="3"/>
        <v>0</v>
      </c>
      <c r="D27" s="481">
        <f t="shared" si="4"/>
        <v>37.739199370452127</v>
      </c>
      <c r="E27" s="481">
        <f t="shared" si="5"/>
        <v>63.750984784995474</v>
      </c>
      <c r="F27" s="481">
        <f t="shared" si="6"/>
        <v>0</v>
      </c>
      <c r="G27" s="481">
        <f t="shared" si="7"/>
        <v>25051.27176735325</v>
      </c>
      <c r="H27" s="481">
        <f t="shared" si="8"/>
        <v>5357.9621595208746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30522.174153479358</v>
      </c>
    </row>
    <row r="28" spans="1:17">
      <c r="A28" s="476" t="s">
        <v>551</v>
      </c>
      <c r="B28" s="477">
        <f t="shared" ca="1" si="2"/>
        <v>0</v>
      </c>
      <c r="C28" s="477">
        <f t="shared" ca="1" si="3"/>
        <v>0</v>
      </c>
      <c r="D28" s="477">
        <f t="shared" si="4"/>
        <v>0</v>
      </c>
      <c r="E28" s="477">
        <f t="shared" si="5"/>
        <v>0</v>
      </c>
      <c r="F28" s="477">
        <f t="shared" si="6"/>
        <v>0</v>
      </c>
      <c r="G28" s="477">
        <f t="shared" si="7"/>
        <v>696.49195059067154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696.49195059067154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445.57201714710305</v>
      </c>
      <c r="C32" s="477">
        <f t="shared" ca="1" si="3"/>
        <v>0</v>
      </c>
      <c r="D32" s="477">
        <f t="shared" si="4"/>
        <v>777.99896978051675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1223.5709869276197</v>
      </c>
    </row>
    <row r="33" spans="1:17" s="486" customFormat="1">
      <c r="A33" s="1039" t="s">
        <v>555</v>
      </c>
      <c r="B33" s="987">
        <f ca="1">SUM(B22:B32)</f>
        <v>19013.638105048933</v>
      </c>
      <c r="C33" s="987">
        <f t="shared" ref="C33:Q33" ca="1" si="18">SUM(C22:C32)</f>
        <v>2383.2605042016817</v>
      </c>
      <c r="D33" s="987">
        <f t="shared" ca="1" si="18"/>
        <v>37111.833167627919</v>
      </c>
      <c r="E33" s="987">
        <f t="shared" si="18"/>
        <v>313.63606416516706</v>
      </c>
      <c r="F33" s="987">
        <f t="shared" ca="1" si="18"/>
        <v>4371.5283445600762</v>
      </c>
      <c r="G33" s="987">
        <f t="shared" si="18"/>
        <v>25747.763717943923</v>
      </c>
      <c r="H33" s="987">
        <f t="shared" si="18"/>
        <v>5357.9621595208746</v>
      </c>
      <c r="I33" s="987">
        <f t="shared" si="18"/>
        <v>0</v>
      </c>
      <c r="J33" s="987">
        <f t="shared" si="18"/>
        <v>35.801212159928689</v>
      </c>
      <c r="K33" s="987">
        <f t="shared" si="18"/>
        <v>0</v>
      </c>
      <c r="L33" s="987">
        <f t="shared" ca="1" si="18"/>
        <v>0</v>
      </c>
      <c r="M33" s="987">
        <f t="shared" si="18"/>
        <v>0</v>
      </c>
      <c r="N33" s="987">
        <f t="shared" ca="1" si="18"/>
        <v>0</v>
      </c>
      <c r="O33" s="987">
        <f t="shared" si="18"/>
        <v>0</v>
      </c>
      <c r="P33" s="987">
        <f t="shared" si="18"/>
        <v>0</v>
      </c>
      <c r="Q33" s="987">
        <f t="shared" ca="1" si="18"/>
        <v>94335.423275228502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1702.985502542886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7020</v>
      </c>
      <c r="D8" s="1056">
        <f>'SEAP template'!D76</f>
        <v>8258.8235294117658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1668.2823529411769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1702.985502542886</v>
      </c>
      <c r="C10" s="1060">
        <f>SUM(C4:C9)</f>
        <v>7020</v>
      </c>
      <c r="D10" s="1060">
        <f t="shared" ref="D10:H10" si="0">SUM(D8:D9)</f>
        <v>8258.8235294117658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1668.2823529411769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0.21802441075110152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10028.571428571429</v>
      </c>
      <c r="D17" s="1057">
        <f>'SEAP template'!D87</f>
        <v>11798.319327731097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2383.2605042016817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10028.571428571429</v>
      </c>
      <c r="D20" s="1060">
        <f t="shared" ref="D20:H20" si="2">SUM(D17:D19)</f>
        <v>11798.319327731097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2383.2605042016817</v>
      </c>
    </row>
    <row r="22" spans="1:16">
      <c r="A22" s="487" t="s">
        <v>862</v>
      </c>
      <c r="B22" s="786" t="s">
        <v>856</v>
      </c>
      <c r="C22" s="78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0.21802441075110152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0.21802441075110152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0.21802441075110152</v>
      </c>
      <c r="C29" s="525">
        <f ca="1">'EF ele_warmte'!B22</f>
        <v>0.23764705882352949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9422</v>
      </c>
      <c r="C9" s="342">
        <v>8931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124.48</v>
      </c>
    </row>
    <row r="15" spans="1:6">
      <c r="A15" s="348" t="s">
        <v>184</v>
      </c>
      <c r="B15" s="334">
        <v>1</v>
      </c>
    </row>
    <row r="16" spans="1:6">
      <c r="A16" s="348" t="s">
        <v>6</v>
      </c>
      <c r="B16" s="334">
        <v>77</v>
      </c>
    </row>
    <row r="17" spans="1:6">
      <c r="A17" s="348" t="s">
        <v>7</v>
      </c>
      <c r="B17" s="334">
        <v>0</v>
      </c>
    </row>
    <row r="18" spans="1:6">
      <c r="A18" s="348" t="s">
        <v>8</v>
      </c>
      <c r="B18" s="334">
        <v>35</v>
      </c>
    </row>
    <row r="19" spans="1:6">
      <c r="A19" s="348" t="s">
        <v>9</v>
      </c>
      <c r="B19" s="334">
        <v>67</v>
      </c>
    </row>
    <row r="20" spans="1:6">
      <c r="A20" s="348" t="s">
        <v>10</v>
      </c>
      <c r="B20" s="334">
        <v>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8035</v>
      </c>
      <c r="D39" s="334">
        <v>129986623.646992</v>
      </c>
      <c r="E39" s="334">
        <v>9710</v>
      </c>
      <c r="F39" s="334">
        <v>31453774.926368501</v>
      </c>
    </row>
    <row r="40" spans="1:6">
      <c r="A40" s="348" t="s">
        <v>30</v>
      </c>
      <c r="B40" s="348" t="s">
        <v>29</v>
      </c>
      <c r="C40" s="334">
        <v>1</v>
      </c>
      <c r="D40" s="334">
        <v>42739.654219731397</v>
      </c>
      <c r="E40" s="334">
        <v>1</v>
      </c>
      <c r="F40" s="334">
        <v>4062.0590376539999</v>
      </c>
    </row>
    <row r="41" spans="1:6">
      <c r="A41" s="348" t="s">
        <v>32</v>
      </c>
      <c r="B41" s="348" t="s">
        <v>33</v>
      </c>
      <c r="C41" s="334">
        <v>31</v>
      </c>
      <c r="D41" s="334">
        <v>2244418.5356489201</v>
      </c>
      <c r="E41" s="334">
        <v>65</v>
      </c>
      <c r="F41" s="334">
        <v>322608.05591858801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9174754.2298942301</v>
      </c>
      <c r="E48" s="334">
        <v>19</v>
      </c>
      <c r="F48" s="334">
        <v>9273917.3897218592</v>
      </c>
    </row>
    <row r="49" spans="1:6">
      <c r="A49" s="348" t="s">
        <v>32</v>
      </c>
      <c r="B49" s="348" t="s">
        <v>40</v>
      </c>
      <c r="C49" s="334">
        <v>0</v>
      </c>
      <c r="D49" s="334">
        <v>0</v>
      </c>
      <c r="E49" s="334">
        <v>4</v>
      </c>
      <c r="F49" s="334">
        <v>23136.011220305401</v>
      </c>
    </row>
    <row r="50" spans="1:6">
      <c r="A50" s="348" t="s">
        <v>32</v>
      </c>
      <c r="B50" s="348" t="s">
        <v>41</v>
      </c>
      <c r="C50" s="334">
        <v>6</v>
      </c>
      <c r="D50" s="334">
        <v>859727.501103841</v>
      </c>
      <c r="E50" s="334">
        <v>15</v>
      </c>
      <c r="F50" s="334">
        <v>495460.13589767198</v>
      </c>
    </row>
    <row r="51" spans="1:6">
      <c r="A51" s="348" t="s">
        <v>42</v>
      </c>
      <c r="B51" s="348" t="s">
        <v>43</v>
      </c>
      <c r="C51" s="334">
        <v>0</v>
      </c>
      <c r="D51" s="334">
        <v>0</v>
      </c>
      <c r="E51" s="334">
        <v>5</v>
      </c>
      <c r="F51" s="334">
        <v>23625.409419185002</v>
      </c>
    </row>
    <row r="52" spans="1:6">
      <c r="A52" s="348" t="s">
        <v>42</v>
      </c>
      <c r="B52" s="348" t="s">
        <v>29</v>
      </c>
      <c r="C52" s="334">
        <v>3</v>
      </c>
      <c r="D52" s="334">
        <v>263672.56061483698</v>
      </c>
      <c r="E52" s="334">
        <v>4</v>
      </c>
      <c r="F52" s="334">
        <v>444842.13042315701</v>
      </c>
    </row>
    <row r="53" spans="1:6">
      <c r="A53" s="348" t="s">
        <v>44</v>
      </c>
      <c r="B53" s="348" t="s">
        <v>45</v>
      </c>
      <c r="C53" s="334">
        <v>207</v>
      </c>
      <c r="D53" s="334">
        <v>3851480.0484183999</v>
      </c>
      <c r="E53" s="334">
        <v>471</v>
      </c>
      <c r="F53" s="334">
        <v>2043679.49264072</v>
      </c>
    </row>
    <row r="54" spans="1:6">
      <c r="A54" s="348" t="s">
        <v>46</v>
      </c>
      <c r="B54" s="348" t="s">
        <v>47</v>
      </c>
      <c r="C54" s="334">
        <v>0</v>
      </c>
      <c r="D54" s="334">
        <v>0</v>
      </c>
      <c r="E54" s="334">
        <v>1</v>
      </c>
      <c r="F54" s="334">
        <v>894942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5066235.9101007404</v>
      </c>
      <c r="E57" s="334">
        <v>68</v>
      </c>
      <c r="F57" s="334">
        <v>2479616.33480812</v>
      </c>
    </row>
    <row r="58" spans="1:6">
      <c r="A58" s="348" t="s">
        <v>49</v>
      </c>
      <c r="B58" s="348" t="s">
        <v>51</v>
      </c>
      <c r="C58" s="334">
        <v>54</v>
      </c>
      <c r="D58" s="334">
        <v>39350714.167033598</v>
      </c>
      <c r="E58" s="334">
        <v>64</v>
      </c>
      <c r="F58" s="334">
        <v>13561944.5923806</v>
      </c>
    </row>
    <row r="59" spans="1:6">
      <c r="A59" s="348" t="s">
        <v>49</v>
      </c>
      <c r="B59" s="348" t="s">
        <v>52</v>
      </c>
      <c r="C59" s="334">
        <v>79</v>
      </c>
      <c r="D59" s="334">
        <v>4120812.73956965</v>
      </c>
      <c r="E59" s="334">
        <v>136</v>
      </c>
      <c r="F59" s="334">
        <v>4850481.2284929501</v>
      </c>
    </row>
    <row r="60" spans="1:6">
      <c r="A60" s="348" t="s">
        <v>49</v>
      </c>
      <c r="B60" s="348" t="s">
        <v>53</v>
      </c>
      <c r="C60" s="334">
        <v>40</v>
      </c>
      <c r="D60" s="334">
        <v>3582751.7758164899</v>
      </c>
      <c r="E60" s="334">
        <v>46</v>
      </c>
      <c r="F60" s="334">
        <v>1436201.94024866</v>
      </c>
    </row>
    <row r="61" spans="1:6">
      <c r="A61" s="348" t="s">
        <v>49</v>
      </c>
      <c r="B61" s="348" t="s">
        <v>54</v>
      </c>
      <c r="C61" s="334">
        <v>306</v>
      </c>
      <c r="D61" s="334">
        <v>18930832.438326102</v>
      </c>
      <c r="E61" s="334">
        <v>607</v>
      </c>
      <c r="F61" s="334">
        <v>7633049.4207872199</v>
      </c>
    </row>
    <row r="62" spans="1:6">
      <c r="A62" s="348" t="s">
        <v>49</v>
      </c>
      <c r="B62" s="348" t="s">
        <v>55</v>
      </c>
      <c r="C62" s="334">
        <v>9</v>
      </c>
      <c r="D62" s="334">
        <v>1712502.7937646699</v>
      </c>
      <c r="E62" s="334">
        <v>13</v>
      </c>
      <c r="F62" s="334">
        <v>343693.94651372498</v>
      </c>
    </row>
    <row r="63" spans="1:6">
      <c r="A63" s="348" t="s">
        <v>49</v>
      </c>
      <c r="B63" s="348" t="s">
        <v>29</v>
      </c>
      <c r="C63" s="334">
        <v>99</v>
      </c>
      <c r="D63" s="334">
        <v>6106322.0995364599</v>
      </c>
      <c r="E63" s="334">
        <v>101</v>
      </c>
      <c r="F63" s="334">
        <v>3390821.23528245</v>
      </c>
    </row>
    <row r="64" spans="1:6">
      <c r="A64" s="348" t="s">
        <v>56</v>
      </c>
      <c r="B64" s="348" t="s">
        <v>57</v>
      </c>
      <c r="C64" s="334">
        <v>0</v>
      </c>
      <c r="D64" s="334">
        <v>0</v>
      </c>
      <c r="E64" s="334">
        <v>0</v>
      </c>
      <c r="F64" s="334">
        <v>0</v>
      </c>
    </row>
    <row r="65" spans="1:6">
      <c r="A65" s="348" t="s">
        <v>56</v>
      </c>
      <c r="B65" s="348" t="s">
        <v>29</v>
      </c>
      <c r="C65" s="334">
        <v>2</v>
      </c>
      <c r="D65" s="334">
        <v>71705.848346569794</v>
      </c>
      <c r="E65" s="334">
        <v>5</v>
      </c>
      <c r="F65" s="334">
        <v>75141.313360492597</v>
      </c>
    </row>
    <row r="66" spans="1:6">
      <c r="A66" s="348" t="s">
        <v>56</v>
      </c>
      <c r="B66" s="348" t="s">
        <v>58</v>
      </c>
      <c r="C66" s="334">
        <v>0</v>
      </c>
      <c r="D66" s="334">
        <v>0</v>
      </c>
      <c r="E66" s="334">
        <v>7</v>
      </c>
      <c r="F66" s="334">
        <v>481472.95135827601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30137606</v>
      </c>
      <c r="E73" s="475">
        <v>34232607.532481834</v>
      </c>
    </row>
    <row r="74" spans="1:6">
      <c r="A74" s="348" t="s">
        <v>64</v>
      </c>
      <c r="B74" s="348" t="s">
        <v>657</v>
      </c>
      <c r="C74" s="1295" t="s">
        <v>659</v>
      </c>
      <c r="D74" s="475">
        <v>2386793</v>
      </c>
      <c r="E74" s="475">
        <v>2323202.6823916472</v>
      </c>
    </row>
    <row r="75" spans="1:6">
      <c r="A75" s="348" t="s">
        <v>65</v>
      </c>
      <c r="B75" s="348" t="s">
        <v>656</v>
      </c>
      <c r="C75" s="1295" t="s">
        <v>660</v>
      </c>
      <c r="D75" s="475">
        <v>27429008</v>
      </c>
      <c r="E75" s="475">
        <v>31885882.676117107</v>
      </c>
    </row>
    <row r="76" spans="1:6">
      <c r="A76" s="348" t="s">
        <v>65</v>
      </c>
      <c r="B76" s="348" t="s">
        <v>657</v>
      </c>
      <c r="C76" s="1295" t="s">
        <v>661</v>
      </c>
      <c r="D76" s="475">
        <v>33315.4</v>
      </c>
      <c r="E76" s="475">
        <v>31610.78631834696</v>
      </c>
    </row>
    <row r="77" spans="1:6">
      <c r="A77" s="348" t="s">
        <v>66</v>
      </c>
      <c r="B77" s="348" t="s">
        <v>656</v>
      </c>
      <c r="C77" s="1295" t="s">
        <v>662</v>
      </c>
      <c r="D77" s="475">
        <v>75928067</v>
      </c>
      <c r="E77" s="475">
        <v>79041968.046843186</v>
      </c>
    </row>
    <row r="78" spans="1:6">
      <c r="A78" s="341" t="s">
        <v>66</v>
      </c>
      <c r="B78" s="341" t="s">
        <v>657</v>
      </c>
      <c r="C78" s="341" t="s">
        <v>663</v>
      </c>
      <c r="D78" s="1296">
        <v>8305952</v>
      </c>
      <c r="E78" s="1296">
        <v>8702791.5129731055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747674</v>
      </c>
      <c r="C83" s="475">
        <v>750964.52960166917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1460.384577517138</v>
      </c>
    </row>
    <row r="92" spans="1:6">
      <c r="A92" s="341" t="s">
        <v>69</v>
      </c>
      <c r="B92" s="342">
        <v>242.60092502574798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87208.758136514632</v>
      </c>
      <c r="C3" s="43" t="s">
        <v>170</v>
      </c>
      <c r="D3" s="43"/>
      <c r="E3" s="154"/>
      <c r="F3" s="43"/>
      <c r="G3" s="43"/>
      <c r="H3" s="43"/>
      <c r="I3" s="43"/>
      <c r="J3" s="43"/>
      <c r="K3" s="96"/>
    </row>
    <row r="4" spans="1:11">
      <c r="A4" s="383" t="s">
        <v>171</v>
      </c>
      <c r="B4" s="49">
        <f>IF(ISERROR('SEAP template'!B78+'SEAP template'!C78),0,'SEAP template'!B78+'SEAP template'!C78)</f>
        <v>8722.985502542886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1668.2823529411769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0.21802441075110152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2383.2605042016817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10028.571428571429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894.94200000000001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894.94200000000001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0.21802441075110152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195.1192022064123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31457.836985406157</v>
      </c>
      <c r="C5" s="17">
        <f>IF(ISERROR('Eigen informatie GS &amp; warmtenet'!B57),0,'Eigen informatie GS &amp; warmtenet'!B57)</f>
        <v>0</v>
      </c>
      <c r="D5" s="30">
        <f>(SUM(HH_hh_gas_kWh,HH_rest_gas_kWh)/1000)*0.902</f>
        <v>117286.48569769299</v>
      </c>
      <c r="E5" s="17">
        <f>B46*B57</f>
        <v>231.9180351172638</v>
      </c>
      <c r="F5" s="17">
        <f>B51*B62</f>
        <v>6718.0103834676265</v>
      </c>
      <c r="G5" s="18"/>
      <c r="H5" s="17"/>
      <c r="I5" s="17"/>
      <c r="J5" s="17">
        <f>B50*B61+C50*C61</f>
        <v>0</v>
      </c>
      <c r="K5" s="17"/>
      <c r="L5" s="17"/>
      <c r="M5" s="17"/>
      <c r="N5" s="17">
        <f>B48*B59+C48*C59</f>
        <v>1712.4554928733883</v>
      </c>
      <c r="O5" s="17">
        <f>B69*B70*B71</f>
        <v>164.15</v>
      </c>
      <c r="P5" s="17">
        <f>B77*B78*B79/1000-B77*B78*B79/1000/B80</f>
        <v>629.20000000000005</v>
      </c>
    </row>
    <row r="6" spans="1:16">
      <c r="A6" s="16" t="s">
        <v>621</v>
      </c>
      <c r="B6" s="788">
        <f>kWh_PV_kleiner_dan_10kW</f>
        <v>1460.384577517138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32918.221562923296</v>
      </c>
      <c r="C8" s="21">
        <f>C5</f>
        <v>0</v>
      </c>
      <c r="D8" s="21">
        <f>D5</f>
        <v>117286.48569769299</v>
      </c>
      <c r="E8" s="21">
        <f>E5</f>
        <v>231.9180351172638</v>
      </c>
      <c r="F8" s="21">
        <f>F5</f>
        <v>6718.0103834676265</v>
      </c>
      <c r="G8" s="21"/>
      <c r="H8" s="21"/>
      <c r="I8" s="21"/>
      <c r="J8" s="21">
        <f>J5</f>
        <v>0</v>
      </c>
      <c r="K8" s="21"/>
      <c r="L8" s="21">
        <f>L5</f>
        <v>0</v>
      </c>
      <c r="M8" s="21">
        <f>M5</f>
        <v>0</v>
      </c>
      <c r="N8" s="21">
        <f>N5</f>
        <v>1712.4554928733883</v>
      </c>
      <c r="O8" s="21">
        <f>O5</f>
        <v>164.15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0.21802441075110152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7176.9758592305552</v>
      </c>
      <c r="C12" s="23">
        <f ca="1">C10*C8</f>
        <v>0</v>
      </c>
      <c r="D12" s="23">
        <f>D8*D10</f>
        <v>23691.870110933985</v>
      </c>
      <c r="E12" s="23">
        <f>E10*E8</f>
        <v>52.645393971618887</v>
      </c>
      <c r="F12" s="23">
        <f>F10*F8</f>
        <v>1793.7087723858565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9422</v>
      </c>
      <c r="C28" s="36"/>
      <c r="D28" s="228"/>
    </row>
    <row r="29" spans="1:7" s="15" customFormat="1">
      <c r="A29" s="230" t="s">
        <v>794</v>
      </c>
      <c r="B29" s="37">
        <f>SUM(HH_hh_gas_aantal,HH_rest_gas_aantal)</f>
        <v>8036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8036</v>
      </c>
      <c r="C32" s="167">
        <f>IF(ISERROR(B32/SUM($B$32,$B$34,$B$35,$B$36,$B$38,$B$39)*100),0,B32/SUM($B$32,$B$34,$B$35,$B$36,$B$38,$B$39)*100)</f>
        <v>85.589519650655021</v>
      </c>
      <c r="D32" s="233"/>
      <c r="G32" s="15"/>
    </row>
    <row r="33" spans="1:7">
      <c r="A33" s="171" t="s">
        <v>72</v>
      </c>
      <c r="B33" s="34" t="s">
        <v>111</v>
      </c>
      <c r="C33" s="167"/>
      <c r="D33" s="233"/>
      <c r="G33" s="15"/>
    </row>
    <row r="34" spans="1:7">
      <c r="A34" s="171" t="s">
        <v>73</v>
      </c>
      <c r="B34" s="33">
        <f>IF((($B$28-$B$32-$B$39-$B$77-$B$38)*C20/100)&lt;0,0,($B$28-$B$32-$B$39-$B$77-$B$38)*C20/100)</f>
        <v>10.953255425709514</v>
      </c>
      <c r="C34" s="167">
        <f>IF(ISERROR(B34/SUM($B$32,$B$34,$B$35,$B$36,$B$38,$B$39)*100),0,B34/SUM($B$32,$B$34,$B$35,$B$36,$B$38,$B$39)*100)</f>
        <v>0.11666051151037933</v>
      </c>
      <c r="D34" s="233"/>
      <c r="G34" s="15"/>
    </row>
    <row r="35" spans="1:7">
      <c r="A35" s="171" t="s">
        <v>74</v>
      </c>
      <c r="B35" s="33">
        <f>IF((($B$28-$B$32-$B$39-$B$77-$B$38)*C21/100)&lt;0,0,($B$28-$B$32-$B$39-$B$77-$B$38)*C21/100)</f>
        <v>1058.81469115192</v>
      </c>
      <c r="C35" s="167">
        <f>IF(ISERROR(B35/SUM($B$32,$B$34,$B$35,$B$36,$B$38,$B$39)*100),0,B35/SUM($B$32,$B$34,$B$35,$B$36,$B$38,$B$39)*100)</f>
        <v>11.277182779336671</v>
      </c>
      <c r="D35" s="233"/>
      <c r="G35" s="15"/>
    </row>
    <row r="36" spans="1:7">
      <c r="A36" s="171" t="s">
        <v>75</v>
      </c>
      <c r="B36" s="33">
        <f>IF((($B$28-$B$32-$B$39-$B$77-$B$38)*C22/100)&lt;0,0,($B$28-$B$32-$B$39-$B$77-$B$38)*C22/100)</f>
        <v>23.732053422370619</v>
      </c>
      <c r="C36" s="167">
        <f>IF(ISERROR(B36/SUM($B$32,$B$34,$B$35,$B$36,$B$38,$B$39)*100),0,B36/SUM($B$32,$B$34,$B$35,$B$36,$B$38,$B$39)*100)</f>
        <v>0.2527644416058219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259.5</v>
      </c>
      <c r="C39" s="167">
        <f>IF(ISERROR(B39/SUM($B$32,$B$34,$B$35,$B$36,$B$38,$B$39)*100),0,B39/SUM($B$32,$B$34,$B$35,$B$36,$B$38,$B$39)*100)</f>
        <v>2.7638726168921077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8036</v>
      </c>
      <c r="C44" s="34" t="s">
        <v>111</v>
      </c>
      <c r="D44" s="174"/>
    </row>
    <row r="45" spans="1:7">
      <c r="A45" s="171" t="s">
        <v>72</v>
      </c>
      <c r="B45" s="33" t="str">
        <f t="shared" si="0"/>
        <v>-</v>
      </c>
      <c r="C45" s="34" t="s">
        <v>111</v>
      </c>
      <c r="D45" s="174"/>
    </row>
    <row r="46" spans="1:7">
      <c r="A46" s="171" t="s">
        <v>73</v>
      </c>
      <c r="B46" s="33">
        <f t="shared" si="0"/>
        <v>10.953255425709514</v>
      </c>
      <c r="C46" s="34" t="s">
        <v>111</v>
      </c>
      <c r="D46" s="174"/>
    </row>
    <row r="47" spans="1:7">
      <c r="A47" s="171" t="s">
        <v>74</v>
      </c>
      <c r="B47" s="33">
        <f t="shared" si="0"/>
        <v>1058.81469115192</v>
      </c>
      <c r="C47" s="34" t="s">
        <v>111</v>
      </c>
      <c r="D47" s="174"/>
    </row>
    <row r="48" spans="1:7">
      <c r="A48" s="171" t="s">
        <v>75</v>
      </c>
      <c r="B48" s="33">
        <f t="shared" si="0"/>
        <v>23.732053422370619</v>
      </c>
      <c r="C48" s="33">
        <f>B48*10</f>
        <v>237.3205342237062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33695.808698513727</v>
      </c>
      <c r="C5" s="17">
        <f>IF(ISERROR('Eigen informatie GS &amp; warmtenet'!B58),0,'Eigen informatie GS &amp; warmtenet'!B58)</f>
        <v>0</v>
      </c>
      <c r="D5" s="30">
        <f>SUM(D6:D12)</f>
        <v>71140.89507558124</v>
      </c>
      <c r="E5" s="17">
        <f>SUM(E6:E12)</f>
        <v>247.6380420704854</v>
      </c>
      <c r="F5" s="17">
        <f>SUM(F6:F12)</f>
        <v>5573.179807854357</v>
      </c>
      <c r="G5" s="18"/>
      <c r="H5" s="17"/>
      <c r="I5" s="17"/>
      <c r="J5" s="17">
        <f>SUM(J6:J12)</f>
        <v>6.2033709994793365E-2</v>
      </c>
      <c r="K5" s="17"/>
      <c r="L5" s="17"/>
      <c r="M5" s="17"/>
      <c r="N5" s="17">
        <f>SUM(N6:N12)</f>
        <v>2659.1413934645707</v>
      </c>
      <c r="O5" s="17">
        <f>B38*B39*B40</f>
        <v>4.6900000000000004</v>
      </c>
      <c r="P5" s="17">
        <f>B46*B47*B48/1000-B46*B47*B48/1000/B49</f>
        <v>0</v>
      </c>
      <c r="R5" s="32"/>
    </row>
    <row r="6" spans="1:18">
      <c r="A6" s="32" t="s">
        <v>54</v>
      </c>
      <c r="B6" s="37">
        <f>B26</f>
        <v>7633.0494207872198</v>
      </c>
      <c r="C6" s="33"/>
      <c r="D6" s="37">
        <f>IF(ISERROR(TER_kantoor_gas_kWh/1000),0,TER_kantoor_gas_kWh/1000)*0.902</f>
        <v>17075.610859370146</v>
      </c>
      <c r="E6" s="33">
        <f>$C$26*'E Balans VL '!I12/100/3.6*1000000</f>
        <v>4.7841415057029456E-2</v>
      </c>
      <c r="F6" s="33">
        <f>$C$26*('E Balans VL '!L12+'E Balans VL '!N12)/100/3.6*1000000</f>
        <v>1147.0340402014476</v>
      </c>
      <c r="G6" s="34"/>
      <c r="H6" s="33"/>
      <c r="I6" s="33"/>
      <c r="J6" s="33">
        <f>$C$26*('E Balans VL '!D12+'E Balans VL '!E12)/100/3.6*1000000</f>
        <v>0</v>
      </c>
      <c r="K6" s="33"/>
      <c r="L6" s="33"/>
      <c r="M6" s="33"/>
      <c r="N6" s="33">
        <f>$C$26*'E Balans VL '!Y12/100/3.6*1000000</f>
        <v>7.299880047206261</v>
      </c>
      <c r="O6" s="33"/>
      <c r="P6" s="33"/>
      <c r="R6" s="32"/>
    </row>
    <row r="7" spans="1:18">
      <c r="A7" s="32" t="s">
        <v>53</v>
      </c>
      <c r="B7" s="37">
        <f t="shared" ref="B7:B12" si="0">B27</f>
        <v>1436.2019402486601</v>
      </c>
      <c r="C7" s="33"/>
      <c r="D7" s="37">
        <f>IF(ISERROR(TER_horeca_gas_kWh/1000),0,TER_horeca_gas_kWh/1000)*0.902</f>
        <v>3231.6421017864741</v>
      </c>
      <c r="E7" s="33">
        <f>$C$27*'E Balans VL '!I9/100/3.6*1000000</f>
        <v>20.566172558785276</v>
      </c>
      <c r="F7" s="33">
        <f>$C$27*('E Balans VL '!L9+'E Balans VL '!N9)/100/3.6*1000000</f>
        <v>181.87053340035391</v>
      </c>
      <c r="G7" s="34"/>
      <c r="H7" s="33"/>
      <c r="I7" s="33"/>
      <c r="J7" s="33">
        <f>$C$27*('E Balans VL '!D9+'E Balans VL '!E9)/100/3.6*1000000</f>
        <v>0</v>
      </c>
      <c r="K7" s="33"/>
      <c r="L7" s="33"/>
      <c r="M7" s="33"/>
      <c r="N7" s="33">
        <f>$C$27*'E Balans VL '!Y9/100/3.6*1000000</f>
        <v>0.41287639228686623</v>
      </c>
      <c r="O7" s="33"/>
      <c r="P7" s="33"/>
      <c r="R7" s="32"/>
    </row>
    <row r="8" spans="1:18">
      <c r="A8" s="6" t="s">
        <v>52</v>
      </c>
      <c r="B8" s="37">
        <f t="shared" si="0"/>
        <v>4850.4812284929503</v>
      </c>
      <c r="C8" s="33"/>
      <c r="D8" s="37">
        <f>IF(ISERROR(TER_handel_gas_kWh/1000),0,TER_handel_gas_kWh/1000)*0.902</f>
        <v>3716.9730910918247</v>
      </c>
      <c r="E8" s="33">
        <f>$C$28*'E Balans VL '!I13/100/3.6*1000000</f>
        <v>175.92635602289158</v>
      </c>
      <c r="F8" s="33">
        <f>$C$28*('E Balans VL '!L13+'E Balans VL '!N13)/100/3.6*1000000</f>
        <v>934.25179885276702</v>
      </c>
      <c r="G8" s="34"/>
      <c r="H8" s="33"/>
      <c r="I8" s="33"/>
      <c r="J8" s="33">
        <f>$C$28*('E Balans VL '!D13+'E Balans VL '!E13)/100/3.6*1000000</f>
        <v>0</v>
      </c>
      <c r="K8" s="33"/>
      <c r="L8" s="33"/>
      <c r="M8" s="33"/>
      <c r="N8" s="33">
        <f>$C$28*'E Balans VL '!Y13/100/3.6*1000000</f>
        <v>6.7190325474192543</v>
      </c>
      <c r="O8" s="33"/>
      <c r="P8" s="33"/>
      <c r="R8" s="32"/>
    </row>
    <row r="9" spans="1:18">
      <c r="A9" s="32" t="s">
        <v>51</v>
      </c>
      <c r="B9" s="37">
        <f t="shared" si="0"/>
        <v>13561.9445923806</v>
      </c>
      <c r="C9" s="33"/>
      <c r="D9" s="37">
        <f>IF(ISERROR(TER_gezond_gas_kWh/1000),0,TER_gezond_gas_kWh/1000)*0.902</f>
        <v>35494.344178664309</v>
      </c>
      <c r="E9" s="33">
        <f>$C$29*'E Balans VL '!I10/100/3.6*1000000</f>
        <v>0.84911163149543945</v>
      </c>
      <c r="F9" s="33">
        <f>$C$29*('E Balans VL '!L10+'E Balans VL '!N10)/100/3.6*1000000</f>
        <v>2014.6681613869619</v>
      </c>
      <c r="G9" s="34"/>
      <c r="H9" s="33"/>
      <c r="I9" s="33"/>
      <c r="J9" s="33">
        <f>$C$29*('E Balans VL '!D10+'E Balans VL '!E10)/100/3.6*1000000</f>
        <v>0</v>
      </c>
      <c r="K9" s="33"/>
      <c r="L9" s="33"/>
      <c r="M9" s="33"/>
      <c r="N9" s="33">
        <f>$C$29*'E Balans VL '!Y10/100/3.6*1000000</f>
        <v>209.77746757073561</v>
      </c>
      <c r="O9" s="33"/>
      <c r="P9" s="33"/>
      <c r="R9" s="32"/>
    </row>
    <row r="10" spans="1:18">
      <c r="A10" s="32" t="s">
        <v>50</v>
      </c>
      <c r="B10" s="37">
        <f t="shared" si="0"/>
        <v>2479.61633480812</v>
      </c>
      <c r="C10" s="33"/>
      <c r="D10" s="37">
        <f>IF(ISERROR(TER_ander_gas_kWh/1000),0,TER_ander_gas_kWh/1000)*0.902</f>
        <v>4569.7447909108678</v>
      </c>
      <c r="E10" s="33">
        <f>$C$30*'E Balans VL '!I14/100/3.6*1000000</f>
        <v>2.955614064575343</v>
      </c>
      <c r="F10" s="33">
        <f>$C$30*('E Balans VL '!L14+'E Balans VL '!N14)/100/3.6*1000000</f>
        <v>648.77786826983981</v>
      </c>
      <c r="G10" s="34"/>
      <c r="H10" s="33"/>
      <c r="I10" s="33"/>
      <c r="J10" s="33">
        <f>$C$30*('E Balans VL '!D14+'E Balans VL '!E14)/100/3.6*1000000</f>
        <v>5.3822750801035324E-2</v>
      </c>
      <c r="K10" s="33"/>
      <c r="L10" s="33"/>
      <c r="M10" s="33"/>
      <c r="N10" s="33">
        <f>$C$30*'E Balans VL '!Y14/100/3.6*1000000</f>
        <v>2105.6295161614089</v>
      </c>
      <c r="O10" s="33"/>
      <c r="P10" s="33"/>
      <c r="R10" s="32"/>
    </row>
    <row r="11" spans="1:18">
      <c r="A11" s="32" t="s">
        <v>55</v>
      </c>
      <c r="B11" s="37">
        <f t="shared" si="0"/>
        <v>343.693946513725</v>
      </c>
      <c r="C11" s="33"/>
      <c r="D11" s="37">
        <f>IF(ISERROR(TER_onderwijs_gas_kWh/1000),0,TER_onderwijs_gas_kWh/1000)*0.902</f>
        <v>1544.6775199757321</v>
      </c>
      <c r="E11" s="33">
        <f>$C$31*'E Balans VL '!I11/100/3.6*1000000</f>
        <v>5.1857880811522827</v>
      </c>
      <c r="F11" s="33">
        <f>$C$31*('E Balans VL '!L11+'E Balans VL '!N11)/100/3.6*1000000</f>
        <v>60.220670103345896</v>
      </c>
      <c r="G11" s="34"/>
      <c r="H11" s="33"/>
      <c r="I11" s="33"/>
      <c r="J11" s="33">
        <f>$C$31*('E Balans VL '!D11+'E Balans VL '!E11)/100/3.6*1000000</f>
        <v>0</v>
      </c>
      <c r="K11" s="33"/>
      <c r="L11" s="33"/>
      <c r="M11" s="33"/>
      <c r="N11" s="33">
        <f>$C$31*'E Balans VL '!Y11/100/3.6*1000000</f>
        <v>0.96718089409846242</v>
      </c>
      <c r="O11" s="33"/>
      <c r="P11" s="33"/>
      <c r="R11" s="32"/>
    </row>
    <row r="12" spans="1:18">
      <c r="A12" s="32" t="s">
        <v>260</v>
      </c>
      <c r="B12" s="37">
        <f t="shared" si="0"/>
        <v>3390.8212352824498</v>
      </c>
      <c r="C12" s="33"/>
      <c r="D12" s="37">
        <f>IF(ISERROR(TER_rest_gas_kWh/1000),0,TER_rest_gas_kWh/1000)*0.902</f>
        <v>5507.9025337818866</v>
      </c>
      <c r="E12" s="33">
        <f>$C$32*'E Balans VL '!I8/100/3.6*1000000</f>
        <v>42.107158296528439</v>
      </c>
      <c r="F12" s="33">
        <f>$C$32*('E Balans VL '!L8+'E Balans VL '!N8)/100/3.6*1000000</f>
        <v>586.35673563964065</v>
      </c>
      <c r="G12" s="34"/>
      <c r="H12" s="33"/>
      <c r="I12" s="33"/>
      <c r="J12" s="33">
        <f>$C$32*('E Balans VL '!D8+'E Balans VL '!E8)/100/3.6*1000000</f>
        <v>8.2109591937580446E-3</v>
      </c>
      <c r="K12" s="33"/>
      <c r="L12" s="33"/>
      <c r="M12" s="33"/>
      <c r="N12" s="33">
        <f>$C$32*'E Balans VL '!Y8/100/3.6*1000000</f>
        <v>328.33543985141523</v>
      </c>
      <c r="O12" s="33"/>
      <c r="P12" s="33"/>
      <c r="R12" s="32"/>
    </row>
    <row r="13" spans="1:18">
      <c r="A13" s="16" t="s">
        <v>488</v>
      </c>
      <c r="B13" s="247">
        <f ca="1">'lokale energieproductie'!N91+'lokale energieproductie'!N60</f>
        <v>7020</v>
      </c>
      <c r="C13" s="247">
        <f ca="1">'lokale energieproductie'!O91+'lokale energieproductie'!O60</f>
        <v>10028.571428571429</v>
      </c>
      <c r="D13" s="310">
        <f ca="1">('lokale energieproductie'!P60+'lokale energieproductie'!P91)*(-1)</f>
        <v>-20057.142857142859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40715.808698513727</v>
      </c>
      <c r="C16" s="21">
        <f t="shared" ca="1" si="1"/>
        <v>10028.571428571429</v>
      </c>
      <c r="D16" s="21">
        <f t="shared" ca="1" si="1"/>
        <v>51083.752218438385</v>
      </c>
      <c r="E16" s="21">
        <f t="shared" si="1"/>
        <v>247.6380420704854</v>
      </c>
      <c r="F16" s="21">
        <f t="shared" ca="1" si="1"/>
        <v>5573.179807854357</v>
      </c>
      <c r="G16" s="21">
        <f t="shared" si="1"/>
        <v>0</v>
      </c>
      <c r="H16" s="21">
        <f t="shared" si="1"/>
        <v>0</v>
      </c>
      <c r="I16" s="21">
        <f t="shared" si="1"/>
        <v>0</v>
      </c>
      <c r="J16" s="21">
        <f t="shared" si="1"/>
        <v>6.2033709994793365E-2</v>
      </c>
      <c r="K16" s="21">
        <f t="shared" si="1"/>
        <v>0</v>
      </c>
      <c r="L16" s="21">
        <f t="shared" ca="1" si="1"/>
        <v>0</v>
      </c>
      <c r="M16" s="21">
        <f t="shared" si="1"/>
        <v>0</v>
      </c>
      <c r="N16" s="21">
        <f t="shared" ca="1" si="1"/>
        <v>2659.1413934645707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0.21802441075110152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8877.0401997480294</v>
      </c>
      <c r="C20" s="23">
        <f t="shared" ref="C20:P20" ca="1" si="2">C16*C18</f>
        <v>2383.2605042016817</v>
      </c>
      <c r="D20" s="23">
        <f t="shared" ca="1" si="2"/>
        <v>10318.917948124554</v>
      </c>
      <c r="E20" s="23">
        <f t="shared" si="2"/>
        <v>56.213835550000184</v>
      </c>
      <c r="F20" s="23">
        <f t="shared" ca="1" si="2"/>
        <v>1488.0390086971133</v>
      </c>
      <c r="G20" s="23">
        <f t="shared" si="2"/>
        <v>0</v>
      </c>
      <c r="H20" s="23">
        <f t="shared" si="2"/>
        <v>0</v>
      </c>
      <c r="I20" s="23">
        <f t="shared" si="2"/>
        <v>0</v>
      </c>
      <c r="J20" s="23">
        <f t="shared" si="2"/>
        <v>2.1959933338156851E-2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7633.0494207872198</v>
      </c>
      <c r="C26" s="39">
        <f>IF(ISERROR(B26*3.6/1000000/'E Balans VL '!Z12*100),0,B26*3.6/1000000/'E Balans VL '!Z12*100)</f>
        <v>0.16135057302844921</v>
      </c>
      <c r="D26" s="237" t="s">
        <v>754</v>
      </c>
      <c r="F26" s="6"/>
    </row>
    <row r="27" spans="1:18">
      <c r="A27" s="231" t="s">
        <v>53</v>
      </c>
      <c r="B27" s="33">
        <f>IF(ISERROR(TER_horeca_ele_kWh/1000),0,TER_horeca_ele_kWh/1000)</f>
        <v>1436.2019402486601</v>
      </c>
      <c r="C27" s="39">
        <f>IF(ISERROR(B27*3.6/1000000/'E Balans VL '!Z9*100),0,B27*3.6/1000000/'E Balans VL '!Z9*100)</f>
        <v>0.11321526365001072</v>
      </c>
      <c r="D27" s="237" t="s">
        <v>754</v>
      </c>
      <c r="F27" s="6"/>
    </row>
    <row r="28" spans="1:18">
      <c r="A28" s="171" t="s">
        <v>52</v>
      </c>
      <c r="B28" s="33">
        <f>IF(ISERROR(TER_handel_ele_kWh/1000),0,TER_handel_ele_kWh/1000)</f>
        <v>4850.4812284929503</v>
      </c>
      <c r="C28" s="39">
        <f>IF(ISERROR(B28*3.6/1000000/'E Balans VL '!Z13*100),0,B28*3.6/1000000/'E Balans VL '!Z13*100)</f>
        <v>0.1407805633911198</v>
      </c>
      <c r="D28" s="237" t="s">
        <v>754</v>
      </c>
      <c r="F28" s="6"/>
    </row>
    <row r="29" spans="1:18">
      <c r="A29" s="231" t="s">
        <v>51</v>
      </c>
      <c r="B29" s="33">
        <f>IF(ISERROR(TER_gezond_ele_kWh/1000),0,TER_gezond_ele_kWh/1000)</f>
        <v>13561.9445923806</v>
      </c>
      <c r="C29" s="39">
        <f>IF(ISERROR(B29*3.6/1000000/'E Balans VL '!Z10*100),0,B29*3.6/1000000/'E Balans VL '!Z10*100)</f>
        <v>1.4282954585861187</v>
      </c>
      <c r="D29" s="237" t="s">
        <v>754</v>
      </c>
      <c r="F29" s="6"/>
    </row>
    <row r="30" spans="1:18">
      <c r="A30" s="231" t="s">
        <v>50</v>
      </c>
      <c r="B30" s="33">
        <f>IF(ISERROR(TER_ander_ele_kWh/1000),0,TER_ander_ele_kWh/1000)</f>
        <v>2479.61633480812</v>
      </c>
      <c r="C30" s="39">
        <f>IF(ISERROR(B30*3.6/1000000/'E Balans VL '!Z14*100),0,B30*3.6/1000000/'E Balans VL '!Z14*100)</f>
        <v>0.18289703942543581</v>
      </c>
      <c r="D30" s="237" t="s">
        <v>754</v>
      </c>
      <c r="F30" s="6"/>
    </row>
    <row r="31" spans="1:18">
      <c r="A31" s="231" t="s">
        <v>55</v>
      </c>
      <c r="B31" s="33">
        <f>IF(ISERROR(TER_onderwijs_ele_kWh/1000),0,TER_onderwijs_ele_kWh/1000)</f>
        <v>343.693946513725</v>
      </c>
      <c r="C31" s="39">
        <f>IF(ISERROR(B31*3.6/1000000/'E Balans VL '!Z11*100),0,B31*3.6/1000000/'E Balans VL '!Z11*100)</f>
        <v>8.5355306491949612E-2</v>
      </c>
      <c r="D31" s="237" t="s">
        <v>754</v>
      </c>
    </row>
    <row r="32" spans="1:18">
      <c r="A32" s="231" t="s">
        <v>260</v>
      </c>
      <c r="B32" s="33">
        <f>IF(ISERROR(TER_rest_ele_kWh/1000),0,TER_rest_ele_kWh/1000)</f>
        <v>3390.8212352824498</v>
      </c>
      <c r="C32" s="39">
        <f>IF(ISERROR(B32*3.6/1000000/'E Balans VL '!Z8*100),0,B32*3.6/1000000/'E Balans VL '!Z8*100)</f>
        <v>2.7901957908708783E-2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10115.121592758424</v>
      </c>
      <c r="C5" s="17">
        <f>IF(ISERROR('Eigen informatie GS &amp; warmtenet'!B59),0,'Eigen informatie GS &amp; warmtenet'!B59)</f>
        <v>0</v>
      </c>
      <c r="D5" s="30">
        <f>SUM(D6:D15)</f>
        <v>11075.568040515587</v>
      </c>
      <c r="E5" s="17">
        <f>SUM(E6:E15)</f>
        <v>607.48955861721925</v>
      </c>
      <c r="F5" s="17">
        <f>SUM(F6:F15)</f>
        <v>2129.96468778296</v>
      </c>
      <c r="G5" s="18"/>
      <c r="H5" s="17"/>
      <c r="I5" s="17"/>
      <c r="J5" s="17">
        <f>SUM(J6:J15)</f>
        <v>33.200447905843241</v>
      </c>
      <c r="K5" s="17"/>
      <c r="L5" s="17"/>
      <c r="M5" s="17"/>
      <c r="N5" s="17">
        <f>SUM(N6:N15)</f>
        <v>2222.3476079423999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322.60805591858804</v>
      </c>
      <c r="C9" s="33"/>
      <c r="D9" s="37">
        <f>IF( ISERROR(IND_andere_gas_kWh/1000),0,IND_andere_gas_kWh/1000)*0.902</f>
        <v>2024.4655191553261</v>
      </c>
      <c r="E9" s="33">
        <f>C31*'E Balans VL '!I19/100/3.6*1000000</f>
        <v>94.30461518307861</v>
      </c>
      <c r="F9" s="33">
        <f>C31*'E Balans VL '!L19/100/3.6*1000000+C31*'E Balans VL '!N19/100/3.6*1000000</f>
        <v>259.23999211663903</v>
      </c>
      <c r="G9" s="34"/>
      <c r="H9" s="33"/>
      <c r="I9" s="33"/>
      <c r="J9" s="40">
        <f>C31*'E Balans VL '!D19/100/3.6*1000000+C31*'E Balans VL '!E19/100/3.6*1000000</f>
        <v>0</v>
      </c>
      <c r="K9" s="33"/>
      <c r="L9" s="33"/>
      <c r="M9" s="33"/>
      <c r="N9" s="33">
        <f>C31*'E Balans VL '!Y19/100/3.6*1000000</f>
        <v>106.59470497171478</v>
      </c>
      <c r="O9" s="33"/>
      <c r="P9" s="33"/>
      <c r="R9" s="32"/>
    </row>
    <row r="10" spans="1:18">
      <c r="A10" s="6" t="s">
        <v>41</v>
      </c>
      <c r="B10" s="37">
        <f t="shared" si="0"/>
        <v>495.46013589767199</v>
      </c>
      <c r="C10" s="33"/>
      <c r="D10" s="37">
        <f>IF( ISERROR(IND_voed_gas_kWh/1000),0,IND_voed_gas_kWh/1000)*0.902</f>
        <v>775.47420599566453</v>
      </c>
      <c r="E10" s="33">
        <f>C32*'E Balans VL '!I20/100/3.6*1000000</f>
        <v>1.0481535996919193</v>
      </c>
      <c r="F10" s="33">
        <f>C32*'E Balans VL '!L20/100/3.6*1000000+C32*'E Balans VL '!N20/100/3.6*1000000</f>
        <v>31.501861538061718</v>
      </c>
      <c r="G10" s="34"/>
      <c r="H10" s="33"/>
      <c r="I10" s="33"/>
      <c r="J10" s="40">
        <f>C32*'E Balans VL '!D20/100/3.6*1000000+C32*'E Balans VL '!E20/100/3.6*1000000</f>
        <v>0</v>
      </c>
      <c r="K10" s="33"/>
      <c r="L10" s="33"/>
      <c r="M10" s="33"/>
      <c r="N10" s="33">
        <f>C32*'E Balans VL '!Y20/100/3.6*1000000</f>
        <v>34.1916386970289</v>
      </c>
      <c r="O10" s="33"/>
      <c r="P10" s="33"/>
      <c r="R10" s="32"/>
    </row>
    <row r="11" spans="1:18">
      <c r="A11" s="6" t="s">
        <v>40</v>
      </c>
      <c r="B11" s="37">
        <f t="shared" si="0"/>
        <v>23.136011220305402</v>
      </c>
      <c r="C11" s="33"/>
      <c r="D11" s="37">
        <f>IF( ISERROR(IND_textiel_gas_kWh/1000),0,IND_textiel_gas_kWh/1000)*0.902</f>
        <v>0</v>
      </c>
      <c r="E11" s="33">
        <f>C33*'E Balans VL '!I21/100/3.6*1000000</f>
        <v>6.8711958616672134E-2</v>
      </c>
      <c r="F11" s="33">
        <f>C33*'E Balans VL '!L21/100/3.6*1000000+C33*'E Balans VL '!N21/100/3.6*1000000</f>
        <v>2.3373723120008458</v>
      </c>
      <c r="G11" s="34"/>
      <c r="H11" s="33"/>
      <c r="I11" s="33"/>
      <c r="J11" s="40">
        <f>C33*'E Balans VL '!D21/100/3.6*1000000+C33*'E Balans VL '!E21/100/3.6*1000000</f>
        <v>0</v>
      </c>
      <c r="K11" s="33"/>
      <c r="L11" s="33"/>
      <c r="M11" s="33"/>
      <c r="N11" s="33">
        <f>C33*'E Balans VL '!Y21/100/3.6*1000000</f>
        <v>1.2760248540076085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9273.9173897218589</v>
      </c>
      <c r="C15" s="33"/>
      <c r="D15" s="37">
        <f>IF( ISERROR(IND_rest_gas_kWh/1000),0,IND_rest_gas_kWh/1000)*0.902</f>
        <v>8275.6283153645963</v>
      </c>
      <c r="E15" s="33">
        <f>C37*'E Balans VL '!I15/100/3.6*1000000</f>
        <v>512.06807787583205</v>
      </c>
      <c r="F15" s="33">
        <f>C37*'E Balans VL '!L15/100/3.6*1000000+C37*'E Balans VL '!N15/100/3.6*1000000</f>
        <v>1836.8854618162586</v>
      </c>
      <c r="G15" s="34"/>
      <c r="H15" s="33"/>
      <c r="I15" s="33"/>
      <c r="J15" s="40">
        <f>C37*'E Balans VL '!D15/100/3.6*1000000+C37*'E Balans VL '!E15/100/3.6*1000000</f>
        <v>33.200447905843241</v>
      </c>
      <c r="K15" s="33"/>
      <c r="L15" s="33"/>
      <c r="M15" s="33"/>
      <c r="N15" s="33">
        <f>C37*'E Balans VL '!Y15/100/3.6*1000000</f>
        <v>2080.2852394196489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10115.121592758424</v>
      </c>
      <c r="C18" s="21">
        <f>C5+C16</f>
        <v>0</v>
      </c>
      <c r="D18" s="21">
        <f>MAX((D5+D16),0)</f>
        <v>11075.568040515587</v>
      </c>
      <c r="E18" s="21">
        <f>MAX((E5+E16),0)</f>
        <v>607.48955861721925</v>
      </c>
      <c r="F18" s="21">
        <f>MAX((F5+F16),0)</f>
        <v>2129.96468778296</v>
      </c>
      <c r="G18" s="21"/>
      <c r="H18" s="21"/>
      <c r="I18" s="21"/>
      <c r="J18" s="21">
        <f>MAX((J5+J16),0)</f>
        <v>33.200447905843241</v>
      </c>
      <c r="K18" s="21"/>
      <c r="L18" s="21">
        <f>MAX((L5+L16),0)</f>
        <v>0</v>
      </c>
      <c r="M18" s="21"/>
      <c r="N18" s="21">
        <f>MAX((N5+N16),0)</f>
        <v>2222.3476079423999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0.21802441075110152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2205.3434249368988</v>
      </c>
      <c r="C22" s="23">
        <f ca="1">C18*C20</f>
        <v>0</v>
      </c>
      <c r="D22" s="23">
        <f>D18*D20</f>
        <v>2237.2647441841486</v>
      </c>
      <c r="E22" s="23">
        <f>E18*E20</f>
        <v>137.90012980610877</v>
      </c>
      <c r="F22" s="23">
        <f>F18*F20</f>
        <v>568.70057163805041</v>
      </c>
      <c r="G22" s="23"/>
      <c r="H22" s="23"/>
      <c r="I22" s="23"/>
      <c r="J22" s="23">
        <f>J18*J20</f>
        <v>11.752958558668507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322.60805591858804</v>
      </c>
      <c r="C31" s="39">
        <f>IF(ISERROR(B31*3.6/1000000/'E Balans VL '!Z19*100),0,B31*3.6/1000000/'E Balans VL '!Z19*100)</f>
        <v>1.463215809990232E-2</v>
      </c>
      <c r="D31" s="237" t="s">
        <v>754</v>
      </c>
    </row>
    <row r="32" spans="1:18">
      <c r="A32" s="171" t="s">
        <v>41</v>
      </c>
      <c r="B32" s="37">
        <f>IF( ISERROR(IND_voed_ele_kWh/1000),0,IND_voed_ele_kWh/1000)</f>
        <v>495.46013589767199</v>
      </c>
      <c r="C32" s="39">
        <f>IF(ISERROR(B32*3.6/1000000/'E Balans VL '!Z20*100),0,B32*3.6/1000000/'E Balans VL '!Z20*100)</f>
        <v>1.5326831202419733E-2</v>
      </c>
      <c r="D32" s="237" t="s">
        <v>754</v>
      </c>
    </row>
    <row r="33" spans="1:5">
      <c r="A33" s="171" t="s">
        <v>40</v>
      </c>
      <c r="B33" s="37">
        <f>IF( ISERROR(IND_textiel_ele_kWh/1000),0,IND_textiel_ele_kWh/1000)</f>
        <v>23.136011220305402</v>
      </c>
      <c r="C33" s="39">
        <f>IF(ISERROR(B33*3.6/1000000/'E Balans VL '!Z21*100),0,B33*3.6/1000000/'E Balans VL '!Z21*100)</f>
        <v>3.0166786932679865E-3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9273.9173897218589</v>
      </c>
      <c r="C37" s="39">
        <f>IF(ISERROR(B37*3.6/1000000/'E Balans VL '!Z15*100),0,B37*3.6/1000000/'E Balans VL '!Z15*100)</f>
        <v>7.3507184767292164E-2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468.46753984234203</v>
      </c>
      <c r="C5" s="17">
        <f>'Eigen informatie GS &amp; warmtenet'!B60</f>
        <v>0</v>
      </c>
      <c r="D5" s="30">
        <f>IF(ISERROR(SUM(LB_lb_gas_kWh,LB_rest_gas_kWh)/1000),0,SUM(LB_lb_gas_kWh,LB_rest_gas_kWh)/1000)*0.902</f>
        <v>237.83264967458297</v>
      </c>
      <c r="E5" s="17">
        <f>B17*'E Balans VL '!I25/3.6*1000000/100</f>
        <v>13.769691860985695</v>
      </c>
      <c r="F5" s="17">
        <f>B17*('E Balans VL '!L25/3.6*1000000+'E Balans VL '!N25/3.6*1000000)/100</f>
        <v>1951.6104563260512</v>
      </c>
      <c r="G5" s="18"/>
      <c r="H5" s="17"/>
      <c r="I5" s="17"/>
      <c r="J5" s="17">
        <f>('E Balans VL '!D25+'E Balans VL '!E25)/3.6*1000000*landbouw!B17/100</f>
        <v>67.87088606757635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468.46753984234203</v>
      </c>
      <c r="C8" s="21">
        <f>C5+C6</f>
        <v>0</v>
      </c>
      <c r="D8" s="21">
        <f>MAX((D5+D6),0)</f>
        <v>237.83264967458297</v>
      </c>
      <c r="E8" s="21">
        <f>MAX((E5+E6),0)</f>
        <v>13.769691860985695</v>
      </c>
      <c r="F8" s="21">
        <f>MAX((F5+F6),0)</f>
        <v>1951.6104563260512</v>
      </c>
      <c r="G8" s="21"/>
      <c r="H8" s="21"/>
      <c r="I8" s="21"/>
      <c r="J8" s="21">
        <f>MAX((J5+J6),0)</f>
        <v>67.87088606757635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0.21802441075110152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102.13735933014479</v>
      </c>
      <c r="C12" s="23">
        <f ca="1">C8*C10</f>
        <v>0</v>
      </c>
      <c r="D12" s="23">
        <f>D8*D10</f>
        <v>48.042195234265762</v>
      </c>
      <c r="E12" s="23">
        <f>E8*E10</f>
        <v>3.1257200524437527</v>
      </c>
      <c r="F12" s="23">
        <f>F8*F10</f>
        <v>521.07999183905577</v>
      </c>
      <c r="G12" s="23"/>
      <c r="H12" s="23"/>
      <c r="I12" s="23"/>
      <c r="J12" s="23">
        <f>J8*J10</f>
        <v>24.026293667922026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6.6477013675711114E-2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19.226374327603974</v>
      </c>
      <c r="C26" s="247">
        <f>B26*'GWP N2O_CH4'!B5</f>
        <v>403.75386087968343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3.5106691533437626</v>
      </c>
      <c r="C27" s="247">
        <f>B27*'GWP N2O_CH4'!B5</f>
        <v>73.724052220219022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0.2245951327237293</v>
      </c>
      <c r="C28" s="247">
        <f>B28*'GWP N2O_CH4'!B4</f>
        <v>69.624491144356085</v>
      </c>
      <c r="D28" s="50"/>
    </row>
    <row r="29" spans="1:4">
      <c r="A29" s="41" t="s">
        <v>277</v>
      </c>
      <c r="B29" s="247">
        <f>B34*'ha_N2O bodem landbouw'!B4</f>
        <v>0.80989680312719636</v>
      </c>
      <c r="C29" s="247">
        <f>B29*'GWP N2O_CH4'!B4</f>
        <v>251.06800896943088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1.8481565944507793E-4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1.8906209941002325E-4</v>
      </c>
      <c r="C5" s="463" t="s">
        <v>211</v>
      </c>
      <c r="D5" s="448">
        <f>SUM(D6:D11)</f>
        <v>6.7257979076053298E-4</v>
      </c>
      <c r="E5" s="448">
        <f>SUM(E6:E11)</f>
        <v>1.0110288335946419E-3</v>
      </c>
      <c r="F5" s="461" t="s">
        <v>211</v>
      </c>
      <c r="G5" s="448">
        <f>SUM(G6:G11)</f>
        <v>0.33776995641375168</v>
      </c>
      <c r="H5" s="448">
        <f>SUM(H6:H11)</f>
        <v>7.7464513149699391E-2</v>
      </c>
      <c r="I5" s="463" t="s">
        <v>211</v>
      </c>
      <c r="J5" s="463" t="s">
        <v>211</v>
      </c>
      <c r="K5" s="463" t="s">
        <v>211</v>
      </c>
      <c r="L5" s="463" t="s">
        <v>211</v>
      </c>
      <c r="M5" s="448">
        <f>SUM(M6:M11)</f>
        <v>2.201953697088203E-2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4.2682442617710837E-5</v>
      </c>
      <c r="C6" s="449"/>
      <c r="D6" s="892">
        <f>vkm_2011_GW_PW*SUMIFS(TableVerdeelsleutelVkm[CNG],TableVerdeelsleutelVkm[Voertuigtype],"Lichte voertuigen")*SUMIFS(TableECFTransport[EnergieConsumptieFactor (PJ per km)],TableECFTransport[Index],CONCATENATE($A6,"_CNG_CNG"))</f>
        <v>1.2802283035938616E-4</v>
      </c>
      <c r="E6" s="892">
        <f>vkm_2011_GW_PW*SUMIFS(TableVerdeelsleutelVkm[LPG],TableVerdeelsleutelVkm[Voertuigtype],"Lichte voertuigen")*SUMIFS(TableECFTransport[EnergieConsumptieFactor (PJ per km)],TableECFTransport[Index],CONCATENATE($A6,"_LPG_LPG"))</f>
        <v>1.74897575844223E-4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4.5220495683826981E-2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1.4561123854098653E-2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3.0715357450675734E-3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2.239778267390323E-2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6.8263890337491997E-6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1.3088508536333952E-3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3.8846385476694185E-5</v>
      </c>
      <c r="C8" s="449"/>
      <c r="D8" s="451">
        <f>vkm_2011_NGW_PW*SUMIFS(TableVerdeelsleutelVkm[CNG],TableVerdeelsleutelVkm[Voertuigtype],"Lichte voertuigen")*SUMIFS(TableECFTransport[EnergieConsumptieFactor (PJ per km)],TableECFTransport[Index],CONCATENATE($A8,"_CNG_CNG"))</f>
        <v>2.0716828346899248E-4</v>
      </c>
      <c r="E8" s="451">
        <f>vkm_2011_NGW_PW*SUMIFS(TableVerdeelsleutelVkm[LPG],TableVerdeelsleutelVkm[Voertuigtype],"Lichte voertuigen")*SUMIFS(TableECFTransport[EnergieConsumptieFactor (PJ per km)],TableECFTransport[Index],CONCATENATE($A8,"_LPG_LPG"))</f>
        <v>2.6211014814716307E-4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6.3154160889060146E-2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2.2898083249140718E-2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4.3652152051406315E-3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4.0087214172195013E-4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1.1501972813941702E-7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2.3425404407594343E-5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1.0753327131561824E-4</v>
      </c>
      <c r="C10" s="449"/>
      <c r="D10" s="451">
        <f>vkm_2011_SW_PW*SUMIFS(TableVerdeelsleutelVkm[CNG],TableVerdeelsleutelVkm[Voertuigtype],"Lichte voertuigen")*SUMIFS(TableECFTransport[EnergieConsumptieFactor (PJ per km)],TableECFTransport[Index],CONCATENATE($A10,"_CNG_CNG"))</f>
        <v>3.3738867693215436E-4</v>
      </c>
      <c r="E10" s="451">
        <f>vkm_2011_SW_PW*SUMIFS(TableVerdeelsleutelVkm[LPG],TableVerdeelsleutelVkm[Voertuigtype],"Lichte voertuigen")*SUMIFS(TableECFTransport[EnergieConsumptieFactor (PJ per km)],TableECFTransport[Index],CONCATENATE($A10,"_LPG_LPG"))</f>
        <v>5.740211096032558E-4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0.13231316632179357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3.9973915825236593E-2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8.9095805461740733E-3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7.4283478703445829E-2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2.4448812461541383E-5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4.3409292164587644E-3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52.517249836117571</v>
      </c>
      <c r="C14" s="21"/>
      <c r="D14" s="21">
        <f t="shared" ref="D14:M14" si="0">((D5)*10^9/3600)+D12</f>
        <v>186.82771965570359</v>
      </c>
      <c r="E14" s="21">
        <f t="shared" si="0"/>
        <v>280.84134266517827</v>
      </c>
      <c r="F14" s="21"/>
      <c r="G14" s="21">
        <f t="shared" si="0"/>
        <v>93824.987892708799</v>
      </c>
      <c r="H14" s="21">
        <f t="shared" si="0"/>
        <v>21517.920319360943</v>
      </c>
      <c r="I14" s="21"/>
      <c r="J14" s="21"/>
      <c r="K14" s="21"/>
      <c r="L14" s="21"/>
      <c r="M14" s="21">
        <f t="shared" si="0"/>
        <v>6116.5380474672311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0.21802441075110152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11.450042449787917</v>
      </c>
      <c r="C18" s="23"/>
      <c r="D18" s="23">
        <f t="shared" ref="D18:M18" si="1">D14*D16</f>
        <v>37.739199370452127</v>
      </c>
      <c r="E18" s="23">
        <f t="shared" si="1"/>
        <v>63.750984784995474</v>
      </c>
      <c r="F18" s="23"/>
      <c r="G18" s="23">
        <f t="shared" si="1"/>
        <v>25051.27176735325</v>
      </c>
      <c r="H18" s="23">
        <f t="shared" si="1"/>
        <v>5357.9621595208746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9.3909027045933225E-3</v>
      </c>
      <c r="H50" s="321">
        <f t="shared" si="2"/>
        <v>0</v>
      </c>
      <c r="I50" s="321">
        <f t="shared" si="2"/>
        <v>0</v>
      </c>
      <c r="J50" s="321">
        <f t="shared" si="2"/>
        <v>0</v>
      </c>
      <c r="K50" s="321">
        <f t="shared" si="2"/>
        <v>0</v>
      </c>
      <c r="L50" s="321">
        <f t="shared" si="2"/>
        <v>0</v>
      </c>
      <c r="M50" s="321">
        <f t="shared" si="2"/>
        <v>5.3336181676359132E-4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9.3909027045933225E-3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5.3336181676359132E-4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2608.5840846092565</v>
      </c>
      <c r="H54" s="21">
        <f t="shared" si="3"/>
        <v>0</v>
      </c>
      <c r="I54" s="21">
        <f t="shared" si="3"/>
        <v>0</v>
      </c>
      <c r="J54" s="21">
        <f t="shared" si="3"/>
        <v>0</v>
      </c>
      <c r="K54" s="21">
        <f t="shared" si="3"/>
        <v>0</v>
      </c>
      <c r="L54" s="21">
        <f t="shared" si="3"/>
        <v>0</v>
      </c>
      <c r="M54" s="21">
        <f t="shared" si="3"/>
        <v>148.15606021210871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0.21802441075110152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696.49195059067154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1702.985502542886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7020</v>
      </c>
      <c r="C8" s="570">
        <f>B101</f>
        <v>8258.8235294117658</v>
      </c>
      <c r="D8" s="1044"/>
      <c r="E8" s="1044">
        <f>E101</f>
        <v>0</v>
      </c>
      <c r="F8" s="1045"/>
      <c r="G8" s="571"/>
      <c r="H8" s="1044">
        <f>I101</f>
        <v>0</v>
      </c>
      <c r="I8" s="1044">
        <f>G101+F101</f>
        <v>0</v>
      </c>
      <c r="J8" s="1044">
        <f>H101+D101+C101</f>
        <v>0</v>
      </c>
      <c r="K8" s="1044"/>
      <c r="L8" s="1044"/>
      <c r="M8" s="1044"/>
      <c r="N8" s="572"/>
      <c r="O8" s="573">
        <f>C8*$C$12+D8*$D$12+E8*$E$12+F8*$F$12+G8*$G$12+H8*$H$12+I8*$I$12+J8*$J$12</f>
        <v>1668.2823529411769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8722.985502542886</v>
      </c>
      <c r="C10" s="583">
        <f t="shared" ref="C10:L10" si="0">SUM(C8:C9)</f>
        <v>8258.8235294117658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1668.2823529411769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10028.571428571429</v>
      </c>
      <c r="C17" s="595">
        <f>B102</f>
        <v>11798.319327731097</v>
      </c>
      <c r="D17" s="596"/>
      <c r="E17" s="596">
        <f>E102</f>
        <v>0</v>
      </c>
      <c r="F17" s="1050"/>
      <c r="G17" s="597"/>
      <c r="H17" s="595">
        <f>I102</f>
        <v>0</v>
      </c>
      <c r="I17" s="596">
        <f>G102+F102</f>
        <v>0</v>
      </c>
      <c r="J17" s="596">
        <f>H102+D102+C102</f>
        <v>0</v>
      </c>
      <c r="K17" s="596"/>
      <c r="L17" s="596"/>
      <c r="M17" s="596"/>
      <c r="N17" s="1051"/>
      <c r="O17" s="598">
        <f>C17*$C$22+E17*$E$22+H17*$H$22+I17*$I$22+J17*$J$22+D17*$D$22+F17*$F$22+G17*$G$22+K17*$K$22+L17*$L$22</f>
        <v>2383.2605042016817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10028.571428571429</v>
      </c>
      <c r="C20" s="582">
        <f>SUM(C17:C19)</f>
        <v>11798.319327731097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2383.2605042016817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11013</v>
      </c>
      <c r="C28" s="796">
        <v>2650</v>
      </c>
      <c r="D28" s="653" t="s">
        <v>881</v>
      </c>
      <c r="E28" s="652" t="s">
        <v>882</v>
      </c>
      <c r="F28" s="652" t="s">
        <v>883</v>
      </c>
      <c r="G28" s="652" t="s">
        <v>884</v>
      </c>
      <c r="H28" s="652" t="s">
        <v>885</v>
      </c>
      <c r="I28" s="652" t="s">
        <v>882</v>
      </c>
      <c r="J28" s="795">
        <v>41473</v>
      </c>
      <c r="K28" s="795">
        <v>41473</v>
      </c>
      <c r="L28" s="652" t="s">
        <v>886</v>
      </c>
      <c r="M28" s="652">
        <v>1560</v>
      </c>
      <c r="N28" s="652">
        <v>7020</v>
      </c>
      <c r="O28" s="652">
        <v>10028.571428571429</v>
      </c>
      <c r="P28" s="652">
        <v>20057.142857142859</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1560</v>
      </c>
      <c r="N58" s="610">
        <f>SUM(N28:N57)</f>
        <v>7020</v>
      </c>
      <c r="O58" s="610">
        <f t="shared" ref="O58:W58" si="2">SUM(O28:O57)</f>
        <v>10028.571428571429</v>
      </c>
      <c r="P58" s="610">
        <f t="shared" si="2"/>
        <v>20057.142857142859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1560</v>
      </c>
      <c r="N60" s="610">
        <f ca="1">SUMIF($Z$28:AD57,"tertiair",N28:N57)</f>
        <v>7020</v>
      </c>
      <c r="O60" s="610">
        <f ca="1">SUMIF($Z$28:AE57,"tertiair",O28:O57)</f>
        <v>10028.571428571429</v>
      </c>
      <c r="P60" s="610">
        <f ca="1">SUMIF($Z$28:AF57,"tertiair",P28:P57)</f>
        <v>20057.142857142859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8258.8235294117658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11798.319327731097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2019-08-12T08:31:09Z</dcterms:modified>
</cp:coreProperties>
</file>