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F19"/>
  <c r="E19"/>
  <c r="F89" i="14" s="1"/>
  <c r="F19" i="61" s="1"/>
  <c r="D19" i="18"/>
  <c r="C19"/>
  <c r="B19"/>
  <c r="N18"/>
  <c r="L88" i="14" s="1"/>
  <c r="M18" i="18"/>
  <c r="L18"/>
  <c r="L20" s="1"/>
  <c r="K18"/>
  <c r="J18"/>
  <c r="I18"/>
  <c r="H18"/>
  <c r="G18"/>
  <c r="H88" i="14" s="1"/>
  <c r="H18" i="61" s="1"/>
  <c r="F18" i="18"/>
  <c r="G88" i="14" s="1"/>
  <c r="G18" i="61" s="1"/>
  <c r="E18" i="18"/>
  <c r="D18"/>
  <c r="D20" s="1"/>
  <c r="C18"/>
  <c r="B18"/>
  <c r="L9"/>
  <c r="L10" s="1"/>
  <c r="K9"/>
  <c r="G9"/>
  <c r="G10" s="1"/>
  <c r="F9"/>
  <c r="F10" s="1"/>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C9" s="1"/>
  <c r="O89"/>
  <c r="N89"/>
  <c r="B9" s="1"/>
  <c r="M89"/>
  <c r="W61"/>
  <c r="V61"/>
  <c r="U61"/>
  <c r="T61"/>
  <c r="L6" i="17" s="1"/>
  <c r="S61" i="18"/>
  <c r="F6" i="17" s="1"/>
  <c r="R61" i="18"/>
  <c r="Q61"/>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88" i="14"/>
  <c r="D18" i="61" s="1"/>
  <c r="G12" i="18"/>
  <c r="F12"/>
  <c r="E12"/>
  <c r="D12"/>
  <c r="C12"/>
  <c r="K10"/>
  <c r="E77" i="14"/>
  <c r="E9" i="61" s="1"/>
  <c r="B8" i="18"/>
  <c r="B6"/>
  <c r="B74" i="14" s="1"/>
  <c r="B6" i="61" s="1"/>
  <c r="B5" i="18"/>
  <c r="B73" i="14" s="1"/>
  <c r="B5" i="61" s="1"/>
  <c r="B4" i="18"/>
  <c r="N6" i="17"/>
  <c r="C6"/>
  <c r="B19" i="6"/>
  <c r="B18"/>
  <c r="B5"/>
  <c r="B6"/>
  <c r="C64" i="14" s="1"/>
  <c r="P7" i="48"/>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0"/>
  <c r="P28"/>
  <c r="N89" i="14"/>
  <c r="N19" i="61" s="1"/>
  <c r="M89" i="14"/>
  <c r="M19" i="61" s="1"/>
  <c r="L89" i="14"/>
  <c r="L19" i="61" s="1"/>
  <c r="K89" i="14"/>
  <c r="K19" i="61" s="1"/>
  <c r="K20" s="1"/>
  <c r="H89" i="14"/>
  <c r="H19" i="61" s="1"/>
  <c r="E89" i="14"/>
  <c r="E19" i="61" s="1"/>
  <c r="D89" i="14"/>
  <c r="D19" i="61" s="1"/>
  <c r="M88" i="14"/>
  <c r="M18"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Q22" s="1"/>
  <c r="P19"/>
  <c r="P22" s="1"/>
  <c r="O19"/>
  <c r="M19"/>
  <c r="L19"/>
  <c r="L22" s="1"/>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R44"/>
  <c r="N26"/>
  <c r="I26"/>
  <c r="E25"/>
  <c r="D14" i="48" s="1"/>
  <c r="C25" i="14"/>
  <c r="B14" i="48" s="1"/>
  <c r="Q14" s="1"/>
  <c r="H26" i="14"/>
  <c r="G22"/>
  <c r="R12"/>
  <c r="D5" i="17"/>
  <c r="O9" i="18" l="1"/>
  <c r="O10" i="61"/>
  <c r="Q11" i="48"/>
  <c r="O25"/>
  <c r="O32"/>
  <c r="C98" i="18"/>
  <c r="F101" s="1"/>
  <c r="D13" i="15"/>
  <c r="K78" i="14"/>
  <c r="K8" i="61"/>
  <c r="K10" s="1"/>
  <c r="N78" i="14"/>
  <c r="N9" i="61"/>
  <c r="N10" s="1"/>
  <c r="L90" i="14"/>
  <c r="L18" i="61"/>
  <c r="L20" s="1"/>
  <c r="K22" i="14"/>
  <c r="P27" i="48"/>
  <c r="B10" i="18"/>
  <c r="M77" i="14"/>
  <c r="M9" i="61" s="1"/>
  <c r="H9" i="18"/>
  <c r="L78" i="14"/>
  <c r="L8" i="61"/>
  <c r="L10" s="1"/>
  <c r="E90" i="14"/>
  <c r="E18" i="61"/>
  <c r="E20" s="1"/>
  <c r="G10"/>
  <c r="B17" i="18"/>
  <c r="B20" s="1"/>
  <c r="F13" i="15"/>
  <c r="O22" i="14"/>
  <c r="G77"/>
  <c r="G9" i="61" s="1"/>
  <c r="H20"/>
  <c r="P25" i="48"/>
  <c r="I77" i="14"/>
  <c r="I9" i="61" s="1"/>
  <c r="L13" i="15"/>
  <c r="B13"/>
  <c r="H90" i="14"/>
  <c r="N13" i="15"/>
  <c r="F77" i="14"/>
  <c r="F9" i="61" s="1"/>
  <c r="E101" i="18"/>
  <c r="E8" s="1"/>
  <c r="G101"/>
  <c r="H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D101" i="18"/>
  <c r="J8" s="1"/>
  <c r="O8" s="1"/>
  <c r="O10" s="1"/>
  <c r="O90" i="14"/>
  <c r="O18" i="61"/>
  <c r="O20" s="1"/>
  <c r="I101" i="18"/>
  <c r="H8" s="1"/>
  <c r="I8"/>
  <c r="I76" i="14" s="1"/>
  <c r="I8" i="61" s="1"/>
  <c r="I10"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3" i="48" l="1"/>
  <c r="G32"/>
  <c r="G30"/>
  <c r="G29"/>
  <c r="G22"/>
  <c r="G24"/>
  <c r="G25"/>
  <c r="G26"/>
  <c r="B4"/>
  <c r="C11" i="14"/>
  <c r="N31" i="48"/>
  <c r="N30"/>
  <c r="N24"/>
  <c r="N32"/>
  <c r="N27"/>
  <c r="N28"/>
  <c r="N29"/>
  <c r="B10"/>
  <c r="C19" i="14"/>
  <c r="E31" i="48"/>
  <c r="E30"/>
  <c r="E28"/>
  <c r="E29"/>
  <c r="E24"/>
  <c r="E32"/>
  <c r="M29"/>
  <c r="M25"/>
  <c r="M32"/>
  <c r="M22"/>
  <c r="M24"/>
  <c r="M30"/>
  <c r="M26"/>
  <c r="M23"/>
  <c r="K5"/>
  <c r="L10" i="14"/>
  <c r="L16" s="1"/>
  <c r="L27" s="1"/>
  <c r="D30" i="48"/>
  <c r="D28"/>
  <c r="D24"/>
  <c r="D32"/>
  <c r="D29"/>
  <c r="D31"/>
  <c r="L29"/>
  <c r="L32"/>
  <c r="L31"/>
  <c r="L30"/>
  <c r="L27"/>
  <c r="L24"/>
  <c r="L22"/>
  <c r="L28"/>
  <c r="Q10" i="14"/>
  <c r="P5" i="48"/>
  <c r="P23" s="1"/>
  <c r="P11" i="14"/>
  <c r="O4" i="48"/>
  <c r="I29"/>
  <c r="I25"/>
  <c r="I31"/>
  <c r="I27"/>
  <c r="I30"/>
  <c r="I24"/>
  <c r="I22"/>
  <c r="I32"/>
  <c r="I26"/>
  <c r="I28"/>
  <c r="D4"/>
  <c r="D22" s="1"/>
  <c r="E11" i="14"/>
  <c r="H29" i="48"/>
  <c r="H28"/>
  <c r="H32"/>
  <c r="H24"/>
  <c r="H30"/>
  <c r="H26"/>
  <c r="H25"/>
  <c r="H22"/>
  <c r="H23"/>
  <c r="C4"/>
  <c r="D11" i="14"/>
  <c r="F30" i="48"/>
  <c r="F32"/>
  <c r="F24"/>
  <c r="F29"/>
  <c r="F28"/>
  <c r="F31"/>
  <c r="F27"/>
  <c r="K32"/>
  <c r="K31"/>
  <c r="K24"/>
  <c r="K27"/>
  <c r="K26"/>
  <c r="K25"/>
  <c r="K28"/>
  <c r="K22"/>
  <c r="K29"/>
  <c r="K30"/>
  <c r="C24" i="14"/>
  <c r="C26" s="1"/>
  <c r="B7" i="48"/>
  <c r="J30"/>
  <c r="J32"/>
  <c r="J24"/>
  <c r="J27"/>
  <c r="J29"/>
  <c r="J31"/>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P8" i="48"/>
  <c r="P26" s="1"/>
  <c r="O22"/>
  <c r="D9"/>
  <c r="D27" s="1"/>
  <c r="E20" i="14"/>
  <c r="E22" s="1"/>
  <c r="P10"/>
  <c r="O5" i="48"/>
  <c r="O23" s="1"/>
  <c r="B9"/>
  <c r="C20" i="14"/>
  <c r="C22" s="1"/>
  <c r="P22" i="48"/>
  <c r="H18" i="14"/>
  <c r="G13" i="48"/>
  <c r="G31" s="1"/>
  <c r="K23"/>
  <c r="K33" s="1"/>
  <c r="K15"/>
  <c r="L46" i="14"/>
  <c r="L61" s="1"/>
  <c r="L63" s="1"/>
  <c r="Q16"/>
  <c r="Q27" s="1"/>
  <c r="J7" i="48"/>
  <c r="J25" s="1"/>
  <c r="K24" i="14"/>
  <c r="K26" s="1"/>
  <c r="G11"/>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M10" i="48"/>
  <c r="M28" s="1"/>
  <c r="N19" i="14"/>
  <c r="N22" s="1"/>
  <c r="N27" s="1"/>
  <c r="P13"/>
  <c r="O8" i="48"/>
  <c r="O26" s="1"/>
  <c r="O33" s="1"/>
  <c r="J4"/>
  <c r="K11" i="14"/>
  <c r="O11"/>
  <c r="N4" i="48"/>
  <c r="N22" s="1"/>
  <c r="I23"/>
  <c r="I33" s="1"/>
  <c r="I15"/>
  <c r="P16" i="14"/>
  <c r="P27" s="1"/>
  <c r="H14" i="22"/>
  <c r="I20" i="14" s="1"/>
  <c r="I22" s="1"/>
  <c r="I27" s="1"/>
  <c r="P15" i="48"/>
  <c r="Q63" i="14"/>
  <c r="H19"/>
  <c r="G10" i="48"/>
  <c r="E7"/>
  <c r="E25" s="1"/>
  <c r="F24" i="14"/>
  <c r="F26" s="1"/>
  <c r="P33" i="48"/>
  <c r="H9"/>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K10"/>
  <c r="J5" i="48"/>
  <c r="J23" s="1"/>
  <c r="R19" i="14"/>
  <c r="E5" i="48"/>
  <c r="E23" s="1"/>
  <c r="F10" i="14"/>
  <c r="G28" i="48"/>
  <c r="Q10"/>
  <c r="E22"/>
  <c r="Q4"/>
  <c r="Q7"/>
  <c r="O15"/>
  <c r="N52" i="14"/>
  <c r="N61" s="1"/>
  <c r="R11"/>
  <c r="J22" i="48"/>
  <c r="M15"/>
  <c r="M27"/>
  <c r="M33" s="1"/>
  <c r="Q9"/>
  <c r="H15"/>
  <c r="H27"/>
  <c r="H33" s="1"/>
  <c r="N63" i="14"/>
  <c r="R24"/>
  <c r="R26" s="1"/>
  <c r="N18" i="16"/>
  <c r="E20" i="15"/>
  <c r="F40" i="14" s="1"/>
  <c r="F18" i="16"/>
  <c r="J18"/>
  <c r="E18"/>
  <c r="G18" i="22"/>
  <c r="H50" i="14" s="1"/>
  <c r="H52" s="1"/>
  <c r="H61" s="1"/>
  <c r="H18" i="22"/>
  <c r="I50" i="14" s="1"/>
  <c r="I52" s="1"/>
  <c r="I61" s="1"/>
  <c r="I63" s="1"/>
  <c r="H63" l="1"/>
  <c r="J8" i="48"/>
  <c r="K13" i="14"/>
  <c r="K16" s="1"/>
  <c r="K27" s="1"/>
  <c r="K63" s="1"/>
  <c r="G27" i="48"/>
  <c r="G33" s="1"/>
  <c r="G15"/>
  <c r="F13" i="14"/>
  <c r="F16" s="1"/>
  <c r="F27" s="1"/>
  <c r="E8" i="48"/>
  <c r="R20" i="14"/>
  <c r="R22" s="1"/>
  <c r="N8" i="48"/>
  <c r="N26" s="1"/>
  <c r="O13" i="14"/>
  <c r="F8" i="48"/>
  <c r="G13" i="14"/>
  <c r="E22" i="16"/>
  <c r="F43" i="14" s="1"/>
  <c r="F46" s="1"/>
  <c r="F61" s="1"/>
  <c r="F22" i="16"/>
  <c r="G43" i="14" s="1"/>
  <c r="N22" i="16"/>
  <c r="O43" i="14" s="1"/>
  <c r="J22" i="16"/>
  <c r="K43" i="14" s="1"/>
  <c r="K46" s="1"/>
  <c r="K61" s="1"/>
  <c r="F63" l="1"/>
  <c r="E26" i="48"/>
  <c r="E33" s="1"/>
  <c r="E15"/>
  <c r="R13" i="14"/>
  <c r="J26" i="48"/>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<sst xmlns="http://schemas.openxmlformats.org/spreadsheetml/2006/main" count="2437" uniqueCount="910">
  <si>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</si>
  <si>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</si>
  <si>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</si>
  <si>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</si>
  <si>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</si>
  <si>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</si>
  <si>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</si>
  <si>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</si>
  <si>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</si>
  <si>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</si>
  <si>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</si>
  <si>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</si>
  <si>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</si>
  <si>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</si>
  <si>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</si>
  <si>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</si>
  <si>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</si>
  <si>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</si>
  <si>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</si>
  <si>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</si>
  <si>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</si>
  <si>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</si>
  <si>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</si>
  <si>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</si>
  <si>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</si>
  <si>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</si>
  <si>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</si>
  <si>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</si>
  <si>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</si>
  <si>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</si>
  <si>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</si>
  <si>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</si>
  <si>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</si>
  <si>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</si>
  <si>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</si>
  <si>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</si>
  <si>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</si>
  <si>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</si>
  <si>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</si>
  <si>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</si>
  <si>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</si>
  <si>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</si>
  <si>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</si>
  <si>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</si>
  <si>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</si>
  <si>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</si>
  <si>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</si>
  <si>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</si>
  <si>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</si>
  <si>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</si>
  <si>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</si>
  <si>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</si>
  <si>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</si>
  <si>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</si>
  <si>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</si>
  <si>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</si>
  <si>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</si>
  <si>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</si>
  <si>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</si>
  <si>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</si>
  <si>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</si>
  <si>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</si>
  <si>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</si>
  <si>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</si>
  <si>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</si>
  <si>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</si>
  <si>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</si>
  <si>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</si>
  <si>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</si>
  <si>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</si>
  <si>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</si>
  <si>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</si>
  <si>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</si>
  <si>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</si>
  <si>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</si>
  <si>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</si>
  <si>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</si>
  <si>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</si>
  <si>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</si>
  <si>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</si>
  <si>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</si>
  <si>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</si>
  <si>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</si>
  <si>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</si>
  <si>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</si>
  <si>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</si>
  <si>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</si>
  <si>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</si>
  <si>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</si>
  <si>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</si>
  <si>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</si>
  <si>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</si>
  <si>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</si>
  <si>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</si>
  <si>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</si>
  <si>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</si>
  <si>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</si>
  <si>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</si>
  <si>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</si>
  <si>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</si>
  <si>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</si>
  <si>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</si>
  <si>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</si>
  <si>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</si>
  <si>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</si>
  <si>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</si>
  <si>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</si>
  <si>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</si>
  <si>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</si>
  <si>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</si>
  <si>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</si>
  <si>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</si>
  <si>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</si>
  <si>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</si>
  <si>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</si>
  <si>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</si>
  <si>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</si>
  <si>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</si>
  <si>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</si>
  <si>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</si>
  <si>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</si>
  <si>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</si>
  <si>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</si>
  <si>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</si>
  <si>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</si>
  <si>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</si>
  <si>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</si>
  <si>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</si>
  <si>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</si>
  <si>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</si>
  <si>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</si>
  <si>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</si>
  <si>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</si>
  <si>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</si>
  <si>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</si>
  <si>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</si>
  <si>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</si>
  <si>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</si>
  <si>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</si>
  <si>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</si>
  <si>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</si>
  <si>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</si>
  <si>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</si>
  <si>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</si>
  <si>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</si>
  <si>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</si>
  <si>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</si>
  <si>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</si>
  <si>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</si>
  <si>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</si>
  <si>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</si>
  <si>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</si>
  <si>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</si>
  <si>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</si>
  <si>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</si>
  <si>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</si>
  <si>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</si>
  <si>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</si>
  <si>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</si>
  <si>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</si>
  <si>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</si>
  <si>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</si>
  <si>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</si>
  <si>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</si>
  <si>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</si>
  <si>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</si>
  <si>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</si>
  <si>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</si>
  <si>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</si>
  <si>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</si>
  <si>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</si>
  <si>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</si>
  <si>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</si>
  <si>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</si>
  <si>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</si>
  <si>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</si>
  <si>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</si>
  <si>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</si>
  <si>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</si>
  <si>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</si>
  <si>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</si>
  <si>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</si>
  <si>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</si>
  <si>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</si>
  <si>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</si>
  <si>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</si>
  <si>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</si>
  <si>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</si>
  <si>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</si>
  <si>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</si>
  <si>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</si>
  <si>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</si>
  <si>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</si>
  <si>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</si>
  <si>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</si>
  <si>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</si>
  <si>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</si>
  <si>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</si>
  <si>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</si>
  <si>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</si>
  <si>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</si>
  <si>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</si>
  <si>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</si>
  <si>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</si>
  <si>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</si>
  <si>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</si>
  <si>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</si>
  <si>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</si>
  <si>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</si>
  <si>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</si>
  <si>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</si>
  <si>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</si>
  <si>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</si>
  <si>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</si>
  <si>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</si>
  <si>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</si>
  <si>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</si>
  <si>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</si>
  <si>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</si>
  <si>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</si>
  <si>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</si>
  <si>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</si>
  <si>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</si>
  <si>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</si>
  <si>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</si>
  <si>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</si>
  <si>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</si>
  <si>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</si>
  <si>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</si>
  <si>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</si>
  <si>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</si>
  <si>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</si>
  <si>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</si>
  <si>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</si>
  <si>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</si>
  <si>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</si>
  <si>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</si>
  <si>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</si>
  <si>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</si>
  <si>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</si>
  <si>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</si>
  <si>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</si>
  <si>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</si>
  <si>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</si>
  <si>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</si>
  <si>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</si>
  <si>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</si>
  <si>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</si>
  <si>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</si>
  <si>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</si>
  <si>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</si>
  <si>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</si>
  <si>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</si>
  <si>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</si>
  <si>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</si>
  <si>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</si>
  <si>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</si>
  <si>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</si>
  <si>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</si>
  <si>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</si>
  <si>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</si>
  <si>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</si>
  <si>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</si>
  <si>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</si>
  <si>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</si>
  <si>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</si>
  <si>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</si>
  <si>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</si>
  <si>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</si>
  <si>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</si>
  <si>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</si>
  <si>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</si>
  <si>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</si>
  <si>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</si>
  <si>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</si>
  <si>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</si>
  <si>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</si>
  <si>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</si>
  <si>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</si>
  <si>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</si>
  <si>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</si>
  <si>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</si>
  <si>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</si>
  <si>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</si>
  <si>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</si>
  <si>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</si>
  <si>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</si>
  <si>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</si>
  <si>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</si>
  <si>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</si>
  <si>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</si>
  <si>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</si>
  <si>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</si>
  <si>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</si>
  <si>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</si>
  <si>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</si>
  <si>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</si>
  <si>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</si>
  <si>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</si>
  <si>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</si>
  <si>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</si>
  <si>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</si>
  <si>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</si>
  <si>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</si>
  <si>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</si>
  <si>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</si>
  <si>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</si>
  <si>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</si>
  <si>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</si>
  <si>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</si>
  <si>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</si>
  <si>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</si>
  <si>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</si>
  <si>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</si>
  <si>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</si>
  <si>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</si>
  <si>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</si>
  <si>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</si>
  <si>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</si>
  <si>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</si>
  <si>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</si>
  <si>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</si>
  <si>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</si>
  <si>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</si>
  <si>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</si>
  <si>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</si>
  <si>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</si>
  <si>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</si>
  <si>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</si>
  <si>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</si>
  <si>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</si>
  <si>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</si>
  <si>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</si>
  <si>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</si>
  <si>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</si>
  <si>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</si>
  <si>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</si>
  <si>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</si>
  <si>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</si>
  <si>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</si>
  <si>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</si>
  <si>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</si>
  <si>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</si>
  <si>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</si>
  <si>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</si>
  <si>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</si>
  <si>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</si>
  <si>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</si>
  <si>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</si>
  <si>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</si>
  <si>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</si>
  <si>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</si>
  <si>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</si>
  <si>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</si>
  <si>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</si>
  <si>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</si>
  <si>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</si>
  <si>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</si>
  <si>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</si>
  <si>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</si>
  <si>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</si>
  <si>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</si>
  <si>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</si>
  <si>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</si>
  <si>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</si>
  <si>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</si>
  <si>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</si>
  <si>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</si>
  <si>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</si>
  <si>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</si>
  <si>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</si>
  <si>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</si>
  <si>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</si>
  <si>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</si>
  <si>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</si>
  <si>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</si>
  <si>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</si>
  <si>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</si>
  <si>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</si>
  <si>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</si>
  <si>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</si>
  <si>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</si>
  <si>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</si>
  <si>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</si>
  <si>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</si>
  <si>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</si>
  <si>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</si>
  <si>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</si>
  <si>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</si>
  <si>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</si>
  <si>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</si>
  <si>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</si>
  <si>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</si>
  <si>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</si>
  <si>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</si>
  <si>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</si>
  <si>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</si>
  <si>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</si>
  <si>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</si>
  <si>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</si>
  <si>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</si>
  <si>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</si>
  <si>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</si>
  <si>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</si>
  <si>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</si>
  <si>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</si>
  <si>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</si>
  <si>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</si>
  <si>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</si>
  <si>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</si>
  <si>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</si>
  <si>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</si>
  <si>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</si>
  <si>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</si>
  <si>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</si>
  <si>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</si>
  <si>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</si>
  <si>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</si>
  <si>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</si>
  <si>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</si>
  <si>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</si>
  <si>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</si>
  <si>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</si>
  <si>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</si>
  <si>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</si>
  <si>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</si>
  <si>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</si>
  <si>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</si>
  <si>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</si>
  <si>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</si>
  <si>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</si>
  <si>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</si>
  <si>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</si>
  <si>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</si>
  <si>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</si>
  <si>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</si>
  <si>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</si>
  <si>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</si>
  <si>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</si>
  <si>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</si>
  <si>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</si>
  <si>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</si>
  <si>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</si>
  <si>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</si>
  <si>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</si>
  <si>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</si>
  <si>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</si>
  <si>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</si>
  <si>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</si>
  <si>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</si>
  <si>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</si>
  <si>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</si>
  <si>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</si>
  <si>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</si>
  <si>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</si>
  <si>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</si>
  <si>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</si>
  <si>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</si>
  <si>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</si>
  <si>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</si>
  <si>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</si>
  <si>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</si>
  <si>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</si>
  <si>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</si>
  <si>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</si>
  <si>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</si>
  <si>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</si>
  <si>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</si>
  <si>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</si>
  <si>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</si>
  <si>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</si>
  <si>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</si>
  <si>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</si>
  <si>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</si>
  <si>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</si>
  <si>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</si>
  <si>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</si>
  <si>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</si>
  <si>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</si>
  <si>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</si>
  <si>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</si>
  <si>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</si>
  <si>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</si>
  <si>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</si>
  <si>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</si>
  <si>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</si>
  <si>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</si>
  <si>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</si>
  <si>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</si>
  <si>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</si>
  <si>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</si>
  <si>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</si>
  <si>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</si>
  <si>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</si>
  <si>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</si>
  <si>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</si>
  <si>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</si>
  <si>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</si>
  <si>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</si>
  <si>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</si>
  <si>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</si>
  <si>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</si>
  <si>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</si>
  <si>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</si>
  <si>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</si>
  <si>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</si>
  <si>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</si>
  <si>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</si>
  <si>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</si>
  <si>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</si>
  <si>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</si>
  <si>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</si>
  <si>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</si>
  <si>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</si>
  <si>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</si>
  <si>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</si>
  <si>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</si>
  <si>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</si>
  <si>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</si>
  <si>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</si>
  <si>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</si>
  <si>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</si>
  <si>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</si>
  <si>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</si>
  <si>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</si>
  <si>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</si>
  <si>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</si>
  <si>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</si>
  <si>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</si>
  <si>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</si>
  <si>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</si>
  <si>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</si>
  <si>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</si>
  <si>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</si>
  <si>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</si>
  <si>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</si>
  <si>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</si>
  <si>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</si>
  <si>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</si>
  <si>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</si>
  <si>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</si>
  <si>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</si>
  <si>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</si>
  <si>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</si>
  <si>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</si>
  <si>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</si>
  <si>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</si>
  <si>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</si>
  <si>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</si>
  <si>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</si>
  <si>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</si>
  <si>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</si>
  <si>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</si>
  <si>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</si>
  <si>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</si>
  <si>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</si>
  <si>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</si>
  <si>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</si>
  <si>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</si>
  <si>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</si>
  <si>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</si>
  <si>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</si>
  <si>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</si>
  <si>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</si>
  <si>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</si>
  <si>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</si>
  <si>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</si>
  <si>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</si>
  <si>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</si>
  <si>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</si>
  <si>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</si>
  <si>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</si>
  <si>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</si>
  <si>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</si>
  <si>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</si>
  <si>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</si>
  <si>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</si>
  <si>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</si>
  <si>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</si>
  <si>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</si>
  <si>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</si>
  <si>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</si>
  <si>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</si>
  <si>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</si>
  <si>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</si>
  <si>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</si>
  <si>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</si>
  <si>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</si>
  <si>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</si>
  <si>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</si>
  <si>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</si>
  <si>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</si>
  <si>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</si>
  <si>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</si>
  <si>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</si>
  <si>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</si>
  <si>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</si>
  <si>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</si>
  <si>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</si>
  <si>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</si>
  <si>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</si>
  <si>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</si>
  <si>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</si>
  <si>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</si>
  <si>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</si>
  <si>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</si>
  <si>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</si>
  <si>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</si>
  <si>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</si>
  <si>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</si>
  <si>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</si>
  <si>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</si>
  <si>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</si>
  <si>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</si>
  <si>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</si>
  <si>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</si>
  <si>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</si>
  <si>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</si>
  <si>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</si>
  <si>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</si>
  <si>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</si>
  <si>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</si>
  <si>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</si>
  <si>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</si>
  <si>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</si>
  <si>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</si>
  <si>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</si>
  <si>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</si>
  <si>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</si>
  <si>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</si>
  <si>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</si>
  <si>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</si>
  <si>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</si>
  <si>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</si>
  <si>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</si>
  <si>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</si>
  <si>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</si>
  <si>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</si>
  <si>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</si>
  <si>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</si>
  <si>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</si>
  <si>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</si>
  <si>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</si>
  <si>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</si>
  <si>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</si>
  <si>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</si>
  <si>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</si>
  <si>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</si>
  <si>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</si>
  <si>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</si>
  <si>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</si>
  <si>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</si>
  <si>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</si>
  <si>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</si>
  <si>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</si>
  <si>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</si>
  <si>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</si>
  <si>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</si>
  <si>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</si>
  <si>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</si>
  <si>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</si>
  <si>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</si>
  <si>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</si>
  <si>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</si>
  <si>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</si>
  <si>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</si>
  <si>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</si>
  <si>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</si>
  <si>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</si>
  <si>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</si>
  <si>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</si>
  <si>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</si>
  <si>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</si>
  <si>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</si>
  <si>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</si>
  <si>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</si>
  <si>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</si>
  <si>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</si>
  <si>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</si>
  <si>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</si>
  <si>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</si>
  <si>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</si>
  <si>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</si>
  <si>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</si>
  <si>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</si>
  <si>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</si>
  <si>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</si>
  <si>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</si>
  <si>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</si>
  <si>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</si>
  <si>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</si>
  <si>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</si>
  <si>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</si>
  <si>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</si>
  <si>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</si>
  <si>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</si>
  <si>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</si>
  <si>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</si>
  <si>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</si>
  <si>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</si>
  <si>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</si>
  <si>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</si>
  <si>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</si>
  <si>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</si>
  <si>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</si>
  <si>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</si>
  <si>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</si>
  <si>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</si>
  <si>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</si>
  <si>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</si>
  <si>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</si>
  <si>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</si>
  <si>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</si>
  <si>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</si>
  <si>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</si>
  <si>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</si>
  <si>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</si>
  <si>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</si>
  <si>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</si>
  <si>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</si>
  <si>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</si>
  <si>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</si>
  <si>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</si>
  <si>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</si>
  <si>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</si>
  <si>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</si>
  <si>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</si>
  <si>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</si>
  <si>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</si>
  <si>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</si>
  <si>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</si>
  <si>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</si>
  <si>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</si>
  <si>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</si>
  <si>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</si>
  <si>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</si>
  <si>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</si>
  <si>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</si>
  <si>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</si>
  <si>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</si>
  <si>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</si>
  <si>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</si>
  <si>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</si>
  <si>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</si>
  <si>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</si>
  <si>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</si>
  <si>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</si>
  <si>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</si>
  <si>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</si>
  <si>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</si>
  <si>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</si>
  <si>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</si>
  <si>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</si>
  <si>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</si>
  <si>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</si>
  <si>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</si>
  <si>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</si>
  <si>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</si>
  <si>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</si>
  <si>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</si>
  <si>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</si>
  <si>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</si>
  <si>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</si>
  <si>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</si>
  <si>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</si>
  <si>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</si>
  <si>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</si>
  <si>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</si>
  <si>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</si>
  <si>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</si>
  <si>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</si>
  <si>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</si>
  <si>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</si>
  <si>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</si>
  <si>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</si>
  <si>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</si>
  <si>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</si>
  <si>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</si>
  <si>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</si>
  <si>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</si>
  <si>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</si>
  <si>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</si>
  <si>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</si>
  <si>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</si>
  <si>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</si>
  <si>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</si>
  <si>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</si>
  <si>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</si>
  <si>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</si>
  <si>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</si>
  <si>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</si>
  <si>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</si>
  <si>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</si>
  <si>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</si>
  <si>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</si>
  <si>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</si>
  <si>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</si>
  <si>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</si>
  <si>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</si>
  <si>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</si>
  <si>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</si>
  <si>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</si>
  <si>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</si>
  <si>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</si>
  <si>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</si>
  <si>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</si>
  <si>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</si>
  <si>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</si>
  <si>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</si>
  <si>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</si>
  <si>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</si>
  <si>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</si>
  <si>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</si>
  <si>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</si>
  <si>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</si>
  <si>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</si>
  <si>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</si>
  <si>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</si>
  <si>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</si>
  <si>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</si>
  <si>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</si>
  <si>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</si>
  <si>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</si>
  <si>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</si>
  <si>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</si>
  <si>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</si>
  <si>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</si>
  <si>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</si>
  <si>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</si>
  <si>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</si>
  <si>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</si>
  <si>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</si>
  <si>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</si>
  <si>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</si>
  <si>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</si>
  <si>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</si>
  <si>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</si>
  <si>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</si>
  <si>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</si>
  <si>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</si>
  <si>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</si>
  <si>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</si>
  <si>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</si>
  <si>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</si>
  <si>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</si>
  <si>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</si>
  <si>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</si>
  <si>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</si>
  <si>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</si>
  <si>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</si>
  <si>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</si>
  <si>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</si>
  <si>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</si>
  <si>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</si>
  <si>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</si>
  <si>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</si>
  <si>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</si>
  <si>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</si>
  <si>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</si>
  <si>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</si>
  <si>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</si>
  <si>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</si>
  <si>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</si>
  <si>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</si>
  <si>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</si>
  <si>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</si>
  <si>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</si>
  <si>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</si>
  <si>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</si>
  <si>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</si>
  <si>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</si>
  <si>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</si>
  <si>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</si>
  <si>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11009</t>
  </si>
  <si>
    <t>BRECHT</t>
  </si>
  <si>
    <t>Eandis (januari 2018); Infrax (juni 2018)</t>
  </si>
  <si>
    <t>MOW (september 2017)</t>
  </si>
  <si>
    <t>referentietaak LNE (2017); Jaarverslag De Lijn (2016)</t>
  </si>
  <si>
    <t>VEA (april 2018)</t>
  </si>
  <si>
    <t>VEA (januari 2017)</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</si>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</sst>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234503.73401802476</c:v>
                </c:pt>
                <c:pt idx="1">
                  <c:v>82185.41771555609</c:v>
                </c:pt>
                <c:pt idx="2">
                  <c:v>1378.759</c:v>
                </c:pt>
                <c:pt idx="3">
                  <c:v>32371.494468710185</c:v>
                </c:pt>
                <c:pt idx="4">
                  <c:v>63633.378454865742</c:v>
                </c:pt>
                <c:pt idx="5">
                  <c:v>367626.04594946536</c:v>
                </c:pt>
                <c:pt idx="6">
                  <c:v>3476.7400224687576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717824"/>
        <c:axId val="176719360"/>
      </c:barChart>
      <c:catAx>
        <c:axId val="176717824"/>
        <c:scaling>
          <c:orientation val="minMax"/>
        </c:scaling>
        <c:axPos val="b"/>
        <c:numFmt formatCode="General" sourceLinked="0"/>
        <c:tickLblPos val="nextTo"/>
        <c:crossAx val="176719360"/>
        <c:crosses val="autoZero"/>
        <c:auto val="1"/>
        <c:lblAlgn val="ctr"/>
        <c:lblOffset val="100"/>
      </c:catAx>
      <c:valAx>
        <c:axId val="176719360"/>
        <c:scaling>
          <c:orientation val="minMax"/>
        </c:scaling>
        <c:axPos val="l"/>
        <c:majorGridlines>
          <c:spPr>
            <a:ln>
              <a:noFill/>
            </a:ln>
          </c:spPr>
        </c:majorGridlines>
        <c:numFmt formatCode="#,##0" sourceLinked="1"/>
        <c:tickLblPos val="nextTo"/>
        <c:crossAx val="17671782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234503.73401802476</c:v>
                </c:pt>
                <c:pt idx="1">
                  <c:v>82185.41771555609</c:v>
                </c:pt>
                <c:pt idx="2">
                  <c:v>1378.759</c:v>
                </c:pt>
                <c:pt idx="3">
                  <c:v>32371.494468710185</c:v>
                </c:pt>
                <c:pt idx="4">
                  <c:v>63633.378454865742</c:v>
                </c:pt>
                <c:pt idx="5">
                  <c:v>367626.04594946536</c:v>
                </c:pt>
                <c:pt idx="6">
                  <c:v>3476.7400224687576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37281.593958321952</c:v>
                </c:pt>
                <c:pt idx="2">
                  <c:v>14979.427801839198</c:v>
                </c:pt>
                <c:pt idx="3">
                  <c:v>217.62130466893026</c:v>
                </c:pt>
                <c:pt idx="4">
                  <c:v>7936.6800176882462</c:v>
                </c:pt>
                <c:pt idx="5">
                  <c:v>11039.942068442058</c:v>
                </c:pt>
                <c:pt idx="6">
                  <c:v>92183.357132735269</c:v>
                </c:pt>
                <c:pt idx="7">
                  <c:v>878.40032528812503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462144"/>
        <c:axId val="183488512"/>
      </c:barChart>
      <c:catAx>
        <c:axId val="183462144"/>
        <c:scaling>
          <c:orientation val="minMax"/>
        </c:scaling>
        <c:axPos val="b"/>
        <c:numFmt formatCode="General" sourceLinked="0"/>
        <c:tickLblPos val="nextTo"/>
        <c:crossAx val="183488512"/>
        <c:crosses val="autoZero"/>
        <c:auto val="1"/>
        <c:lblAlgn val="ctr"/>
        <c:lblOffset val="100"/>
      </c:catAx>
      <c:valAx>
        <c:axId val="183488512"/>
        <c:scaling>
          <c:orientation val="minMax"/>
        </c:scaling>
        <c:axPos val="l"/>
        <c:majorGridlines>
          <c:spPr>
            <a:ln>
              <a:noFill/>
            </a:ln>
          </c:spPr>
        </c:majorGridlines>
        <c:numFmt formatCode="#,##0" sourceLinked="1"/>
        <c:tickLblPos val="nextTo"/>
        <c:crossAx val="1834621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37281.593958321952</c:v>
                </c:pt>
                <c:pt idx="2">
                  <c:v>14979.427801839198</c:v>
                </c:pt>
                <c:pt idx="3">
                  <c:v>217.62130466893026</c:v>
                </c:pt>
                <c:pt idx="4">
                  <c:v>7936.6800176882462</c:v>
                </c:pt>
                <c:pt idx="5">
                  <c:v>11039.942068442058</c:v>
                </c:pt>
                <c:pt idx="6">
                  <c:v>92183.357132735269</c:v>
                </c:pt>
                <c:pt idx="7">
                  <c:v>878.40032528812503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11009</v>
      </c>
      <c r="B6" s="415"/>
      <c r="C6" s="416"/>
    </row>
    <row r="7" spans="1:7" s="413" customFormat="1" ht="15.75" customHeight="1">
      <c r="A7" s="417" t="str">
        <f>txtMunicipality</f>
        <v>BRECHT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0.15783853789453434</v>
      </c>
      <c r="C17" s="524">
        <f ca="1">'EF ele_warmte'!B22</f>
        <v>0.2337675965707724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0.15783853789453434</v>
      </c>
      <c r="C29" s="525">
        <f ca="1">'EF ele_warmte'!B22</f>
        <v>0.2337675965707724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11408</v>
      </c>
      <c r="C9" s="342">
        <v>12313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4470.49</v>
      </c>
    </row>
    <row r="15" spans="1:6">
      <c r="A15" s="348" t="s">
        <v>184</v>
      </c>
      <c r="B15" s="334">
        <v>7685</v>
      </c>
    </row>
    <row r="16" spans="1:6">
      <c r="A16" s="348" t="s">
        <v>6</v>
      </c>
      <c r="B16" s="334">
        <v>4726</v>
      </c>
    </row>
    <row r="17" spans="1:6">
      <c r="A17" s="348" t="s">
        <v>7</v>
      </c>
      <c r="B17" s="334">
        <v>866</v>
      </c>
    </row>
    <row r="18" spans="1:6">
      <c r="A18" s="348" t="s">
        <v>8</v>
      </c>
      <c r="B18" s="334">
        <v>2911</v>
      </c>
    </row>
    <row r="19" spans="1:6">
      <c r="A19" s="348" t="s">
        <v>9</v>
      </c>
      <c r="B19" s="334">
        <v>2823</v>
      </c>
    </row>
    <row r="20" spans="1:6">
      <c r="A20" s="348" t="s">
        <v>10</v>
      </c>
      <c r="B20" s="334">
        <v>1594</v>
      </c>
    </row>
    <row r="21" spans="1:6">
      <c r="A21" s="348" t="s">
        <v>11</v>
      </c>
      <c r="B21" s="334">
        <v>9837</v>
      </c>
    </row>
    <row r="22" spans="1:6">
      <c r="A22" s="348" t="s">
        <v>12</v>
      </c>
      <c r="B22" s="334">
        <v>37563</v>
      </c>
    </row>
    <row r="23" spans="1:6">
      <c r="A23" s="348" t="s">
        <v>13</v>
      </c>
      <c r="B23" s="334">
        <v>800</v>
      </c>
    </row>
    <row r="24" spans="1:6">
      <c r="A24" s="348" t="s">
        <v>14</v>
      </c>
      <c r="B24" s="334">
        <v>23</v>
      </c>
    </row>
    <row r="25" spans="1:6">
      <c r="A25" s="348" t="s">
        <v>15</v>
      </c>
      <c r="B25" s="334">
        <v>2770</v>
      </c>
    </row>
    <row r="26" spans="1:6">
      <c r="A26" s="348" t="s">
        <v>16</v>
      </c>
      <c r="B26" s="334">
        <v>60</v>
      </c>
    </row>
    <row r="27" spans="1:6">
      <c r="A27" s="348" t="s">
        <v>17</v>
      </c>
      <c r="B27" s="334">
        <v>2628</v>
      </c>
    </row>
    <row r="28" spans="1:6" s="356" customFormat="1">
      <c r="A28" s="355" t="s">
        <v>18</v>
      </c>
      <c r="B28" s="355">
        <v>581299</v>
      </c>
    </row>
    <row r="29" spans="1:6">
      <c r="A29" s="355" t="s">
        <v>744</v>
      </c>
      <c r="B29" s="355">
        <v>588</v>
      </c>
      <c r="C29" s="356"/>
      <c r="D29" s="356"/>
      <c r="E29" s="356"/>
      <c r="F29" s="356"/>
    </row>
    <row r="30" spans="1:6">
      <c r="A30" s="341" t="s">
        <v>745</v>
      </c>
      <c r="B30" s="341">
        <v>163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51607</v>
      </c>
    </row>
    <row r="36" spans="1:6">
      <c r="A36" s="348" t="s">
        <v>25</v>
      </c>
      <c r="B36" s="348" t="s">
        <v>27</v>
      </c>
      <c r="C36" s="334">
        <v>0</v>
      </c>
      <c r="D36" s="334">
        <v>0</v>
      </c>
      <c r="E36" s="334">
        <v>4</v>
      </c>
      <c r="F36" s="334">
        <v>45763.486953040003</v>
      </c>
    </row>
    <row r="37" spans="1:6">
      <c r="A37" s="348" t="s">
        <v>25</v>
      </c>
      <c r="B37" s="348" t="s">
        <v>28</v>
      </c>
      <c r="C37" s="334">
        <v>0</v>
      </c>
      <c r="D37" s="334">
        <v>0</v>
      </c>
      <c r="E37" s="334">
        <v>0</v>
      </c>
      <c r="F37" s="334">
        <v>0</v>
      </c>
    </row>
    <row r="38" spans="1:6">
      <c r="A38" s="348" t="s">
        <v>25</v>
      </c>
      <c r="B38" s="348" t="s">
        <v>29</v>
      </c>
      <c r="C38" s="334">
        <v>2</v>
      </c>
      <c r="D38" s="334">
        <v>43912.697825169198</v>
      </c>
      <c r="E38" s="334">
        <v>1</v>
      </c>
      <c r="F38" s="334">
        <v>42551.925002370001</v>
      </c>
    </row>
    <row r="39" spans="1:6">
      <c r="A39" s="348" t="s">
        <v>30</v>
      </c>
      <c r="B39" s="348" t="s">
        <v>31</v>
      </c>
      <c r="C39" s="334">
        <v>7687</v>
      </c>
      <c r="D39" s="334">
        <v>144090835.06</v>
      </c>
      <c r="E39" s="334">
        <v>10981</v>
      </c>
      <c r="F39" s="334">
        <v>52186953.537583597</v>
      </c>
    </row>
    <row r="40" spans="1:6">
      <c r="A40" s="348" t="s">
        <v>30</v>
      </c>
      <c r="B40" s="348" t="s">
        <v>29</v>
      </c>
      <c r="C40" s="334">
        <v>0</v>
      </c>
      <c r="D40" s="334">
        <v>0</v>
      </c>
      <c r="E40" s="334">
        <v>0</v>
      </c>
      <c r="F40" s="334">
        <v>0</v>
      </c>
    </row>
    <row r="41" spans="1:6">
      <c r="A41" s="348" t="s">
        <v>32</v>
      </c>
      <c r="B41" s="348" t="s">
        <v>33</v>
      </c>
      <c r="C41" s="334">
        <v>133</v>
      </c>
      <c r="D41" s="334">
        <v>3196485.2532739402</v>
      </c>
      <c r="E41" s="334">
        <v>288</v>
      </c>
      <c r="F41" s="334">
        <v>2915333.9252782399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437049.34136450302</v>
      </c>
      <c r="E44" s="334">
        <v>34</v>
      </c>
      <c r="F44" s="334">
        <v>1448623.0379498601</v>
      </c>
    </row>
    <row r="45" spans="1:6">
      <c r="A45" s="348" t="s">
        <v>32</v>
      </c>
      <c r="B45" s="348" t="s">
        <v>37</v>
      </c>
      <c r="C45" s="334">
        <v>0</v>
      </c>
      <c r="D45" s="334">
        <v>0</v>
      </c>
      <c r="E45" s="334">
        <v>14</v>
      </c>
      <c r="F45" s="334">
        <v>2069409.789726</v>
      </c>
    </row>
    <row r="46" spans="1:6">
      <c r="A46" s="348" t="s">
        <v>32</v>
      </c>
      <c r="B46" s="348" t="s">
        <v>38</v>
      </c>
      <c r="C46" s="334">
        <v>0</v>
      </c>
      <c r="D46" s="334">
        <v>0</v>
      </c>
      <c r="E46" s="334">
        <v>0</v>
      </c>
      <c r="F46" s="334">
        <v>0</v>
      </c>
    </row>
    <row r="47" spans="1:6">
      <c r="A47" s="348" t="s">
        <v>32</v>
      </c>
      <c r="B47" s="348" t="s">
        <v>39</v>
      </c>
      <c r="C47" s="334">
        <v>3</v>
      </c>
      <c r="D47" s="334">
        <v>93964.032256941005</v>
      </c>
      <c r="E47" s="334">
        <v>3</v>
      </c>
      <c r="F47" s="334">
        <v>19017.509728229499</v>
      </c>
    </row>
    <row r="48" spans="1:6">
      <c r="A48" s="348" t="s">
        <v>32</v>
      </c>
      <c r="B48" s="348" t="s">
        <v>29</v>
      </c>
      <c r="C48" s="334">
        <v>29</v>
      </c>
      <c r="D48" s="334">
        <v>20293990.277986601</v>
      </c>
      <c r="E48" s="334">
        <v>33</v>
      </c>
      <c r="F48" s="334">
        <v>19141523.614241499</v>
      </c>
    </row>
    <row r="49" spans="1:6">
      <c r="A49" s="348" t="s">
        <v>32</v>
      </c>
      <c r="B49" s="348" t="s">
        <v>40</v>
      </c>
      <c r="C49" s="334">
        <v>0</v>
      </c>
      <c r="D49" s="334">
        <v>0</v>
      </c>
      <c r="E49" s="334">
        <v>0</v>
      </c>
      <c r="F49" s="334">
        <v>0</v>
      </c>
    </row>
    <row r="50" spans="1:6">
      <c r="A50" s="348" t="s">
        <v>32</v>
      </c>
      <c r="B50" s="348" t="s">
        <v>41</v>
      </c>
      <c r="C50" s="334">
        <v>10</v>
      </c>
      <c r="D50" s="334">
        <v>1035084.75071437</v>
      </c>
      <c r="E50" s="334">
        <v>14</v>
      </c>
      <c r="F50" s="334">
        <v>543072.70841909898</v>
      </c>
    </row>
    <row r="51" spans="1:6">
      <c r="A51" s="348" t="s">
        <v>42</v>
      </c>
      <c r="B51" s="348" t="s">
        <v>43</v>
      </c>
      <c r="C51" s="334">
        <v>14</v>
      </c>
      <c r="D51" s="334">
        <v>297294.655170371</v>
      </c>
      <c r="E51" s="334">
        <v>200</v>
      </c>
      <c r="F51" s="334">
        <v>4523915.8925641496</v>
      </c>
    </row>
    <row r="52" spans="1:6">
      <c r="A52" s="348" t="s">
        <v>42</v>
      </c>
      <c r="B52" s="348" t="s">
        <v>29</v>
      </c>
      <c r="C52" s="334">
        <v>9</v>
      </c>
      <c r="D52" s="334">
        <v>11857401.6584158</v>
      </c>
      <c r="E52" s="334">
        <v>9</v>
      </c>
      <c r="F52" s="334">
        <v>107314.94939092</v>
      </c>
    </row>
    <row r="53" spans="1:6">
      <c r="A53" s="348" t="s">
        <v>44</v>
      </c>
      <c r="B53" s="348" t="s">
        <v>45</v>
      </c>
      <c r="C53" s="334">
        <v>186</v>
      </c>
      <c r="D53" s="334">
        <v>3333111.9490522398</v>
      </c>
      <c r="E53" s="334">
        <v>427</v>
      </c>
      <c r="F53" s="334">
        <v>1713619.1528888401</v>
      </c>
    </row>
    <row r="54" spans="1:6">
      <c r="A54" s="348" t="s">
        <v>46</v>
      </c>
      <c r="B54" s="348" t="s">
        <v>47</v>
      </c>
      <c r="C54" s="334">
        <v>0</v>
      </c>
      <c r="D54" s="334">
        <v>0</v>
      </c>
      <c r="E54" s="334">
        <v>1</v>
      </c>
      <c r="F54" s="334">
        <v>1378759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2072168.80643008</v>
      </c>
      <c r="E57" s="334">
        <v>161</v>
      </c>
      <c r="F57" s="334">
        <v>2447518.0124853398</v>
      </c>
    </row>
    <row r="58" spans="1:6">
      <c r="A58" s="348" t="s">
        <v>49</v>
      </c>
      <c r="B58" s="348" t="s">
        <v>51</v>
      </c>
      <c r="C58" s="334">
        <v>32</v>
      </c>
      <c r="D58" s="334">
        <v>1933611.05921035</v>
      </c>
      <c r="E58" s="334">
        <v>90</v>
      </c>
      <c r="F58" s="334">
        <v>705035.70660398796</v>
      </c>
    </row>
    <row r="59" spans="1:6">
      <c r="A59" s="348" t="s">
        <v>49</v>
      </c>
      <c r="B59" s="348" t="s">
        <v>52</v>
      </c>
      <c r="C59" s="334">
        <v>151</v>
      </c>
      <c r="D59" s="334">
        <v>5858962.8878299901</v>
      </c>
      <c r="E59" s="334">
        <v>304</v>
      </c>
      <c r="F59" s="334">
        <v>8323376.3215963496</v>
      </c>
    </row>
    <row r="60" spans="1:6">
      <c r="A60" s="348" t="s">
        <v>49</v>
      </c>
      <c r="B60" s="348" t="s">
        <v>53</v>
      </c>
      <c r="C60" s="334">
        <v>78</v>
      </c>
      <c r="D60" s="334">
        <v>10063498.8020292</v>
      </c>
      <c r="E60" s="334">
        <v>115</v>
      </c>
      <c r="F60" s="334">
        <v>4091791.28108251</v>
      </c>
    </row>
    <row r="61" spans="1:6">
      <c r="A61" s="348" t="s">
        <v>49</v>
      </c>
      <c r="B61" s="348" t="s">
        <v>54</v>
      </c>
      <c r="C61" s="334">
        <v>234</v>
      </c>
      <c r="D61" s="334">
        <v>11937167.104660399</v>
      </c>
      <c r="E61" s="334">
        <v>540</v>
      </c>
      <c r="F61" s="334">
        <v>7957716.3290894702</v>
      </c>
    </row>
    <row r="62" spans="1:6">
      <c r="A62" s="348" t="s">
        <v>49</v>
      </c>
      <c r="B62" s="348" t="s">
        <v>55</v>
      </c>
      <c r="C62" s="334">
        <v>4</v>
      </c>
      <c r="D62" s="334">
        <v>743158.95266368298</v>
      </c>
      <c r="E62" s="334">
        <v>8</v>
      </c>
      <c r="F62" s="334">
        <v>97158.888118364004</v>
      </c>
    </row>
    <row r="63" spans="1:6">
      <c r="A63" s="348" t="s">
        <v>49</v>
      </c>
      <c r="B63" s="348" t="s">
        <v>29</v>
      </c>
      <c r="C63" s="334">
        <v>102</v>
      </c>
      <c r="D63" s="334">
        <v>4999492.51410734</v>
      </c>
      <c r="E63" s="334">
        <v>90</v>
      </c>
      <c r="F63" s="334">
        <v>2687587.7730874899</v>
      </c>
    </row>
    <row r="64" spans="1:6">
      <c r="A64" s="348" t="s">
        <v>56</v>
      </c>
      <c r="B64" s="348" t="s">
        <v>57</v>
      </c>
      <c r="C64" s="334">
        <v>0</v>
      </c>
      <c r="D64" s="334">
        <v>0</v>
      </c>
      <c r="E64" s="334">
        <v>0</v>
      </c>
      <c r="F64" s="334">
        <v>0</v>
      </c>
    </row>
    <row r="65" spans="1:6">
      <c r="A65" s="348" t="s">
        <v>56</v>
      </c>
      <c r="B65" s="348" t="s">
        <v>29</v>
      </c>
      <c r="C65" s="334">
        <v>2</v>
      </c>
      <c r="D65" s="334">
        <v>75015.753118742301</v>
      </c>
      <c r="E65" s="334">
        <v>4</v>
      </c>
      <c r="F65" s="334">
        <v>51988.8294233493</v>
      </c>
    </row>
    <row r="66" spans="1:6">
      <c r="A66" s="348" t="s">
        <v>56</v>
      </c>
      <c r="B66" s="348" t="s">
        <v>58</v>
      </c>
      <c r="C66" s="334">
        <v>5</v>
      </c>
      <c r="D66" s="334">
        <v>127624.344001265</v>
      </c>
      <c r="E66" s="334">
        <v>24</v>
      </c>
      <c r="F66" s="334">
        <v>441119.69942532701</v>
      </c>
    </row>
    <row r="67" spans="1:6">
      <c r="A67" s="355" t="s">
        <v>56</v>
      </c>
      <c r="B67" s="355" t="s">
        <v>59</v>
      </c>
      <c r="C67" s="334">
        <v>0</v>
      </c>
      <c r="D67" s="334">
        <v>0</v>
      </c>
      <c r="E67" s="334">
        <v>0</v>
      </c>
      <c r="F67" s="334">
        <v>0</v>
      </c>
    </row>
    <row r="68" spans="1:6">
      <c r="A68" s="341" t="s">
        <v>56</v>
      </c>
      <c r="B68" s="341" t="s">
        <v>60</v>
      </c>
      <c r="C68" s="334">
        <v>9</v>
      </c>
      <c r="D68" s="334">
        <v>317018.48235276202</v>
      </c>
      <c r="E68" s="334">
        <v>36</v>
      </c>
      <c r="F68" s="334">
        <v>314570.914207578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120112099</v>
      </c>
      <c r="E73" s="475">
        <v>122009116.17076428</v>
      </c>
    </row>
    <row r="74" spans="1:6">
      <c r="A74" s="348" t="s">
        <v>64</v>
      </c>
      <c r="B74" s="348" t="s">
        <v>657</v>
      </c>
      <c r="C74" s="1295" t="s">
        <v>659</v>
      </c>
      <c r="D74" s="475">
        <v>9847370</v>
      </c>
      <c r="E74" s="475">
        <v>10091871.408505796</v>
      </c>
    </row>
    <row r="75" spans="1:6">
      <c r="A75" s="348" t="s">
        <v>65</v>
      </c>
      <c r="B75" s="348" t="s">
        <v>656</v>
      </c>
      <c r="C75" s="1295" t="s">
        <v>660</v>
      </c>
      <c r="D75" s="475">
        <v>16962251</v>
      </c>
      <c r="E75" s="475">
        <v>17226447.44583476</v>
      </c>
    </row>
    <row r="76" spans="1:6">
      <c r="A76" s="348" t="s">
        <v>65</v>
      </c>
      <c r="B76" s="348" t="s">
        <v>657</v>
      </c>
      <c r="C76" s="1295" t="s">
        <v>661</v>
      </c>
      <c r="D76" s="475">
        <v>309645</v>
      </c>
      <c r="E76" s="475">
        <v>323965.17197442643</v>
      </c>
    </row>
    <row r="77" spans="1:6">
      <c r="A77" s="348" t="s">
        <v>66</v>
      </c>
      <c r="B77" s="348" t="s">
        <v>656</v>
      </c>
      <c r="C77" s="1295" t="s">
        <v>662</v>
      </c>
      <c r="D77" s="475">
        <v>185913905</v>
      </c>
      <c r="E77" s="475">
        <v>214082982.7748175</v>
      </c>
    </row>
    <row r="78" spans="1:6">
      <c r="A78" s="341" t="s">
        <v>66</v>
      </c>
      <c r="B78" s="341" t="s">
        <v>657</v>
      </c>
      <c r="C78" s="341" t="s">
        <v>663</v>
      </c>
      <c r="D78" s="1296">
        <v>49361559</v>
      </c>
      <c r="E78" s="1296">
        <v>53660822.021152258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942950</v>
      </c>
      <c r="C83" s="475">
        <v>947099.92364242917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10334.688751527792</v>
      </c>
    </row>
    <row r="91" spans="1:6">
      <c r="A91" s="348" t="s">
        <v>68</v>
      </c>
      <c r="B91" s="334">
        <v>7111.1419584474943</v>
      </c>
    </row>
    <row r="92" spans="1:6">
      <c r="A92" s="341" t="s">
        <v>69</v>
      </c>
      <c r="B92" s="342">
        <v>4959.1672424013314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105</v>
      </c>
      <c r="C123" s="334">
        <v>48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234</v>
      </c>
    </row>
    <row r="130" spans="1:6">
      <c r="A130" s="348" t="s">
        <v>295</v>
      </c>
      <c r="B130" s="334">
        <v>9</v>
      </c>
    </row>
    <row r="131" spans="1:6">
      <c r="A131" s="348" t="s">
        <v>296</v>
      </c>
      <c r="B131" s="334">
        <v>3</v>
      </c>
    </row>
    <row r="132" spans="1:6">
      <c r="A132" s="341" t="s">
        <v>297</v>
      </c>
      <c r="B132" s="342">
        <v>59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136515.93403801057</v>
      </c>
      <c r="C3" s="43" t="s">
        <v>170</v>
      </c>
      <c r="D3" s="43"/>
      <c r="E3" s="154"/>
      <c r="F3" s="43"/>
      <c r="G3" s="43"/>
      <c r="H3" s="43"/>
      <c r="I3" s="43"/>
      <c r="J3" s="43"/>
      <c r="K3" s="96"/>
    </row>
    <row r="4" spans="1:11">
      <c r="A4" s="383" t="s">
        <v>171</v>
      </c>
      <c r="B4" s="49">
        <f>IF(ISERROR('SEAP template'!B78+'SEAP template'!C78),0,'SEAP template'!B78+'SEAP template'!C78)</f>
        <v>44672.797952376612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1250.1423529411763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0.15783853789453434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1785.9176470588238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7639.7142857142862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0.2337675965707724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1378.759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0.15783853789453434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217.62130466893026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52186.953537583599</v>
      </c>
      <c r="C5" s="17">
        <f>IF(ISERROR('Eigen informatie GS &amp; warmtenet'!B57),0,'Eigen informatie GS &amp; warmtenet'!B57)</f>
        <v>0</v>
      </c>
      <c r="D5" s="30">
        <f>(SUM(HH_hh_gas_kWh,HH_rest_gas_kWh)/1000)*0.902</f>
        <v>129969.93322412002</v>
      </c>
      <c r="E5" s="17">
        <f>B46*B57</f>
        <v>7348.6464935052218</v>
      </c>
      <c r="F5" s="17">
        <f>B51*B62</f>
        <v>0</v>
      </c>
      <c r="G5" s="18"/>
      <c r="H5" s="17"/>
      <c r="I5" s="17"/>
      <c r="J5" s="17">
        <f>B50*B61+C50*C61</f>
        <v>0</v>
      </c>
      <c r="K5" s="17"/>
      <c r="L5" s="17"/>
      <c r="M5" s="17"/>
      <c r="N5" s="17">
        <f>B48*B59+C48*C59</f>
        <v>34319.265471035113</v>
      </c>
      <c r="O5" s="17">
        <f>B69*B70*B71</f>
        <v>440.86000000000007</v>
      </c>
      <c r="P5" s="17">
        <f>B77*B78*B79/1000-B77*B78*B79/1000/B80</f>
        <v>3126.9333333333334</v>
      </c>
    </row>
    <row r="6" spans="1:16">
      <c r="A6" s="16" t="s">
        <v>621</v>
      </c>
      <c r="B6" s="788">
        <f>kWh_PV_kleiner_dan_10kW</f>
        <v>7111.1419584474943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59298.095496031092</v>
      </c>
      <c r="C8" s="21">
        <f>C5</f>
        <v>0</v>
      </c>
      <c r="D8" s="21">
        <f>D5</f>
        <v>129969.93322412002</v>
      </c>
      <c r="E8" s="21">
        <f>E5</f>
        <v>7348.6464935052218</v>
      </c>
      <c r="F8" s="21">
        <f>F5</f>
        <v>0</v>
      </c>
      <c r="G8" s="21"/>
      <c r="H8" s="21"/>
      <c r="I8" s="21"/>
      <c r="J8" s="21">
        <f>J5</f>
        <v>0</v>
      </c>
      <c r="K8" s="21"/>
      <c r="L8" s="21">
        <f>L5</f>
        <v>0</v>
      </c>
      <c r="M8" s="21">
        <f>M5</f>
        <v>0</v>
      </c>
      <c r="N8" s="21">
        <f>N5</f>
        <v>34319.265471035113</v>
      </c>
      <c r="O8" s="21">
        <f>O5</f>
        <v>440.86000000000007</v>
      </c>
      <c r="P8" s="21">
        <f>P5</f>
        <v>3126.9333333333334</v>
      </c>
    </row>
    <row r="9" spans="1:16">
      <c r="B9" s="19"/>
      <c r="C9" s="19"/>
      <c r="D9" s="258"/>
      <c r="E9" s="19"/>
      <c r="F9" s="19"/>
      <c r="G9" s="19"/>
      <c r="H9" s="19"/>
      <c r="I9" s="19"/>
      <c r="J9" s="19"/>
      <c r="K9" s="19"/>
      <c r="L9" s="19"/>
      <c r="M9" s="19"/>
      <c r="N9" s="19"/>
      <c r="O9" s="19"/>
      <c r="P9" s="19"/>
    </row>
    <row r="10" spans="1:16">
      <c r="A10" s="24" t="s">
        <v>214</v>
      </c>
      <c r="B10" s="25">
        <f ca="1">'EF ele_warmte'!B12</f>
        <v>0.15783853789453434</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9359.5246930240191</v>
      </c>
      <c r="C12" s="23">
        <f ca="1">C10*C8</f>
        <v>0</v>
      </c>
      <c r="D12" s="23">
        <f>D8*D10</f>
        <v>26253.926511272246</v>
      </c>
      <c r="E12" s="23">
        <f>E10*E8</f>
        <v>1668.1427540256855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11408</v>
      </c>
      <c r="C28" s="36"/>
      <c r="D28" s="228"/>
    </row>
    <row r="29" spans="1:7" s="15" customFormat="1">
      <c r="A29" s="230" t="s">
        <v>794</v>
      </c>
      <c r="B29" s="37">
        <f>SUM(HH_hh_gas_aantal,HH_rest_gas_aantal)</f>
        <v>7687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7687</v>
      </c>
      <c r="C32" s="167">
        <f>IF(ISERROR(B32/SUM($B$32,$B$34,$B$35,$B$36,$B$38,$B$39)*100),0,B32/SUM($B$32,$B$34,$B$35,$B$36,$B$38,$B$39)*100)</f>
        <v>68.365350409107066</v>
      </c>
      <c r="D32" s="233"/>
      <c r="G32" s="15"/>
    </row>
    <row r="33" spans="1:7">
      <c r="A33" s="171" t="s">
        <v>72</v>
      </c>
      <c r="B33" s="34" t="s">
        <v>111</v>
      </c>
      <c r="C33" s="167"/>
      <c r="D33" s="233"/>
      <c r="G33" s="15"/>
    </row>
    <row r="34" spans="1:7">
      <c r="A34" s="171" t="s">
        <v>73</v>
      </c>
      <c r="B34" s="33">
        <f>IF((($B$28-$B$32-$B$39-$B$77-$B$38)*C20/100)&lt;0,0,($B$28-$B$32-$B$39-$B$77-$B$38)*C20/100)</f>
        <v>347.06917914300465</v>
      </c>
      <c r="C34" s="167">
        <f>IF(ISERROR(B34/SUM($B$32,$B$34,$B$35,$B$36,$B$38,$B$39)*100),0,B34/SUM($B$32,$B$34,$B$35,$B$36,$B$38,$B$39)*100)</f>
        <v>3.0867056131537227</v>
      </c>
      <c r="D34" s="233"/>
      <c r="G34" s="15"/>
    </row>
    <row r="35" spans="1:7">
      <c r="A35" s="171" t="s">
        <v>74</v>
      </c>
      <c r="B35" s="33">
        <f>IF((($B$28-$B$32-$B$39-$B$77-$B$38)*C21/100)&lt;0,0,($B$28-$B$32-$B$39-$B$77-$B$38)*C21/100)</f>
        <v>2734.3175012906559</v>
      </c>
      <c r="C35" s="167">
        <f>IF(ISERROR(B35/SUM($B$32,$B$34,$B$35,$B$36,$B$38,$B$39)*100),0,B35/SUM($B$32,$B$34,$B$35,$B$36,$B$38,$B$39)*100)</f>
        <v>24.318014063417426</v>
      </c>
      <c r="D35" s="233"/>
      <c r="G35" s="15"/>
    </row>
    <row r="36" spans="1:7">
      <c r="A36" s="171" t="s">
        <v>75</v>
      </c>
      <c r="B36" s="33">
        <f>IF((($B$28-$B$32-$B$39-$B$77-$B$38)*C22/100)&lt;0,0,($B$28-$B$32-$B$39-$B$77-$B$38)*C22/100)</f>
        <v>475.61331956633973</v>
      </c>
      <c r="C36" s="167">
        <f>IF(ISERROR(B36/SUM($B$32,$B$34,$B$35,$B$36,$B$38,$B$39)*100),0,B36/SUM($B$32,$B$34,$B$35,$B$36,$B$38,$B$39)*100)</f>
        <v>4.2299299143217688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7687</v>
      </c>
      <c r="C44" s="34" t="s">
        <v>111</v>
      </c>
      <c r="D44" s="174"/>
    </row>
    <row r="45" spans="1:7">
      <c r="A45" s="171" t="s">
        <v>72</v>
      </c>
      <c r="B45" s="33" t="str">
        <f t="shared" si="0"/>
        <v>-</v>
      </c>
      <c r="C45" s="34" t="s">
        <v>111</v>
      </c>
      <c r="D45" s="174"/>
    </row>
    <row r="46" spans="1:7">
      <c r="A46" s="171" t="s">
        <v>73</v>
      </c>
      <c r="B46" s="33">
        <f t="shared" si="0"/>
        <v>347.06917914300465</v>
      </c>
      <c r="C46" s="34" t="s">
        <v>111</v>
      </c>
      <c r="D46" s="174"/>
    </row>
    <row r="47" spans="1:7">
      <c r="A47" s="171" t="s">
        <v>74</v>
      </c>
      <c r="B47" s="33">
        <f t="shared" si="0"/>
        <v>2734.3175012906559</v>
      </c>
      <c r="C47" s="34" t="s">
        <v>111</v>
      </c>
      <c r="D47" s="174"/>
    </row>
    <row r="48" spans="1:7">
      <c r="A48" s="171" t="s">
        <v>75</v>
      </c>
      <c r="B48" s="33">
        <f t="shared" si="0"/>
        <v>475.61331956633973</v>
      </c>
      <c r="C48" s="33">
        <f>B48*10</f>
        <v>4756.1331956633976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26310.184312063509</v>
      </c>
      <c r="C5" s="17">
        <f>IF(ISERROR('Eigen informatie GS &amp; warmtenet'!B58),0,'Eigen informatie GS &amp; warmtenet'!B58)</f>
        <v>0</v>
      </c>
      <c r="D5" s="30">
        <f>SUM(D6:D12)</f>
        <v>33922.470234491804</v>
      </c>
      <c r="E5" s="17">
        <f>SUM(E6:E12)</f>
        <v>398.33336359933469</v>
      </c>
      <c r="F5" s="17">
        <f>SUM(F6:F12)</f>
        <v>4544.0335046511154</v>
      </c>
      <c r="G5" s="18"/>
      <c r="H5" s="17"/>
      <c r="I5" s="17"/>
      <c r="J5" s="17">
        <f>SUM(J6:J12)</f>
        <v>5.9634083663246004E-2</v>
      </c>
      <c r="K5" s="17"/>
      <c r="L5" s="17"/>
      <c r="M5" s="17"/>
      <c r="N5" s="17">
        <f>SUM(N6:N12)</f>
        <v>2370.1087293998462</v>
      </c>
      <c r="O5" s="17">
        <f>B38*B39*B40</f>
        <v>14.070000000000002</v>
      </c>
      <c r="P5" s="17">
        <f>B46*B47*B48/1000-B46*B47*B48/1000/B49</f>
        <v>76.266666666666666</v>
      </c>
      <c r="R5" s="32"/>
    </row>
    <row r="6" spans="1:18">
      <c r="A6" s="32" t="s">
        <v>54</v>
      </c>
      <c r="B6" s="37">
        <f>B26</f>
        <v>7957.7163290894705</v>
      </c>
      <c r="C6" s="33"/>
      <c r="D6" s="37">
        <f>IF(ISERROR(TER_kantoor_gas_kWh/1000),0,TER_kantoor_gas_kWh/1000)*0.902</f>
        <v>10767.324728403681</v>
      </c>
      <c r="E6" s="33">
        <f>$C$26*'E Balans VL '!I12/100/3.6*1000000</f>
        <v>4.9876319255745961E-2</v>
      </c>
      <c r="F6" s="33">
        <f>$C$26*('E Balans VL '!L12+'E Balans VL '!N12)/100/3.6*1000000</f>
        <v>1195.822404460622</v>
      </c>
      <c r="G6" s="34"/>
      <c r="H6" s="33"/>
      <c r="I6" s="33"/>
      <c r="J6" s="33">
        <f>$C$26*('E Balans VL '!D12+'E Balans VL '!E12)/100/3.6*1000000</f>
        <v>0</v>
      </c>
      <c r="K6" s="33"/>
      <c r="L6" s="33"/>
      <c r="M6" s="33"/>
      <c r="N6" s="33">
        <f>$C$26*'E Balans VL '!Y12/100/3.6*1000000</f>
        <v>7.610375807845438</v>
      </c>
      <c r="O6" s="33"/>
      <c r="P6" s="33"/>
      <c r="R6" s="32"/>
    </row>
    <row r="7" spans="1:18">
      <c r="A7" s="32" t="s">
        <v>53</v>
      </c>
      <c r="B7" s="37">
        <f t="shared" ref="B7:B12" si="0">B27</f>
        <v>4091.7912810825101</v>
      </c>
      <c r="C7" s="33"/>
      <c r="D7" s="37">
        <f>IF(ISERROR(TER_horeca_gas_kWh/1000),0,TER_horeca_gas_kWh/1000)*0.902</f>
        <v>9077.275919430338</v>
      </c>
      <c r="E7" s="33">
        <f>$C$27*'E Balans VL '!I9/100/3.6*1000000</f>
        <v>58.593769582783075</v>
      </c>
      <c r="F7" s="33">
        <f>$C$27*('E Balans VL '!L9+'E Balans VL '!N9)/100/3.6*1000000</f>
        <v>518.15572866065668</v>
      </c>
      <c r="G7" s="34"/>
      <c r="H7" s="33"/>
      <c r="I7" s="33"/>
      <c r="J7" s="33">
        <f>$C$27*('E Balans VL '!D9+'E Balans VL '!E9)/100/3.6*1000000</f>
        <v>0</v>
      </c>
      <c r="K7" s="33"/>
      <c r="L7" s="33"/>
      <c r="M7" s="33"/>
      <c r="N7" s="33">
        <f>$C$27*'E Balans VL '!Y9/100/3.6*1000000</f>
        <v>1.1762997770576069</v>
      </c>
      <c r="O7" s="33"/>
      <c r="P7" s="33"/>
      <c r="R7" s="32"/>
    </row>
    <row r="8" spans="1:18">
      <c r="A8" s="6" t="s">
        <v>52</v>
      </c>
      <c r="B8" s="37">
        <f t="shared" si="0"/>
        <v>8323.37632159635</v>
      </c>
      <c r="C8" s="33"/>
      <c r="D8" s="37">
        <f>IF(ISERROR(TER_handel_gas_kWh/1000),0,TER_handel_gas_kWh/1000)*0.902</f>
        <v>5284.7845248226513</v>
      </c>
      <c r="E8" s="33">
        <f>$C$28*'E Balans VL '!I13/100/3.6*1000000</f>
        <v>301.88783279151562</v>
      </c>
      <c r="F8" s="33">
        <f>$C$28*('E Balans VL '!L13+'E Balans VL '!N13)/100/3.6*1000000</f>
        <v>1603.1665590830389</v>
      </c>
      <c r="G8" s="34"/>
      <c r="H8" s="33"/>
      <c r="I8" s="33"/>
      <c r="J8" s="33">
        <f>$C$28*('E Balans VL '!D13+'E Balans VL '!E13)/100/3.6*1000000</f>
        <v>0</v>
      </c>
      <c r="K8" s="33"/>
      <c r="L8" s="33"/>
      <c r="M8" s="33"/>
      <c r="N8" s="33">
        <f>$C$28*'E Balans VL '!Y13/100/3.6*1000000</f>
        <v>11.529791328890598</v>
      </c>
      <c r="O8" s="33"/>
      <c r="P8" s="33"/>
      <c r="R8" s="32"/>
    </row>
    <row r="9" spans="1:18">
      <c r="A9" s="32" t="s">
        <v>51</v>
      </c>
      <c r="B9" s="37">
        <f t="shared" si="0"/>
        <v>705.03570660398793</v>
      </c>
      <c r="C9" s="33"/>
      <c r="D9" s="37">
        <f>IF(ISERROR(TER_gezond_gas_kWh/1000),0,TER_gezond_gas_kWh/1000)*0.902</f>
        <v>1744.1171754077359</v>
      </c>
      <c r="E9" s="33">
        <f>$C$29*'E Balans VL '!I10/100/3.6*1000000</f>
        <v>4.4142196203440412E-2</v>
      </c>
      <c r="F9" s="33">
        <f>$C$29*('E Balans VL '!L10+'E Balans VL '!N10)/100/3.6*1000000</f>
        <v>104.73520084531486</v>
      </c>
      <c r="G9" s="34"/>
      <c r="H9" s="33"/>
      <c r="I9" s="33"/>
      <c r="J9" s="33">
        <f>$C$29*('E Balans VL '!D10+'E Balans VL '!E10)/100/3.6*1000000</f>
        <v>0</v>
      </c>
      <c r="K9" s="33"/>
      <c r="L9" s="33"/>
      <c r="M9" s="33"/>
      <c r="N9" s="33">
        <f>$C$29*'E Balans VL '!Y10/100/3.6*1000000</f>
        <v>10.905560339880948</v>
      </c>
      <c r="O9" s="33"/>
      <c r="P9" s="33"/>
      <c r="R9" s="32"/>
    </row>
    <row r="10" spans="1:18">
      <c r="A10" s="32" t="s">
        <v>50</v>
      </c>
      <c r="B10" s="37">
        <f t="shared" si="0"/>
        <v>2447.5180124853396</v>
      </c>
      <c r="C10" s="33"/>
      <c r="D10" s="37">
        <f>IF(ISERROR(TER_ander_gas_kWh/1000),0,TER_ander_gas_kWh/1000)*0.902</f>
        <v>1869.0962633999325</v>
      </c>
      <c r="E10" s="33">
        <f>$C$30*'E Balans VL '!I14/100/3.6*1000000</f>
        <v>2.9173540113668195</v>
      </c>
      <c r="F10" s="33">
        <f>$C$30*('E Balans VL '!L14+'E Balans VL '!N14)/100/3.6*1000000</f>
        <v>640.37952017086934</v>
      </c>
      <c r="G10" s="34"/>
      <c r="H10" s="33"/>
      <c r="I10" s="33"/>
      <c r="J10" s="33">
        <f>$C$30*('E Balans VL '!D14+'E Balans VL '!E14)/100/3.6*1000000</f>
        <v>5.3126022045357074E-2</v>
      </c>
      <c r="K10" s="33"/>
      <c r="L10" s="33"/>
      <c r="M10" s="33"/>
      <c r="N10" s="33">
        <f>$C$30*'E Balans VL '!Y14/100/3.6*1000000</f>
        <v>2078.3724062797955</v>
      </c>
      <c r="O10" s="33"/>
      <c r="P10" s="33"/>
      <c r="R10" s="32"/>
    </row>
    <row r="11" spans="1:18">
      <c r="A11" s="32" t="s">
        <v>55</v>
      </c>
      <c r="B11" s="37">
        <f t="shared" si="0"/>
        <v>97.158888118364004</v>
      </c>
      <c r="C11" s="33"/>
      <c r="D11" s="37">
        <f>IF(ISERROR(TER_onderwijs_gas_kWh/1000),0,TER_onderwijs_gas_kWh/1000)*0.902</f>
        <v>670.32937530264201</v>
      </c>
      <c r="E11" s="33">
        <f>$C$31*'E Balans VL '!I11/100/3.6*1000000</f>
        <v>1.4659711324362814</v>
      </c>
      <c r="F11" s="33">
        <f>$C$31*('E Balans VL '!L11+'E Balans VL '!N11)/100/3.6*1000000</f>
        <v>17.023789357751287</v>
      </c>
      <c r="G11" s="34"/>
      <c r="H11" s="33"/>
      <c r="I11" s="33"/>
      <c r="J11" s="33">
        <f>$C$31*('E Balans VL '!D11+'E Balans VL '!E11)/100/3.6*1000000</f>
        <v>0</v>
      </c>
      <c r="K11" s="33"/>
      <c r="L11" s="33"/>
      <c r="M11" s="33"/>
      <c r="N11" s="33">
        <f>$C$31*'E Balans VL '!Y11/100/3.6*1000000</f>
        <v>0.27341249746503526</v>
      </c>
      <c r="O11" s="33"/>
      <c r="P11" s="33"/>
      <c r="R11" s="32"/>
    </row>
    <row r="12" spans="1:18">
      <c r="A12" s="32" t="s">
        <v>260</v>
      </c>
      <c r="B12" s="37">
        <f t="shared" si="0"/>
        <v>2687.5877730874899</v>
      </c>
      <c r="C12" s="33"/>
      <c r="D12" s="37">
        <f>IF(ISERROR(TER_rest_gas_kWh/1000),0,TER_rest_gas_kWh/1000)*0.902</f>
        <v>4509.5422477248212</v>
      </c>
      <c r="E12" s="33">
        <f>$C$32*'E Balans VL '!I8/100/3.6*1000000</f>
        <v>33.374417565773754</v>
      </c>
      <c r="F12" s="33">
        <f>$C$32*('E Balans VL '!L8+'E Balans VL '!N8)/100/3.6*1000000</f>
        <v>464.75030207286147</v>
      </c>
      <c r="G12" s="34"/>
      <c r="H12" s="33"/>
      <c r="I12" s="33"/>
      <c r="J12" s="33">
        <f>$C$32*('E Balans VL '!D8+'E Balans VL '!E8)/100/3.6*1000000</f>
        <v>6.5080616178889274E-3</v>
      </c>
      <c r="K12" s="33"/>
      <c r="L12" s="33"/>
      <c r="M12" s="33"/>
      <c r="N12" s="33">
        <f>$C$32*'E Balans VL '!Y8/100/3.6*1000000</f>
        <v>260.24088336891094</v>
      </c>
      <c r="O12" s="33"/>
      <c r="P12" s="33"/>
      <c r="R12" s="32"/>
    </row>
    <row r="13" spans="1:18">
      <c r="A13" s="16" t="s">
        <v>488</v>
      </c>
      <c r="B13" s="247">
        <f ca="1">'lokale energieproductie'!N91+'lokale energieproductie'!N60</f>
        <v>16920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-48342.857142857152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43230.184312063509</v>
      </c>
      <c r="C16" s="21">
        <f t="shared" ca="1" si="1"/>
        <v>0</v>
      </c>
      <c r="D16" s="21">
        <f t="shared" ca="1" si="1"/>
        <v>33922.470234491804</v>
      </c>
      <c r="E16" s="21">
        <f t="shared" si="1"/>
        <v>398.33336359933469</v>
      </c>
      <c r="F16" s="21">
        <f t="shared" ca="1" si="1"/>
        <v>4544.0335046511154</v>
      </c>
      <c r="G16" s="21">
        <f t="shared" si="1"/>
        <v>0</v>
      </c>
      <c r="H16" s="21">
        <f t="shared" si="1"/>
        <v>0</v>
      </c>
      <c r="I16" s="21">
        <f t="shared" si="1"/>
        <v>0</v>
      </c>
      <c r="J16" s="21">
        <f t="shared" si="1"/>
        <v>5.9634083663246004E-2</v>
      </c>
      <c r="K16" s="21">
        <f t="shared" si="1"/>
        <v>0</v>
      </c>
      <c r="L16" s="21">
        <f t="shared" ca="1" si="1"/>
        <v>0</v>
      </c>
      <c r="M16" s="21">
        <f t="shared" si="1"/>
        <v>0</v>
      </c>
      <c r="N16" s="21">
        <f t="shared" ca="1" si="1"/>
        <v>0</v>
      </c>
      <c r="O16" s="21">
        <f>O5</f>
        <v>14.070000000000002</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0.15783853789453434</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6823.3890847273397</v>
      </c>
      <c r="C20" s="23">
        <f t="shared" ref="C20:P20" ca="1" si="2">C16*C18</f>
        <v>0</v>
      </c>
      <c r="D20" s="23">
        <f t="shared" ca="1" si="2"/>
        <v>6852.338987367345</v>
      </c>
      <c r="E20" s="23">
        <f t="shared" si="2"/>
        <v>90.421673537048974</v>
      </c>
      <c r="F20" s="23">
        <f t="shared" ca="1" si="2"/>
        <v>1213.2569457418479</v>
      </c>
      <c r="G20" s="23">
        <f t="shared" si="2"/>
        <v>0</v>
      </c>
      <c r="H20" s="23">
        <f t="shared" si="2"/>
        <v>0</v>
      </c>
      <c r="I20" s="23">
        <f t="shared" si="2"/>
        <v>0</v>
      </c>
      <c r="J20" s="23">
        <f t="shared" si="2"/>
        <v>2.1110465616789083E-2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7957.7163290894705</v>
      </c>
      <c r="C26" s="39">
        <f>IF(ISERROR(B26*3.6/1000000/'E Balans VL '!Z12*100),0,B26*3.6/1000000/'E Balans VL '!Z12*100)</f>
        <v>0.16821351715603231</v>
      </c>
      <c r="D26" s="237" t="s">
        <v>754</v>
      </c>
      <c r="F26" s="6"/>
    </row>
    <row r="27" spans="1:18">
      <c r="A27" s="231" t="s">
        <v>53</v>
      </c>
      <c r="B27" s="33">
        <f>IF(ISERROR(TER_horeca_ele_kWh/1000),0,TER_horeca_ele_kWh/1000)</f>
        <v>4091.7912810825101</v>
      </c>
      <c r="C27" s="39">
        <f>IF(ISERROR(B27*3.6/1000000/'E Balans VL '!Z9*100),0,B27*3.6/1000000/'E Balans VL '!Z9*100)</f>
        <v>0.32255438159926525</v>
      </c>
      <c r="D27" s="237" t="s">
        <v>754</v>
      </c>
      <c r="F27" s="6"/>
    </row>
    <row r="28" spans="1:18">
      <c r="A28" s="171" t="s">
        <v>52</v>
      </c>
      <c r="B28" s="33">
        <f>IF(ISERROR(TER_handel_ele_kWh/1000),0,TER_handel_ele_kWh/1000)</f>
        <v>8323.37632159635</v>
      </c>
      <c r="C28" s="39">
        <f>IF(ISERROR(B28*3.6/1000000/'E Balans VL '!Z13*100),0,B28*3.6/1000000/'E Balans VL '!Z13*100)</f>
        <v>0.24157801106153551</v>
      </c>
      <c r="D28" s="237" t="s">
        <v>754</v>
      </c>
      <c r="F28" s="6"/>
    </row>
    <row r="29" spans="1:18">
      <c r="A29" s="231" t="s">
        <v>51</v>
      </c>
      <c r="B29" s="33">
        <f>IF(ISERROR(TER_gezond_ele_kWh/1000),0,TER_gezond_ele_kWh/1000)</f>
        <v>705.03570660398793</v>
      </c>
      <c r="C29" s="39">
        <f>IF(ISERROR(B29*3.6/1000000/'E Balans VL '!Z10*100),0,B29*3.6/1000000/'E Balans VL '!Z10*100)</f>
        <v>7.4251836897290216E-2</v>
      </c>
      <c r="D29" s="237" t="s">
        <v>754</v>
      </c>
      <c r="F29" s="6"/>
    </row>
    <row r="30" spans="1:18">
      <c r="A30" s="231" t="s">
        <v>50</v>
      </c>
      <c r="B30" s="33">
        <f>IF(ISERROR(TER_ander_ele_kWh/1000),0,TER_ander_ele_kWh/1000)</f>
        <v>2447.5180124853396</v>
      </c>
      <c r="C30" s="39">
        <f>IF(ISERROR(B30*3.6/1000000/'E Balans VL '!Z14*100),0,B30*3.6/1000000/'E Balans VL '!Z14*100)</f>
        <v>0.18052946019918659</v>
      </c>
      <c r="D30" s="237" t="s">
        <v>754</v>
      </c>
      <c r="F30" s="6"/>
    </row>
    <row r="31" spans="1:18">
      <c r="A31" s="231" t="s">
        <v>55</v>
      </c>
      <c r="B31" s="33">
        <f>IF(ISERROR(TER_onderwijs_ele_kWh/1000),0,TER_onderwijs_ele_kWh/1000)</f>
        <v>97.158888118364004</v>
      </c>
      <c r="C31" s="39">
        <f>IF(ISERROR(B31*3.6/1000000/'E Balans VL '!Z11*100),0,B31*3.6/1000000/'E Balans VL '!Z11*100)</f>
        <v>2.4129103110138224E-2</v>
      </c>
      <c r="D31" s="237" t="s">
        <v>754</v>
      </c>
    </row>
    <row r="32" spans="1:18">
      <c r="A32" s="231" t="s">
        <v>260</v>
      </c>
      <c r="B32" s="33">
        <f>IF(ISERROR(TER_rest_ele_kWh/1000),0,TER_rest_ele_kWh/1000)</f>
        <v>2687.5877730874899</v>
      </c>
      <c r="C32" s="39">
        <f>IF(ISERROR(B32*3.6/1000000/'E Balans VL '!Z8*100),0,B32*3.6/1000000/'E Balans VL '!Z8*100)</f>
        <v>2.2115279962377922E-2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26136.980585342928</v>
      </c>
      <c r="C5" s="17">
        <f>IF(ISERROR('Eigen informatie GS &amp; warmtenet'!B59),0,'Eigen informatie GS &amp; warmtenet'!B59)</f>
        <v>0</v>
      </c>
      <c r="D5" s="30">
        <f>SUM(D6:D15)</f>
        <v>22601.029437347916</v>
      </c>
      <c r="E5" s="17">
        <f>SUM(E6:E15)</f>
        <v>1983.6043234413091</v>
      </c>
      <c r="F5" s="17">
        <f>SUM(F6:F15)</f>
        <v>7016.3668802914344</v>
      </c>
      <c r="G5" s="18"/>
      <c r="H5" s="17"/>
      <c r="I5" s="17"/>
      <c r="J5" s="17">
        <f>SUM(J6:J15)</f>
        <v>71.929895679181428</v>
      </c>
      <c r="K5" s="17"/>
      <c r="L5" s="17"/>
      <c r="M5" s="17"/>
      <c r="N5" s="17">
        <f>SUM(N6:N15)</f>
        <v>5823.4673327629753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1448.6230379498602</v>
      </c>
      <c r="C8" s="33"/>
      <c r="D8" s="37">
        <f>IF( ISERROR(IND_metaal_Gas_kWH/1000),0,IND_metaal_Gas_kWH/1000)*0.902</f>
        <v>394.21850591078174</v>
      </c>
      <c r="E8" s="33">
        <f>C30*'E Balans VL '!I18/100/3.6*1000000</f>
        <v>13.318689740513493</v>
      </c>
      <c r="F8" s="33">
        <f>C30*'E Balans VL '!L18/100/3.6*1000000+C30*'E Balans VL '!N18/100/3.6*1000000</f>
        <v>135.83261141674808</v>
      </c>
      <c r="G8" s="34"/>
      <c r="H8" s="33"/>
      <c r="I8" s="33"/>
      <c r="J8" s="40">
        <f>C30*'E Balans VL '!D18/100/3.6*1000000+C30*'E Balans VL '!E18/100/3.6*1000000</f>
        <v>0</v>
      </c>
      <c r="K8" s="33"/>
      <c r="L8" s="33"/>
      <c r="M8" s="33"/>
      <c r="N8" s="33">
        <f>C30*'E Balans VL '!Y18/100/3.6*1000000</f>
        <v>20.667001586736731</v>
      </c>
      <c r="O8" s="33"/>
      <c r="P8" s="33"/>
      <c r="R8" s="32"/>
    </row>
    <row r="9" spans="1:18">
      <c r="A9" s="6" t="s">
        <v>33</v>
      </c>
      <c r="B9" s="37">
        <f t="shared" si="0"/>
        <v>2915.3339252782398</v>
      </c>
      <c r="C9" s="33"/>
      <c r="D9" s="37">
        <f>IF( ISERROR(IND_andere_gas_kWh/1000),0,IND_andere_gas_kWh/1000)*0.902</f>
        <v>2883.229698453094</v>
      </c>
      <c r="E9" s="33">
        <f>C31*'E Balans VL '!I19/100/3.6*1000000</f>
        <v>852.20886121615797</v>
      </c>
      <c r="F9" s="33">
        <f>C31*'E Balans VL '!L19/100/3.6*1000000+C31*'E Balans VL '!N19/100/3.6*1000000</f>
        <v>2342.6914794626973</v>
      </c>
      <c r="G9" s="34"/>
      <c r="H9" s="33"/>
      <c r="I9" s="33"/>
      <c r="J9" s="40">
        <f>C31*'E Balans VL '!D19/100/3.6*1000000+C31*'E Balans VL '!E19/100/3.6*1000000</f>
        <v>0</v>
      </c>
      <c r="K9" s="33"/>
      <c r="L9" s="33"/>
      <c r="M9" s="33"/>
      <c r="N9" s="33">
        <f>C31*'E Balans VL '!Y19/100/3.6*1000000</f>
        <v>963.27154253546314</v>
      </c>
      <c r="O9" s="33"/>
      <c r="P9" s="33"/>
      <c r="R9" s="32"/>
    </row>
    <row r="10" spans="1:18">
      <c r="A10" s="6" t="s">
        <v>41</v>
      </c>
      <c r="B10" s="37">
        <f t="shared" si="0"/>
        <v>543.07270841909894</v>
      </c>
      <c r="C10" s="33"/>
      <c r="D10" s="37">
        <f>IF( ISERROR(IND_voed_gas_kWh/1000),0,IND_voed_gas_kWh/1000)*0.902</f>
        <v>933.64644514436191</v>
      </c>
      <c r="E10" s="33">
        <f>C32*'E Balans VL '!I20/100/3.6*1000000</f>
        <v>1.1488787351026786</v>
      </c>
      <c r="F10" s="33">
        <f>C32*'E Balans VL '!L20/100/3.6*1000000+C32*'E Balans VL '!N20/100/3.6*1000000</f>
        <v>34.529117533790675</v>
      </c>
      <c r="G10" s="34"/>
      <c r="H10" s="33"/>
      <c r="I10" s="33"/>
      <c r="J10" s="40">
        <f>C32*'E Balans VL '!D20/100/3.6*1000000+C32*'E Balans VL '!E20/100/3.6*1000000</f>
        <v>0</v>
      </c>
      <c r="K10" s="33"/>
      <c r="L10" s="33"/>
      <c r="M10" s="33"/>
      <c r="N10" s="33">
        <f>C32*'E Balans VL '!Y20/100/3.6*1000000</f>
        <v>37.477376053353638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2069.4097897259999</v>
      </c>
      <c r="C12" s="33"/>
      <c r="D12" s="37">
        <f>IF( ISERROR(IND_min_gas_kWh/1000),0,IND_min_gas_kWh/1000)*0.902</f>
        <v>0</v>
      </c>
      <c r="E12" s="33">
        <f>C34*'E Balans VL '!I22/100/3.6*1000000</f>
        <v>59.983668669693188</v>
      </c>
      <c r="F12" s="33">
        <f>C34*'E Balans VL '!L22/100/3.6*1000000+C34*'E Balans VL '!N22/100/3.6*1000000</f>
        <v>711.48647055960316</v>
      </c>
      <c r="G12" s="34"/>
      <c r="H12" s="33"/>
      <c r="I12" s="33"/>
      <c r="J12" s="40">
        <f>C34*'E Balans VL '!D22/100/3.6*1000000+C34*'E Balans VL '!E22/100/3.6*1000000</f>
        <v>3.4006638918580299</v>
      </c>
      <c r="K12" s="33"/>
      <c r="L12" s="33"/>
      <c r="M12" s="33"/>
      <c r="N12" s="33">
        <f>C34*'E Balans VL '!Y22/100/3.6*1000000</f>
        <v>453.02781018488321</v>
      </c>
      <c r="O12" s="33"/>
      <c r="P12" s="33"/>
      <c r="R12" s="32"/>
    </row>
    <row r="13" spans="1:18">
      <c r="A13" s="6" t="s">
        <v>39</v>
      </c>
      <c r="B13" s="37">
        <f t="shared" si="0"/>
        <v>19.017509728229498</v>
      </c>
      <c r="C13" s="33"/>
      <c r="D13" s="37">
        <f>IF( ISERROR(IND_papier_gas_kWh/1000),0,IND_papier_gas_kWh/1000)*0.902</f>
        <v>84.755557095760793</v>
      </c>
      <c r="E13" s="33">
        <f>C35*'E Balans VL '!I23/100/3.6*1000000</f>
        <v>2.6981497033646114E-2</v>
      </c>
      <c r="F13" s="33">
        <f>C35*'E Balans VL '!L23/100/3.6*1000000+C35*'E Balans VL '!N23/100/3.6*1000000</f>
        <v>0.46428892291325413</v>
      </c>
      <c r="G13" s="34"/>
      <c r="H13" s="33"/>
      <c r="I13" s="33"/>
      <c r="J13" s="40">
        <f>C35*'E Balans VL '!D23/100/3.6*1000000+C35*'E Balans VL '!E23/100/3.6*1000000</f>
        <v>2.9412364267322362E-3</v>
      </c>
      <c r="K13" s="33"/>
      <c r="L13" s="33"/>
      <c r="M13" s="33"/>
      <c r="N13" s="33">
        <f>C35*'E Balans VL '!Y23/100/3.6*1000000</f>
        <v>55.279399026200515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19141.523614241498</v>
      </c>
      <c r="C15" s="33"/>
      <c r="D15" s="37">
        <f>IF( ISERROR(IND_rest_gas_kWh/1000),0,IND_rest_gas_kWh/1000)*0.902</f>
        <v>18305.179230743917</v>
      </c>
      <c r="E15" s="33">
        <f>C37*'E Balans VL '!I15/100/3.6*1000000</f>
        <v>1056.9172435828082</v>
      </c>
      <c r="F15" s="33">
        <f>C37*'E Balans VL '!L15/100/3.6*1000000+C37*'E Balans VL '!N15/100/3.6*1000000</f>
        <v>3791.3629123956821</v>
      </c>
      <c r="G15" s="34"/>
      <c r="H15" s="33"/>
      <c r="I15" s="33"/>
      <c r="J15" s="40">
        <f>C37*'E Balans VL '!D15/100/3.6*1000000+C37*'E Balans VL '!E15/100/3.6*1000000</f>
        <v>68.526290550896661</v>
      </c>
      <c r="K15" s="33"/>
      <c r="L15" s="33"/>
      <c r="M15" s="33"/>
      <c r="N15" s="33">
        <f>C37*'E Balans VL '!Y15/100/3.6*1000000</f>
        <v>4293.7442033763382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26136.980585342928</v>
      </c>
      <c r="C18" s="21">
        <f>C5+C16</f>
        <v>0</v>
      </c>
      <c r="D18" s="21">
        <f>MAX((D5+D16),0)</f>
        <v>22601.029437347916</v>
      </c>
      <c r="E18" s="21">
        <f>MAX((E5+E16),0)</f>
        <v>1983.6043234413091</v>
      </c>
      <c r="F18" s="21">
        <f>MAX((F5+F16),0)</f>
        <v>7016.3668802914344</v>
      </c>
      <c r="G18" s="21"/>
      <c r="H18" s="21"/>
      <c r="I18" s="21"/>
      <c r="J18" s="21">
        <f>MAX((J5+J16),0)</f>
        <v>71.929895679181428</v>
      </c>
      <c r="K18" s="21"/>
      <c r="L18" s="21">
        <f>MAX((L5+L16),0)</f>
        <v>0</v>
      </c>
      <c r="M18" s="21"/>
      <c r="N18" s="21">
        <f>MAX((N5+N16),0)</f>
        <v>5823.4673327629753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0.15783853789453434</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4125.4228005683581</v>
      </c>
      <c r="C22" s="23">
        <f ca="1">C18*C20</f>
        <v>0</v>
      </c>
      <c r="D22" s="23">
        <f>D18*D20</f>
        <v>4565.4079463442795</v>
      </c>
      <c r="E22" s="23">
        <f>E18*E20</f>
        <v>450.27818142117718</v>
      </c>
      <c r="F22" s="23">
        <f>F18*F20</f>
        <v>1873.369957037813</v>
      </c>
      <c r="G22" s="23"/>
      <c r="H22" s="23"/>
      <c r="I22" s="23"/>
      <c r="J22" s="23">
        <f>J18*J20</f>
        <v>25.463183070430222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1448.6230379498602</v>
      </c>
      <c r="C30" s="39">
        <f>IF(ISERROR(B30*3.6/1000000/'E Balans VL '!Z18*100),0,B30*3.6/1000000/'E Balans VL '!Z18*100)</f>
        <v>8.2097182073034972E-2</v>
      </c>
      <c r="D30" s="237" t="s">
        <v>754</v>
      </c>
    </row>
    <row r="31" spans="1:18">
      <c r="A31" s="6" t="s">
        <v>33</v>
      </c>
      <c r="B31" s="37">
        <f>IF( ISERROR(IND_ander_ele_kWh/1000),0,IND_ander_ele_kWh/1000)</f>
        <v>2915.3339252782398</v>
      </c>
      <c r="C31" s="39">
        <f>IF(ISERROR(B31*3.6/1000000/'E Balans VL '!Z19*100),0,B31*3.6/1000000/'E Balans VL '!Z19*100)</f>
        <v>0.13222740761143587</v>
      </c>
      <c r="D31" s="237" t="s">
        <v>754</v>
      </c>
    </row>
    <row r="32" spans="1:18">
      <c r="A32" s="171" t="s">
        <v>41</v>
      </c>
      <c r="B32" s="37">
        <f>IF( ISERROR(IND_voed_ele_kWh/1000),0,IND_voed_ele_kWh/1000)</f>
        <v>543.07270841909894</v>
      </c>
      <c r="C32" s="39">
        <f>IF(ISERROR(B32*3.6/1000000/'E Balans VL '!Z20*100),0,B32*3.6/1000000/'E Balans VL '!Z20*100)</f>
        <v>1.679970421333659E-2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2069.4097897259999</v>
      </c>
      <c r="C34" s="39">
        <f>IF(ISERROR(B34*3.6/1000000/'E Balans VL '!Z22*100),0,B34*3.6/1000000/'E Balans VL '!Z22*100)</f>
        <v>0.37222225632985584</v>
      </c>
      <c r="D34" s="237" t="s">
        <v>754</v>
      </c>
    </row>
    <row r="35" spans="1:5">
      <c r="A35" s="171" t="s">
        <v>39</v>
      </c>
      <c r="B35" s="37">
        <f>IF( ISERROR(IND_papier_ele_kWh/1000),0,IND_papier_ele_kWh/1000)</f>
        <v>19.017509728229498</v>
      </c>
      <c r="C35" s="39">
        <f>IF(ISERROR(B35*3.6/1000000/'E Balans VL '!Z22*100),0,B35*3.6/1000000/'E Balans VL '!Z22*100)</f>
        <v>3.420656660638407E-3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19141.523614241498</v>
      </c>
      <c r="C37" s="39">
        <f>IF(ISERROR(B37*3.6/1000000/'E Balans VL '!Z15*100),0,B37*3.6/1000000/'E Balans VL '!Z15*100)</f>
        <v>0.15172008266958867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4631.2308419550691</v>
      </c>
      <c r="C5" s="17">
        <f>'Eigen informatie GS &amp; warmtenet'!B60</f>
        <v>0</v>
      </c>
      <c r="D5" s="30">
        <f>IF(ISERROR(SUM(LB_lb_gas_kWh,LB_rest_gas_kWh)/1000),0,SUM(LB_lb_gas_kWh,LB_rest_gas_kWh)/1000)*0.902</f>
        <v>10963.536074854726</v>
      </c>
      <c r="E5" s="17">
        <f>B17*'E Balans VL '!I25/3.6*1000000/100</f>
        <v>136.12601985673547</v>
      </c>
      <c r="F5" s="17">
        <f>B17*('E Balans VL '!L25/3.6*1000000+'E Balans VL '!N25/3.6*1000000)/100</f>
        <v>19293.457429005608</v>
      </c>
      <c r="G5" s="18"/>
      <c r="H5" s="17"/>
      <c r="I5" s="17"/>
      <c r="J5" s="17">
        <f>('E Balans VL '!D25+'E Balans VL '!E25)/3.6*1000000*landbouw!B17/100</f>
        <v>670.96589217848759</v>
      </c>
      <c r="K5" s="17"/>
      <c r="L5" s="17">
        <f>L6*(-1)</f>
        <v>0</v>
      </c>
      <c r="M5" s="17"/>
      <c r="N5" s="17">
        <f>N6*(-1)</f>
        <v>249.42857142857139</v>
      </c>
      <c r="O5" s="17"/>
      <c r="P5" s="17"/>
      <c r="R5" s="32"/>
    </row>
    <row r="6" spans="1:18">
      <c r="A6" s="16" t="s">
        <v>488</v>
      </c>
      <c r="B6" s="17" t="s">
        <v>211</v>
      </c>
      <c r="C6" s="17">
        <f>'lokale energieproductie'!O92+'lokale energieproductie'!O61</f>
        <v>7639.7142857142862</v>
      </c>
      <c r="D6" s="310">
        <f>('lokale energieproductie'!P61+'lokale energieproductie'!P92)*(-1)</f>
        <v>-15030.000000000002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4631.2308419550691</v>
      </c>
      <c r="C8" s="21">
        <f>C5+C6</f>
        <v>7639.7142857142862</v>
      </c>
      <c r="D8" s="21">
        <f>MAX((D5+D6),0)</f>
        <v>0</v>
      </c>
      <c r="E8" s="21">
        <f>MAX((E5+E6),0)</f>
        <v>136.12601985673547</v>
      </c>
      <c r="F8" s="21">
        <f>MAX((F5+F6),0)</f>
        <v>19293.457429005608</v>
      </c>
      <c r="G8" s="21"/>
      <c r="H8" s="21"/>
      <c r="I8" s="21"/>
      <c r="J8" s="21">
        <f>MAX((J5+J6),0)</f>
        <v>670.96589217848759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0.15783853789453434</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730.98670474626135</v>
      </c>
      <c r="C12" s="23">
        <f ca="1">C8*C10</f>
        <v>1785.9176470588238</v>
      </c>
      <c r="D12" s="23">
        <f>D8*D10</f>
        <v>0</v>
      </c>
      <c r="E12" s="23">
        <f>E8*E10</f>
        <v>30.900606507478951</v>
      </c>
      <c r="F12" s="23">
        <f>F8*F10</f>
        <v>5151.3531335444977</v>
      </c>
      <c r="G12" s="23"/>
      <c r="H12" s="23"/>
      <c r="I12" s="23"/>
      <c r="J12" s="23">
        <f>J8*J10</f>
        <v>237.5219258311846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0.65718618651706984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1223.6239472859895</v>
      </c>
      <c r="C26" s="247">
        <f>B26*'GWP N2O_CH4'!B5</f>
        <v>25696.10289300578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485.09638626576589</v>
      </c>
      <c r="C27" s="247">
        <f>B27*'GWP N2O_CH4'!B5</f>
        <v>10187.024111581084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20.908626445855262</v>
      </c>
      <c r="C28" s="247">
        <f>B28*'GWP N2O_CH4'!B4</f>
        <v>6481.6741982151316</v>
      </c>
      <c r="D28" s="50"/>
    </row>
    <row r="29" spans="1:4">
      <c r="A29" s="41" t="s">
        <v>277</v>
      </c>
      <c r="B29" s="247">
        <f>B34*'ha_N2O bodem landbouw'!B4</f>
        <v>29.086082578824708</v>
      </c>
      <c r="C29" s="247">
        <f>B29*'GWP N2O_CH4'!B4</f>
        <v>9016.6855994356592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6.6373438093880648E-3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4.574327390248601E-4</v>
      </c>
      <c r="C5" s="463" t="s">
        <v>211</v>
      </c>
      <c r="D5" s="448">
        <f>SUM(D6:D11)</f>
        <v>1.4644574558155547E-3</v>
      </c>
      <c r="E5" s="448">
        <f>SUM(E6:E11)</f>
        <v>2.2646581204793254E-3</v>
      </c>
      <c r="F5" s="461" t="s">
        <v>211</v>
      </c>
      <c r="G5" s="448">
        <f>SUM(G6:G11)</f>
        <v>1.0808493703783004</v>
      </c>
      <c r="H5" s="448">
        <f>SUM(H6:H11)</f>
        <v>0.17024580511126272</v>
      </c>
      <c r="I5" s="463" t="s">
        <v>211</v>
      </c>
      <c r="J5" s="463" t="s">
        <v>211</v>
      </c>
      <c r="K5" s="463" t="s">
        <v>211</v>
      </c>
      <c r="L5" s="463" t="s">
        <v>211</v>
      </c>
      <c r="M5" s="448">
        <f>SUM(M6:M11)</f>
        <v>6.8172041613192236E-2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1.7010899184428596E-4</v>
      </c>
      <c r="C6" s="449"/>
      <c r="D6" s="892">
        <f>vkm_2011_GW_PW*SUMIFS(TableVerdeelsleutelVkm[CNG],TableVerdeelsleutelVkm[Voertuigtype],"Lichte voertuigen")*SUMIFS(TableECFTransport[EnergieConsumptieFactor (PJ per km)],TableECFTransport[Index],CONCATENATE($A6,"_CNG_CNG"))</f>
        <v>5.102293418523952E-4</v>
      </c>
      <c r="E6" s="892">
        <f>vkm_2011_GW_PW*SUMIFS(TableVerdeelsleutelVkm[LPG],TableVerdeelsleutelVkm[Voertuigtype],"Lichte voertuigen")*SUMIFS(TableECFTransport[EnergieConsumptieFactor (PJ per km)],TableECFTransport[Index],CONCATENATE($A6,"_LPG_LPG"))</f>
        <v>6.9704657180339141E-4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0.18022429035686838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5.803271666351862E-2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1.2241470191547237E-2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9.2408203463607633E-2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2.8164142671472083E-5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5.4000236428311489E-3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2.402282069035969E-5</v>
      </c>
      <c r="C8" s="449"/>
      <c r="D8" s="451">
        <f>vkm_2011_NGW_PW*SUMIFS(TableVerdeelsleutelVkm[CNG],TableVerdeelsleutelVkm[Voertuigtype],"Lichte voertuigen")*SUMIFS(TableECFTransport[EnergieConsumptieFactor (PJ per km)],TableECFTransport[Index],CONCATENATE($A8,"_CNG_CNG"))</f>
        <v>1.2811401795647152E-4</v>
      </c>
      <c r="E8" s="451">
        <f>vkm_2011_NGW_PW*SUMIFS(TableVerdeelsleutelVkm[LPG],TableVerdeelsleutelVkm[Voertuigtype],"Lichte voertuigen")*SUMIFS(TableECFTransport[EnergieConsumptieFactor (PJ per km)],TableECFTransport[Index],CONCATENATE($A8,"_LPG_LPG"))</f>
        <v>1.6209037244509046E-4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3.9054884110085994E-2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1.4160301950796777E-2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2.6994733451028152E-3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3.7258461349253882E-3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1.0690336516965061E-6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2.1772391590044101E-4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2.6330092649021441E-4</v>
      </c>
      <c r="C10" s="449"/>
      <c r="D10" s="451">
        <f>vkm_2011_SW_PW*SUMIFS(TableVerdeelsleutelVkm[CNG],TableVerdeelsleutelVkm[Voertuigtype],"Lichte voertuigen")*SUMIFS(TableECFTransport[EnergieConsumptieFactor (PJ per km)],TableECFTransport[Index],CONCATENATE($A10,"_CNG_CNG"))</f>
        <v>8.2611409600668803E-4</v>
      </c>
      <c r="E10" s="451">
        <f>vkm_2011_SW_PW*SUMIFS(TableVerdeelsleutelVkm[LPG],TableVerdeelsleutelVkm[Voertuigtype],"Lichte voertuigen")*SUMIFS(TableECFTransport[EnergieConsumptieFactor (PJ per km)],TableECFTransport[Index],CONCATENATE($A10,"_LPG_LPG"))</f>
        <v>1.4055211762308436E-3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0.32397581560714739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9.7878256129067961E-2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2.1815581203341507E-2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0.44146033070566565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1.452971915561648E-4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2.5797769314469081E-2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127.06464972912781</v>
      </c>
      <c r="C14" s="21"/>
      <c r="D14" s="21">
        <f t="shared" ref="D14:M14" si="0">((D5)*10^9/3600)+D12</f>
        <v>406.79373772654299</v>
      </c>
      <c r="E14" s="21">
        <f t="shared" si="0"/>
        <v>629.0717001331459</v>
      </c>
      <c r="F14" s="21"/>
      <c r="G14" s="21">
        <f t="shared" si="0"/>
        <v>300235.93621619459</v>
      </c>
      <c r="H14" s="21">
        <f t="shared" si="0"/>
        <v>47290.501419795197</v>
      </c>
      <c r="I14" s="21"/>
      <c r="J14" s="21"/>
      <c r="K14" s="21"/>
      <c r="L14" s="21"/>
      <c r="M14" s="21">
        <f t="shared" si="0"/>
        <v>18936.678225886732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0.15783853789453434</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20.055698531326673</v>
      </c>
      <c r="C18" s="23"/>
      <c r="D18" s="23">
        <f t="shared" ref="D18:M18" si="1">D14*D16</f>
        <v>82.172335020761693</v>
      </c>
      <c r="E18" s="23">
        <f t="shared" si="1"/>
        <v>142.79927593022413</v>
      </c>
      <c r="F18" s="23"/>
      <c r="G18" s="23">
        <f t="shared" si="1"/>
        <v>80162.994969723964</v>
      </c>
      <c r="H18" s="23">
        <f t="shared" si="1"/>
        <v>11775.334853529004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1.184359989152528E-2</v>
      </c>
      <c r="H50" s="321">
        <f t="shared" si="2"/>
        <v>0</v>
      </c>
      <c r="I50" s="321">
        <f t="shared" si="2"/>
        <v>0</v>
      </c>
      <c r="J50" s="321">
        <f t="shared" si="2"/>
        <v>0</v>
      </c>
      <c r="K50" s="321">
        <f t="shared" si="2"/>
        <v>0</v>
      </c>
      <c r="L50" s="321">
        <f t="shared" si="2"/>
        <v>0</v>
      </c>
      <c r="M50" s="321">
        <f t="shared" si="2"/>
        <v>6.726641893622466E-4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1.184359989152528E-2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6.726641893622466E-4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3289.8888587570223</v>
      </c>
      <c r="H54" s="21">
        <f t="shared" si="3"/>
        <v>0</v>
      </c>
      <c r="I54" s="21">
        <f t="shared" si="3"/>
        <v>0</v>
      </c>
      <c r="J54" s="21">
        <f t="shared" si="3"/>
        <v>0</v>
      </c>
      <c r="K54" s="21">
        <f t="shared" si="3"/>
        <v>0</v>
      </c>
      <c r="L54" s="21">
        <f t="shared" si="3"/>
        <v>0</v>
      </c>
      <c r="M54" s="21">
        <f t="shared" si="3"/>
        <v>186.85116371173515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0.15783853789453434</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878.40032528812503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44608.943312063508</v>
      </c>
      <c r="D10" s="1013">
        <f ca="1">tertiair!C16</f>
        <v>0</v>
      </c>
      <c r="E10" s="1013">
        <f ca="1">tertiair!D16</f>
        <v>33922.470234491804</v>
      </c>
      <c r="F10" s="1013">
        <f>tertiair!E16</f>
        <v>398.33336359933469</v>
      </c>
      <c r="G10" s="1013">
        <f ca="1">tertiair!F16</f>
        <v>4544.0335046511154</v>
      </c>
      <c r="H10" s="1013">
        <f>tertiair!G16</f>
        <v>0</v>
      </c>
      <c r="I10" s="1013">
        <f>tertiair!H16</f>
        <v>0</v>
      </c>
      <c r="J10" s="1013">
        <f>tertiair!I16</f>
        <v>0</v>
      </c>
      <c r="K10" s="1013">
        <f>tertiair!J16</f>
        <v>5.9634083663246004E-2</v>
      </c>
      <c r="L10" s="1013">
        <f>tertiair!K16</f>
        <v>0</v>
      </c>
      <c r="M10" s="1013">
        <f ca="1">tertiair!L16</f>
        <v>0</v>
      </c>
      <c r="N10" s="1013">
        <f>tertiair!M16</f>
        <v>0</v>
      </c>
      <c r="O10" s="1013">
        <f ca="1">tertiair!N16</f>
        <v>0</v>
      </c>
      <c r="P10" s="1013">
        <f>tertiair!O16</f>
        <v>14.070000000000002</v>
      </c>
      <c r="Q10" s="1014">
        <f>tertiair!P16</f>
        <v>76.266666666666666</v>
      </c>
      <c r="R10" s="700">
        <f ca="1">SUM(C10:Q10)</f>
        <v>83564.176715556096</v>
      </c>
      <c r="S10" s="67"/>
    </row>
    <row r="11" spans="1:19" s="473" customFormat="1">
      <c r="A11" s="809" t="s">
        <v>225</v>
      </c>
      <c r="B11" s="814"/>
      <c r="C11" s="1013">
        <f>huishoudens!B8</f>
        <v>59298.095496031092</v>
      </c>
      <c r="D11" s="1013">
        <f>huishoudens!C8</f>
        <v>0</v>
      </c>
      <c r="E11" s="1013">
        <f>huishoudens!D8</f>
        <v>129969.93322412002</v>
      </c>
      <c r="F11" s="1013">
        <f>huishoudens!E8</f>
        <v>7348.6464935052218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34319.265471035113</v>
      </c>
      <c r="P11" s="1013">
        <f>huishoudens!O8</f>
        <v>440.86000000000007</v>
      </c>
      <c r="Q11" s="1014">
        <f>huishoudens!P8</f>
        <v>3126.9333333333334</v>
      </c>
      <c r="R11" s="700">
        <f>SUM(C11:Q11)</f>
        <v>234503.73401802476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26136.980585342928</v>
      </c>
      <c r="D13" s="1013">
        <f>industrie!C18</f>
        <v>0</v>
      </c>
      <c r="E13" s="1013">
        <f>industrie!D18</f>
        <v>22601.029437347916</v>
      </c>
      <c r="F13" s="1013">
        <f>industrie!E18</f>
        <v>1983.6043234413091</v>
      </c>
      <c r="G13" s="1013">
        <f>industrie!F18</f>
        <v>7016.3668802914344</v>
      </c>
      <c r="H13" s="1013">
        <f>industrie!G18</f>
        <v>0</v>
      </c>
      <c r="I13" s="1013">
        <f>industrie!H18</f>
        <v>0</v>
      </c>
      <c r="J13" s="1013">
        <f>industrie!I18</f>
        <v>0</v>
      </c>
      <c r="K13" s="1013">
        <f>industrie!J18</f>
        <v>71.929895679181428</v>
      </c>
      <c r="L13" s="1013">
        <f>industrie!K18</f>
        <v>0</v>
      </c>
      <c r="M13" s="1013">
        <f>industrie!L18</f>
        <v>0</v>
      </c>
      <c r="N13" s="1013">
        <f>industrie!M18</f>
        <v>0</v>
      </c>
      <c r="O13" s="1013">
        <f>industrie!N18</f>
        <v>5823.4673327629753</v>
      </c>
      <c r="P13" s="1013">
        <f>industrie!O18</f>
        <v>0</v>
      </c>
      <c r="Q13" s="1014">
        <f>industrie!P18</f>
        <v>0</v>
      </c>
      <c r="R13" s="700">
        <f>SUM(C13:Q13)</f>
        <v>63633.378454865742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130044.01939343753</v>
      </c>
      <c r="D16" s="732">
        <f t="shared" ref="D16:R16" ca="1" si="0">SUM(D9:D15)</f>
        <v>0</v>
      </c>
      <c r="E16" s="732">
        <f t="shared" ca="1" si="0"/>
        <v>186493.43289595973</v>
      </c>
      <c r="F16" s="732">
        <f t="shared" si="0"/>
        <v>9730.5841805458658</v>
      </c>
      <c r="G16" s="732">
        <f t="shared" ca="1" si="0"/>
        <v>11560.40038494255</v>
      </c>
      <c r="H16" s="732">
        <f t="shared" si="0"/>
        <v>0</v>
      </c>
      <c r="I16" s="732">
        <f t="shared" si="0"/>
        <v>0</v>
      </c>
      <c r="J16" s="732">
        <f t="shared" si="0"/>
        <v>0</v>
      </c>
      <c r="K16" s="732">
        <f t="shared" si="0"/>
        <v>71.989529762844668</v>
      </c>
      <c r="L16" s="732">
        <f t="shared" si="0"/>
        <v>0</v>
      </c>
      <c r="M16" s="732">
        <f t="shared" ca="1" si="0"/>
        <v>0</v>
      </c>
      <c r="N16" s="732">
        <f t="shared" si="0"/>
        <v>0</v>
      </c>
      <c r="O16" s="732">
        <f t="shared" ca="1" si="0"/>
        <v>40142.732803798091</v>
      </c>
      <c r="P16" s="732">
        <f t="shared" si="0"/>
        <v>454.93000000000006</v>
      </c>
      <c r="Q16" s="732">
        <f t="shared" si="0"/>
        <v>3203.2000000000003</v>
      </c>
      <c r="R16" s="732">
        <f t="shared" ca="1" si="0"/>
        <v>381701.28918844659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3289.8888587570223</v>
      </c>
      <c r="I19" s="1013">
        <f>transport!H54</f>
        <v>0</v>
      </c>
      <c r="J19" s="1013">
        <f>transport!I54</f>
        <v>0</v>
      </c>
      <c r="K19" s="1013">
        <f>transport!J54</f>
        <v>0</v>
      </c>
      <c r="L19" s="1013">
        <f>transport!K54</f>
        <v>0</v>
      </c>
      <c r="M19" s="1013">
        <f>transport!L54</f>
        <v>0</v>
      </c>
      <c r="N19" s="1013">
        <f>transport!M54</f>
        <v>186.85116371173515</v>
      </c>
      <c r="O19" s="1013">
        <f>transport!N54</f>
        <v>0</v>
      </c>
      <c r="P19" s="1013">
        <f>transport!O54</f>
        <v>0</v>
      </c>
      <c r="Q19" s="1014">
        <f>transport!P54</f>
        <v>0</v>
      </c>
      <c r="R19" s="700">
        <f>SUM(C19:Q19)</f>
        <v>3476.7400224687576</v>
      </c>
      <c r="S19" s="67"/>
    </row>
    <row r="20" spans="1:19" s="473" customFormat="1">
      <c r="A20" s="809" t="s">
        <v>307</v>
      </c>
      <c r="B20" s="814"/>
      <c r="C20" s="1013">
        <f>transport!B14</f>
        <v>127.06464972912781</v>
      </c>
      <c r="D20" s="1013">
        <f>transport!C14</f>
        <v>0</v>
      </c>
      <c r="E20" s="1013">
        <f>transport!D14</f>
        <v>406.79373772654299</v>
      </c>
      <c r="F20" s="1013">
        <f>transport!E14</f>
        <v>629.0717001331459</v>
      </c>
      <c r="G20" s="1013">
        <f>transport!F14</f>
        <v>0</v>
      </c>
      <c r="H20" s="1013">
        <f>transport!G14</f>
        <v>300235.93621619459</v>
      </c>
      <c r="I20" s="1013">
        <f>transport!H14</f>
        <v>47290.501419795197</v>
      </c>
      <c r="J20" s="1013">
        <f>transport!I14</f>
        <v>0</v>
      </c>
      <c r="K20" s="1013">
        <f>transport!J14</f>
        <v>0</v>
      </c>
      <c r="L20" s="1013">
        <f>transport!K14</f>
        <v>0</v>
      </c>
      <c r="M20" s="1013">
        <f>transport!L14</f>
        <v>0</v>
      </c>
      <c r="N20" s="1013">
        <f>transport!M14</f>
        <v>18936.678225886732</v>
      </c>
      <c r="O20" s="1013">
        <f>transport!N14</f>
        <v>0</v>
      </c>
      <c r="P20" s="1013">
        <f>transport!O14</f>
        <v>0</v>
      </c>
      <c r="Q20" s="1014">
        <f>transport!P14</f>
        <v>0</v>
      </c>
      <c r="R20" s="700">
        <f>SUM(C20:Q20)</f>
        <v>367626.04594946536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127.06464972912781</v>
      </c>
      <c r="D22" s="812">
        <f t="shared" ref="D22:R22" si="1">SUM(D18:D21)</f>
        <v>0</v>
      </c>
      <c r="E22" s="812">
        <f t="shared" si="1"/>
        <v>406.79373772654299</v>
      </c>
      <c r="F22" s="812">
        <f t="shared" si="1"/>
        <v>629.0717001331459</v>
      </c>
      <c r="G22" s="812">
        <f t="shared" si="1"/>
        <v>0</v>
      </c>
      <c r="H22" s="812">
        <f t="shared" si="1"/>
        <v>303525.82507495163</v>
      </c>
      <c r="I22" s="812">
        <f t="shared" si="1"/>
        <v>47290.501419795197</v>
      </c>
      <c r="J22" s="812">
        <f t="shared" si="1"/>
        <v>0</v>
      </c>
      <c r="K22" s="812">
        <f t="shared" si="1"/>
        <v>0</v>
      </c>
      <c r="L22" s="812">
        <f t="shared" si="1"/>
        <v>0</v>
      </c>
      <c r="M22" s="812">
        <f t="shared" si="1"/>
        <v>0</v>
      </c>
      <c r="N22" s="812">
        <f t="shared" si="1"/>
        <v>19123.529389598465</v>
      </c>
      <c r="O22" s="812">
        <f t="shared" si="1"/>
        <v>0</v>
      </c>
      <c r="P22" s="812">
        <f t="shared" si="1"/>
        <v>0</v>
      </c>
      <c r="Q22" s="812">
        <f t="shared" si="1"/>
        <v>0</v>
      </c>
      <c r="R22" s="812">
        <f t="shared" si="1"/>
        <v>371102.78597193409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4631.2308419550691</v>
      </c>
      <c r="D24" s="1013">
        <f>+landbouw!C8</f>
        <v>7639.7142857142862</v>
      </c>
      <c r="E24" s="1013">
        <f>+landbouw!D8</f>
        <v>0</v>
      </c>
      <c r="F24" s="1013">
        <f>+landbouw!E8</f>
        <v>136.12601985673547</v>
      </c>
      <c r="G24" s="1013">
        <f>+landbouw!F8</f>
        <v>19293.457429005608</v>
      </c>
      <c r="H24" s="1013">
        <f>+landbouw!G8</f>
        <v>0</v>
      </c>
      <c r="I24" s="1013">
        <f>+landbouw!H8</f>
        <v>0</v>
      </c>
      <c r="J24" s="1013">
        <f>+landbouw!I8</f>
        <v>0</v>
      </c>
      <c r="K24" s="1013">
        <f>+landbouw!J8</f>
        <v>670.96589217848759</v>
      </c>
      <c r="L24" s="1013">
        <f>+landbouw!K8</f>
        <v>0</v>
      </c>
      <c r="M24" s="1013">
        <f>+landbouw!L8</f>
        <v>0</v>
      </c>
      <c r="N24" s="1013">
        <f>+landbouw!M8</f>
        <v>0</v>
      </c>
      <c r="O24" s="1013">
        <f>+landbouw!N8</f>
        <v>0</v>
      </c>
      <c r="P24" s="1013">
        <f>+landbouw!O8</f>
        <v>0</v>
      </c>
      <c r="Q24" s="1014">
        <f>+landbouw!P8</f>
        <v>0</v>
      </c>
      <c r="R24" s="700">
        <f>SUM(C24:Q24)</f>
        <v>32371.494468710185</v>
      </c>
      <c r="S24" s="67"/>
    </row>
    <row r="25" spans="1:19" s="473" customFormat="1" ht="15" thickBot="1">
      <c r="A25" s="831" t="s">
        <v>836</v>
      </c>
      <c r="B25" s="1016"/>
      <c r="C25" s="1017">
        <f>IF(Onbekend_ele_kWh="---",0,Onbekend_ele_kWh)/1000+IF(REST_rest_ele_kWh="---",0,REST_rest_ele_kWh)/1000</f>
        <v>1713.6191528888401</v>
      </c>
      <c r="D25" s="1017"/>
      <c r="E25" s="1017">
        <f>IF(onbekend_gas_kWh="---",0,onbekend_gas_kWh)/1000+IF(REST_rest_gas_kWh="---",0,REST_rest_gas_kWh)/1000</f>
        <v>3333.1119490522397</v>
      </c>
      <c r="F25" s="1017"/>
      <c r="G25" s="1017"/>
      <c r="H25" s="1017"/>
      <c r="I25" s="1017"/>
      <c r="J25" s="1017"/>
      <c r="K25" s="1017"/>
      <c r="L25" s="1017"/>
      <c r="M25" s="1017"/>
      <c r="N25" s="1017"/>
      <c r="O25" s="1017"/>
      <c r="P25" s="1017"/>
      <c r="Q25" s="1018"/>
      <c r="R25" s="700">
        <f>SUM(C25:Q25)</f>
        <v>5046.7311019410799</v>
      </c>
      <c r="S25" s="67"/>
    </row>
    <row r="26" spans="1:19" s="473" customFormat="1" ht="15.75" thickBot="1">
      <c r="A26" s="705" t="s">
        <v>837</v>
      </c>
      <c r="B26" s="817"/>
      <c r="C26" s="812">
        <f>SUM(C24:C25)</f>
        <v>6344.8499948439094</v>
      </c>
      <c r="D26" s="812">
        <f t="shared" ref="D26:R26" si="2">SUM(D24:D25)</f>
        <v>7639.7142857142862</v>
      </c>
      <c r="E26" s="812">
        <f t="shared" si="2"/>
        <v>3333.1119490522397</v>
      </c>
      <c r="F26" s="812">
        <f t="shared" si="2"/>
        <v>136.12601985673547</v>
      </c>
      <c r="G26" s="812">
        <f t="shared" si="2"/>
        <v>19293.457429005608</v>
      </c>
      <c r="H26" s="812">
        <f t="shared" si="2"/>
        <v>0</v>
      </c>
      <c r="I26" s="812">
        <f t="shared" si="2"/>
        <v>0</v>
      </c>
      <c r="J26" s="812">
        <f t="shared" si="2"/>
        <v>0</v>
      </c>
      <c r="K26" s="812">
        <f t="shared" si="2"/>
        <v>670.96589217848759</v>
      </c>
      <c r="L26" s="812">
        <f t="shared" si="2"/>
        <v>0</v>
      </c>
      <c r="M26" s="812">
        <f t="shared" si="2"/>
        <v>0</v>
      </c>
      <c r="N26" s="812">
        <f t="shared" si="2"/>
        <v>0</v>
      </c>
      <c r="O26" s="812">
        <f t="shared" si="2"/>
        <v>0</v>
      </c>
      <c r="P26" s="812">
        <f t="shared" si="2"/>
        <v>0</v>
      </c>
      <c r="Q26" s="812">
        <f t="shared" si="2"/>
        <v>0</v>
      </c>
      <c r="R26" s="812">
        <f t="shared" si="2"/>
        <v>37418.225570651266</v>
      </c>
      <c r="S26" s="67"/>
    </row>
    <row r="27" spans="1:19" s="473" customFormat="1" ht="17.25" thickTop="1" thickBot="1">
      <c r="A27" s="706" t="s">
        <v>116</v>
      </c>
      <c r="B27" s="805"/>
      <c r="C27" s="707">
        <f ca="1">C22+C16+C26</f>
        <v>136515.93403801057</v>
      </c>
      <c r="D27" s="707">
        <f t="shared" ref="D27:R27" ca="1" si="3">D22+D16+D26</f>
        <v>7639.7142857142862</v>
      </c>
      <c r="E27" s="707">
        <f t="shared" ca="1" si="3"/>
        <v>190233.33858273854</v>
      </c>
      <c r="F27" s="707">
        <f t="shared" si="3"/>
        <v>10495.781900535749</v>
      </c>
      <c r="G27" s="707">
        <f t="shared" ca="1" si="3"/>
        <v>30853.857813948158</v>
      </c>
      <c r="H27" s="707">
        <f t="shared" si="3"/>
        <v>303525.82507495163</v>
      </c>
      <c r="I27" s="707">
        <f t="shared" si="3"/>
        <v>47290.501419795197</v>
      </c>
      <c r="J27" s="707">
        <f t="shared" si="3"/>
        <v>0</v>
      </c>
      <c r="K27" s="707">
        <f t="shared" si="3"/>
        <v>742.95542194133225</v>
      </c>
      <c r="L27" s="707">
        <f t="shared" si="3"/>
        <v>0</v>
      </c>
      <c r="M27" s="707">
        <f t="shared" ca="1" si="3"/>
        <v>0</v>
      </c>
      <c r="N27" s="707">
        <f t="shared" si="3"/>
        <v>19123.529389598465</v>
      </c>
      <c r="O27" s="707">
        <f t="shared" ca="1" si="3"/>
        <v>40142.732803798091</v>
      </c>
      <c r="P27" s="707">
        <f t="shared" si="3"/>
        <v>454.93000000000006</v>
      </c>
      <c r="Q27" s="707">
        <f t="shared" si="3"/>
        <v>3203.2000000000003</v>
      </c>
      <c r="R27" s="707">
        <f t="shared" ca="1" si="3"/>
        <v>790222.30073103192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7041.0103893962696</v>
      </c>
      <c r="D40" s="1013">
        <f ca="1">tertiair!C20</f>
        <v>0</v>
      </c>
      <c r="E40" s="1013">
        <f ca="1">tertiair!D20</f>
        <v>6852.338987367345</v>
      </c>
      <c r="F40" s="1013">
        <f>tertiair!E20</f>
        <v>90.421673537048974</v>
      </c>
      <c r="G40" s="1013">
        <f ca="1">tertiair!F20</f>
        <v>1213.2569457418479</v>
      </c>
      <c r="H40" s="1013">
        <f>tertiair!G20</f>
        <v>0</v>
      </c>
      <c r="I40" s="1013">
        <f>tertiair!H20</f>
        <v>0</v>
      </c>
      <c r="J40" s="1013">
        <f>tertiair!I20</f>
        <v>0</v>
      </c>
      <c r="K40" s="1013">
        <f>tertiair!J20</f>
        <v>2.1110465616789083E-2</v>
      </c>
      <c r="L40" s="1013">
        <f>tertiair!K20</f>
        <v>0</v>
      </c>
      <c r="M40" s="1013">
        <f ca="1">tertiair!L20</f>
        <v>0</v>
      </c>
      <c r="N40" s="1013">
        <f>tertiair!M20</f>
        <v>0</v>
      </c>
      <c r="O40" s="1013">
        <f ca="1">tertiair!N20</f>
        <v>0</v>
      </c>
      <c r="P40" s="1013">
        <f>tertiair!O20</f>
        <v>0</v>
      </c>
      <c r="Q40" s="774">
        <f>tertiair!P20</f>
        <v>0</v>
      </c>
      <c r="R40" s="850">
        <f t="shared" ca="1" si="4"/>
        <v>15197.049106508128</v>
      </c>
    </row>
    <row r="41" spans="1:18">
      <c r="A41" s="822" t="s">
        <v>225</v>
      </c>
      <c r="B41" s="829"/>
      <c r="C41" s="1013">
        <f ca="1">huishoudens!B12</f>
        <v>9359.5246930240191</v>
      </c>
      <c r="D41" s="1013">
        <f ca="1">huishoudens!C12</f>
        <v>0</v>
      </c>
      <c r="E41" s="1013">
        <f>huishoudens!D12</f>
        <v>26253.926511272246</v>
      </c>
      <c r="F41" s="1013">
        <f>huishoudens!E12</f>
        <v>1668.1427540256855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37281.593958321952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4125.4228005683581</v>
      </c>
      <c r="D43" s="1013">
        <f ca="1">industrie!C22</f>
        <v>0</v>
      </c>
      <c r="E43" s="1013">
        <f>industrie!D22</f>
        <v>4565.4079463442795</v>
      </c>
      <c r="F43" s="1013">
        <f>industrie!E22</f>
        <v>450.27818142117718</v>
      </c>
      <c r="G43" s="1013">
        <f>industrie!F22</f>
        <v>1873.369957037813</v>
      </c>
      <c r="H43" s="1013">
        <f>industrie!G22</f>
        <v>0</v>
      </c>
      <c r="I43" s="1013">
        <f>industrie!H22</f>
        <v>0</v>
      </c>
      <c r="J43" s="1013">
        <f>industrie!I22</f>
        <v>0</v>
      </c>
      <c r="K43" s="1013">
        <f>industrie!J22</f>
        <v>25.463183070430222</v>
      </c>
      <c r="L43" s="1013">
        <f>industrie!K22</f>
        <v>0</v>
      </c>
      <c r="M43" s="1013">
        <f>industrie!L22</f>
        <v>0</v>
      </c>
      <c r="N43" s="1013">
        <f>industrie!M22</f>
        <v>0</v>
      </c>
      <c r="O43" s="1013">
        <f>industrie!N22</f>
        <v>0</v>
      </c>
      <c r="P43" s="1013">
        <f>industrie!O22</f>
        <v>0</v>
      </c>
      <c r="Q43" s="774">
        <f>industrie!P22</f>
        <v>0</v>
      </c>
      <c r="R43" s="849">
        <f t="shared" ca="1" si="4"/>
        <v>11039.942068442058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20525.957882988649</v>
      </c>
      <c r="D46" s="732">
        <f t="shared" ref="D46:Q46" ca="1" si="5">SUM(D39:D45)</f>
        <v>0</v>
      </c>
      <c r="E46" s="732">
        <f t="shared" ca="1" si="5"/>
        <v>37671.67344498387</v>
      </c>
      <c r="F46" s="732">
        <f t="shared" si="5"/>
        <v>2208.8426089839118</v>
      </c>
      <c r="G46" s="732">
        <f t="shared" ca="1" si="5"/>
        <v>3086.6269027796607</v>
      </c>
      <c r="H46" s="732">
        <f t="shared" si="5"/>
        <v>0</v>
      </c>
      <c r="I46" s="732">
        <f t="shared" si="5"/>
        <v>0</v>
      </c>
      <c r="J46" s="732">
        <f t="shared" si="5"/>
        <v>0</v>
      </c>
      <c r="K46" s="732">
        <f t="shared" si="5"/>
        <v>25.484293536047012</v>
      </c>
      <c r="L46" s="732">
        <f t="shared" si="5"/>
        <v>0</v>
      </c>
      <c r="M46" s="732">
        <f t="shared" ca="1" si="5"/>
        <v>0</v>
      </c>
      <c r="N46" s="732">
        <f t="shared" si="5"/>
        <v>0</v>
      </c>
      <c r="O46" s="732">
        <f t="shared" ca="1" si="5"/>
        <v>0</v>
      </c>
      <c r="P46" s="732">
        <f t="shared" si="5"/>
        <v>0</v>
      </c>
      <c r="Q46" s="732">
        <f t="shared" si="5"/>
        <v>0</v>
      </c>
      <c r="R46" s="732">
        <f ca="1">SUM(R39:R45)</f>
        <v>63518.585133272136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878.40032528812503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878.40032528812503</v>
      </c>
    </row>
    <row r="50" spans="1:18">
      <c r="A50" s="825" t="s">
        <v>307</v>
      </c>
      <c r="B50" s="835"/>
      <c r="C50" s="703">
        <f ca="1">transport!B18</f>
        <v>20.055698531326673</v>
      </c>
      <c r="D50" s="703">
        <f>transport!C18</f>
        <v>0</v>
      </c>
      <c r="E50" s="703">
        <f>transport!D18</f>
        <v>82.172335020761693</v>
      </c>
      <c r="F50" s="703">
        <f>transport!E18</f>
        <v>142.79927593022413</v>
      </c>
      <c r="G50" s="703">
        <f>transport!F18</f>
        <v>0</v>
      </c>
      <c r="H50" s="703">
        <f>transport!G18</f>
        <v>80162.994969723964</v>
      </c>
      <c r="I50" s="703">
        <f>transport!H18</f>
        <v>11775.334853529004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92183.357132735269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20.055698531326673</v>
      </c>
      <c r="D52" s="732">
        <f t="shared" ref="D52:Q52" ca="1" si="6">SUM(D48:D51)</f>
        <v>0</v>
      </c>
      <c r="E52" s="732">
        <f t="shared" si="6"/>
        <v>82.172335020761693</v>
      </c>
      <c r="F52" s="732">
        <f t="shared" si="6"/>
        <v>142.79927593022413</v>
      </c>
      <c r="G52" s="732">
        <f t="shared" si="6"/>
        <v>0</v>
      </c>
      <c r="H52" s="732">
        <f t="shared" si="6"/>
        <v>81041.395295012087</v>
      </c>
      <c r="I52" s="732">
        <f t="shared" si="6"/>
        <v>11775.334853529004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93061.757458023392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730.98670474626135</v>
      </c>
      <c r="D54" s="703">
        <f ca="1">+landbouw!C12</f>
        <v>1785.9176470588238</v>
      </c>
      <c r="E54" s="703">
        <f>+landbouw!D12</f>
        <v>0</v>
      </c>
      <c r="F54" s="703">
        <f>+landbouw!E12</f>
        <v>30.900606507478951</v>
      </c>
      <c r="G54" s="703">
        <f>+landbouw!F12</f>
        <v>5151.3531335444977</v>
      </c>
      <c r="H54" s="703">
        <f>+landbouw!G12</f>
        <v>0</v>
      </c>
      <c r="I54" s="703">
        <f>+landbouw!H12</f>
        <v>0</v>
      </c>
      <c r="J54" s="703">
        <f>+landbouw!I12</f>
        <v>0</v>
      </c>
      <c r="K54" s="703">
        <f>+landbouw!J12</f>
        <v>237.5219258311846</v>
      </c>
      <c r="L54" s="703">
        <f>+landbouw!K12</f>
        <v>0</v>
      </c>
      <c r="M54" s="703">
        <f>+landbouw!L12</f>
        <v>0</v>
      </c>
      <c r="N54" s="703">
        <f>+landbouw!M12</f>
        <v>0</v>
      </c>
      <c r="O54" s="703">
        <f>+landbouw!N12</f>
        <v>0</v>
      </c>
      <c r="P54" s="703">
        <f>+landbouw!O12</f>
        <v>0</v>
      </c>
      <c r="Q54" s="704">
        <f>+landbouw!P12</f>
        <v>0</v>
      </c>
      <c r="R54" s="731">
        <f ca="1">SUM(C54:Q54)</f>
        <v>7936.6800176882462</v>
      </c>
    </row>
    <row r="55" spans="1:18" ht="15" thickBot="1">
      <c r="A55" s="825" t="s">
        <v>836</v>
      </c>
      <c r="B55" s="835"/>
      <c r="C55" s="703">
        <f ca="1">C25*'EF ele_warmte'!B12</f>
        <v>270.47514160004499</v>
      </c>
      <c r="D55" s="703"/>
      <c r="E55" s="703">
        <f>E25*EF_CO2_aardgas</f>
        <v>673.28861370855248</v>
      </c>
      <c r="F55" s="703"/>
      <c r="G55" s="703"/>
      <c r="H55" s="703"/>
      <c r="I55" s="703"/>
      <c r="J55" s="703"/>
      <c r="K55" s="703"/>
      <c r="L55" s="703"/>
      <c r="M55" s="703"/>
      <c r="N55" s="703"/>
      <c r="O55" s="703"/>
      <c r="P55" s="703"/>
      <c r="Q55" s="704"/>
      <c r="R55" s="731">
        <f ca="1">SUM(C55:Q55)</f>
        <v>943.76375530859741</v>
      </c>
    </row>
    <row r="56" spans="1:18" ht="15.75" thickBot="1">
      <c r="A56" s="823" t="s">
        <v>837</v>
      </c>
      <c r="B56" s="836"/>
      <c r="C56" s="732">
        <f ca="1">SUM(C54:C55)</f>
        <v>1001.4618463463064</v>
      </c>
      <c r="D56" s="732">
        <f t="shared" ref="D56:Q56" ca="1" si="7">SUM(D54:D55)</f>
        <v>1785.9176470588238</v>
      </c>
      <c r="E56" s="732">
        <f t="shared" si="7"/>
        <v>673.28861370855248</v>
      </c>
      <c r="F56" s="732">
        <f t="shared" si="7"/>
        <v>30.900606507478951</v>
      </c>
      <c r="G56" s="732">
        <f t="shared" si="7"/>
        <v>5151.3531335444977</v>
      </c>
      <c r="H56" s="732">
        <f t="shared" si="7"/>
        <v>0</v>
      </c>
      <c r="I56" s="732">
        <f t="shared" si="7"/>
        <v>0</v>
      </c>
      <c r="J56" s="732">
        <f t="shared" si="7"/>
        <v>0</v>
      </c>
      <c r="K56" s="732">
        <f t="shared" si="7"/>
        <v>237.5219258311846</v>
      </c>
      <c r="L56" s="732">
        <f t="shared" si="7"/>
        <v>0</v>
      </c>
      <c r="M56" s="732">
        <f t="shared" si="7"/>
        <v>0</v>
      </c>
      <c r="N56" s="732">
        <f t="shared" si="7"/>
        <v>0</v>
      </c>
      <c r="O56" s="732">
        <f t="shared" si="7"/>
        <v>0</v>
      </c>
      <c r="P56" s="732">
        <f t="shared" si="7"/>
        <v>0</v>
      </c>
      <c r="Q56" s="733">
        <f t="shared" si="7"/>
        <v>0</v>
      </c>
      <c r="R56" s="734">
        <f ca="1">SUM(R54:R55)</f>
        <v>8880.4437729968431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21547.47542786628</v>
      </c>
      <c r="D61" s="740">
        <f t="shared" ref="D61:Q61" ca="1" si="8">D46+D52+D56</f>
        <v>1785.9176470588238</v>
      </c>
      <c r="E61" s="740">
        <f t="shared" ca="1" si="8"/>
        <v>38427.134393713182</v>
      </c>
      <c r="F61" s="740">
        <f t="shared" si="8"/>
        <v>2382.5424914216151</v>
      </c>
      <c r="G61" s="740">
        <f t="shared" ca="1" si="8"/>
        <v>8237.9800363241593</v>
      </c>
      <c r="H61" s="740">
        <f t="shared" si="8"/>
        <v>81041.395295012087</v>
      </c>
      <c r="I61" s="740">
        <f t="shared" si="8"/>
        <v>11775.334853529004</v>
      </c>
      <c r="J61" s="740">
        <f t="shared" si="8"/>
        <v>0</v>
      </c>
      <c r="K61" s="740">
        <f t="shared" si="8"/>
        <v>263.00621936723161</v>
      </c>
      <c r="L61" s="740">
        <f t="shared" si="8"/>
        <v>0</v>
      </c>
      <c r="M61" s="740">
        <f t="shared" ca="1" si="8"/>
        <v>0</v>
      </c>
      <c r="N61" s="740">
        <f t="shared" si="8"/>
        <v>0</v>
      </c>
      <c r="O61" s="740">
        <f t="shared" ca="1" si="8"/>
        <v>0</v>
      </c>
      <c r="P61" s="740">
        <f t="shared" si="8"/>
        <v>0</v>
      </c>
      <c r="Q61" s="740">
        <f t="shared" si="8"/>
        <v>0</v>
      </c>
      <c r="R61" s="740">
        <f ca="1">R46+R52+R56</f>
        <v>165460.78636429238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0.15783853789453434</v>
      </c>
      <c r="D63" s="781">
        <f t="shared" ca="1" si="9"/>
        <v>0.2337675965707724</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10334.688751527792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12070.309200848826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87.299999999999969</v>
      </c>
      <c r="C76" s="750">
        <f>'lokale energieproductie'!B8*IFERROR(SUM(D76:H76)/SUM(D76:O76),0)</f>
        <v>5260.4999999999991</v>
      </c>
      <c r="D76" s="1034">
        <f>'lokale energieproductie'!C8</f>
        <v>6188.823529411764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102.70588235294115</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1250.1423529411763</v>
      </c>
      <c r="R76" s="852">
        <v>0</v>
      </c>
    </row>
    <row r="77" spans="1:18" ht="30.75" thickBot="1">
      <c r="A77" s="753" t="s">
        <v>353</v>
      </c>
      <c r="B77" s="750">
        <f>'lokale energieproductie'!B9*IFERROR(SUM(I77:O77)/SUM(D77:O77),0)</f>
        <v>16920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48342.857142857152</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39412.297952376612</v>
      </c>
      <c r="C78" s="755">
        <f>SUM(C72:C77)</f>
        <v>5260.4999999999991</v>
      </c>
      <c r="D78" s="756">
        <f t="shared" ref="D78:H78" si="10">SUM(D76:D77)</f>
        <v>6188.823529411764</v>
      </c>
      <c r="E78" s="756">
        <f t="shared" si="10"/>
        <v>0</v>
      </c>
      <c r="F78" s="756">
        <f t="shared" si="10"/>
        <v>0</v>
      </c>
      <c r="G78" s="756">
        <f t="shared" si="10"/>
        <v>0</v>
      </c>
      <c r="H78" s="756">
        <f t="shared" si="10"/>
        <v>0</v>
      </c>
      <c r="I78" s="756">
        <f>SUM(I76:I77)</f>
        <v>0</v>
      </c>
      <c r="J78" s="756">
        <f>SUM(J76:J77)</f>
        <v>48445.563025210096</v>
      </c>
      <c r="K78" s="756">
        <f t="shared" ref="K78:L78" si="11">SUM(K76:K77)</f>
        <v>0</v>
      </c>
      <c r="L78" s="756">
        <f t="shared" si="11"/>
        <v>0</v>
      </c>
      <c r="M78" s="756">
        <f>SUM(M76:M77)</f>
        <v>0</v>
      </c>
      <c r="N78" s="756">
        <f>SUM(N76:N77)</f>
        <v>0</v>
      </c>
      <c r="O78" s="860">
        <f>SUM(O76:O77)</f>
        <v>0</v>
      </c>
      <c r="P78" s="757">
        <v>0</v>
      </c>
      <c r="Q78" s="757">
        <f>SUM(Q76:Q77)</f>
        <v>1250.1423529411763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124.71428571428569</v>
      </c>
      <c r="C87" s="766">
        <f>'lokale energieproductie'!B17*IFERROR(SUM(D87:H87)/SUM(D87:O87),0)</f>
        <v>7515.0000000000009</v>
      </c>
      <c r="D87" s="777">
        <f>'lokale energieproductie'!C17</f>
        <v>8841.176470588236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1785.9176470588238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7515.0000000000009</v>
      </c>
      <c r="D90" s="755">
        <f t="shared" ref="D90:H90" si="12">SUM(D87:D89)</f>
        <v>8841.176470588236</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1785.9176470588238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6"/>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10334.688751527792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12070.309200848826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5347.7999999999993</v>
      </c>
      <c r="C8" s="570">
        <f>B101</f>
        <v>6188.823529411764</v>
      </c>
      <c r="D8" s="1044"/>
      <c r="E8" s="1044">
        <f>E101</f>
        <v>0</v>
      </c>
      <c r="F8" s="1045"/>
      <c r="G8" s="571"/>
      <c r="H8" s="1044">
        <f>I101</f>
        <v>0</v>
      </c>
      <c r="I8" s="1044">
        <f>G101+F101</f>
        <v>0</v>
      </c>
      <c r="J8" s="1044">
        <f>H101+D101+C101</f>
        <v>102.70588235294115</v>
      </c>
      <c r="K8" s="1044"/>
      <c r="L8" s="1044"/>
      <c r="M8" s="1044"/>
      <c r="N8" s="572"/>
      <c r="O8" s="573">
        <f>C8*$C$12+D8*$D$12+E8*$E$12+F8*$F$12+G8*$G$12+H8*$H$12+I8*$I$12+J8*$J$12</f>
        <v>1250.1423529411763</v>
      </c>
      <c r="P8" s="1238"/>
      <c r="Q8" s="1239"/>
      <c r="S8" s="1007"/>
      <c r="T8" s="1275"/>
      <c r="U8" s="1275"/>
    </row>
    <row r="9" spans="1:21" s="559" customFormat="1" ht="17.45" customHeight="1" thickBot="1">
      <c r="A9" s="574" t="s">
        <v>248</v>
      </c>
      <c r="B9" s="575">
        <f>N89+'Eigen informatie GS &amp; warmtenet'!B12</f>
        <v>16920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44672.797952376612</v>
      </c>
      <c r="C10" s="583">
        <f t="shared" ref="C10:L10" si="0">SUM(C8:C9)</f>
        <v>6188.823529411764</v>
      </c>
      <c r="D10" s="583">
        <f t="shared" si="0"/>
        <v>0</v>
      </c>
      <c r="E10" s="583">
        <f t="shared" si="0"/>
        <v>0</v>
      </c>
      <c r="F10" s="583">
        <f t="shared" si="0"/>
        <v>0</v>
      </c>
      <c r="G10" s="583">
        <f t="shared" si="0"/>
        <v>0</v>
      </c>
      <c r="H10" s="583">
        <f t="shared" si="0"/>
        <v>0</v>
      </c>
      <c r="I10" s="583">
        <f t="shared" si="0"/>
        <v>0</v>
      </c>
      <c r="J10" s="583">
        <f t="shared" si="0"/>
        <v>48445.563025210096</v>
      </c>
      <c r="K10" s="583">
        <f t="shared" si="0"/>
        <v>0</v>
      </c>
      <c r="L10" s="583">
        <f t="shared" si="0"/>
        <v>0</v>
      </c>
      <c r="M10" s="1047"/>
      <c r="N10" s="1047"/>
      <c r="O10" s="584">
        <f>SUM(O4:O9)</f>
        <v>1250.1423529411763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7639.7142857142862</v>
      </c>
      <c r="C17" s="595">
        <f>B102</f>
        <v>8841.176470588236</v>
      </c>
      <c r="D17" s="596"/>
      <c r="E17" s="596">
        <f>E102</f>
        <v>0</v>
      </c>
      <c r="F17" s="1050"/>
      <c r="G17" s="597"/>
      <c r="H17" s="595">
        <f>I102</f>
        <v>0</v>
      </c>
      <c r="I17" s="596">
        <f>G102+F102</f>
        <v>0</v>
      </c>
      <c r="J17" s="596">
        <f>H102+D102+C102</f>
        <v>146.72268907563023</v>
      </c>
      <c r="K17" s="596"/>
      <c r="L17" s="596"/>
      <c r="M17" s="596"/>
      <c r="N17" s="1051"/>
      <c r="O17" s="598">
        <f>C17*$C$22+E17*$E$22+H17*$H$22+I17*$I$22+J17*$J$22+D17*$D$22+F17*$F$22+G17*$G$22+K17*$K$22+L17*$L$22</f>
        <v>1785.9176470588238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7639.7142857142862</v>
      </c>
      <c r="C20" s="582">
        <f>SUM(C17:C19)</f>
        <v>8841.176470588236</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1785.9176470588238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11009</v>
      </c>
      <c r="C28" s="796">
        <v>2960</v>
      </c>
      <c r="D28" s="653" t="s">
        <v>881</v>
      </c>
      <c r="E28" s="652" t="s">
        <v>882</v>
      </c>
      <c r="F28" s="652" t="s">
        <v>883</v>
      </c>
      <c r="G28" s="652" t="s">
        <v>884</v>
      </c>
      <c r="H28" s="652" t="s">
        <v>885</v>
      </c>
      <c r="I28" s="652" t="s">
        <v>882</v>
      </c>
      <c r="J28" s="795">
        <v>39737</v>
      </c>
      <c r="K28" s="795">
        <v>39737</v>
      </c>
      <c r="L28" s="652" t="s">
        <v>886</v>
      </c>
      <c r="M28" s="652">
        <v>1169</v>
      </c>
      <c r="N28" s="652">
        <v>5260.5</v>
      </c>
      <c r="O28" s="652">
        <v>7515</v>
      </c>
      <c r="P28" s="652">
        <v>15030.000000000002</v>
      </c>
      <c r="Q28" s="652">
        <v>0</v>
      </c>
      <c r="R28" s="652">
        <v>0</v>
      </c>
      <c r="S28" s="652">
        <v>0</v>
      </c>
      <c r="T28" s="652">
        <v>0</v>
      </c>
      <c r="U28" s="652">
        <v>0</v>
      </c>
      <c r="V28" s="652">
        <v>0</v>
      </c>
      <c r="W28" s="652">
        <v>0</v>
      </c>
      <c r="X28" s="652">
        <v>10</v>
      </c>
      <c r="Y28" s="652" t="s">
        <v>112</v>
      </c>
      <c r="Z28" s="654" t="s">
        <v>112</v>
      </c>
    </row>
    <row r="29" spans="1:26" s="606" customFormat="1" ht="25.5">
      <c r="A29" s="605"/>
      <c r="B29" s="796">
        <v>11009</v>
      </c>
      <c r="C29" s="796">
        <v>2960</v>
      </c>
      <c r="D29" s="653" t="s">
        <v>887</v>
      </c>
      <c r="E29" s="652" t="s">
        <v>888</v>
      </c>
      <c r="F29" s="652" t="s">
        <v>889</v>
      </c>
      <c r="G29" s="652" t="s">
        <v>884</v>
      </c>
      <c r="H29" s="652" t="s">
        <v>885</v>
      </c>
      <c r="I29" s="652" t="s">
        <v>888</v>
      </c>
      <c r="J29" s="795">
        <v>41086</v>
      </c>
      <c r="K29" s="795">
        <v>41214</v>
      </c>
      <c r="L29" s="652" t="s">
        <v>886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25.5">
      <c r="A30" s="605"/>
      <c r="B30" s="796">
        <v>11009</v>
      </c>
      <c r="C30" s="796">
        <v>2960</v>
      </c>
      <c r="D30" s="653" t="s">
        <v>890</v>
      </c>
      <c r="E30" s="652" t="s">
        <v>891</v>
      </c>
      <c r="F30" s="652" t="s">
        <v>892</v>
      </c>
      <c r="G30" s="652" t="s">
        <v>884</v>
      </c>
      <c r="H30" s="652" t="s">
        <v>885</v>
      </c>
      <c r="I30" s="652" t="s">
        <v>893</v>
      </c>
      <c r="J30" s="795">
        <v>41086</v>
      </c>
      <c r="K30" s="795">
        <v>41244</v>
      </c>
      <c r="L30" s="652" t="s">
        <v>886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1188.4000000000001</v>
      </c>
      <c r="N58" s="610">
        <f>SUM(N28:N57)</f>
        <v>5347.7999999999993</v>
      </c>
      <c r="O58" s="610">
        <f t="shared" ref="O58:W58" si="2">SUM(O28:O57)</f>
        <v>7639.7142857142862</v>
      </c>
      <c r="P58" s="610">
        <f t="shared" si="2"/>
        <v>15030.000000000002</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1188.4000000000001</v>
      </c>
      <c r="N61" s="615">
        <f t="shared" si="4"/>
        <v>5347.7999999999993</v>
      </c>
      <c r="O61" s="615">
        <f t="shared" si="4"/>
        <v>7639.7142857142862</v>
      </c>
      <c r="P61" s="615">
        <f t="shared" si="4"/>
        <v>15030.000000000002</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11009</v>
      </c>
      <c r="C64" s="796">
        <v>2960</v>
      </c>
      <c r="D64" s="655" t="s">
        <v>894</v>
      </c>
      <c r="E64" s="655" t="s">
        <v>895</v>
      </c>
      <c r="F64" s="655" t="s">
        <v>896</v>
      </c>
      <c r="G64" s="655" t="s">
        <v>897</v>
      </c>
      <c r="H64" s="655" t="s">
        <v>898</v>
      </c>
      <c r="I64" s="655" t="s">
        <v>899</v>
      </c>
      <c r="J64" s="795">
        <v>40365</v>
      </c>
      <c r="K64" s="795">
        <v>40704</v>
      </c>
      <c r="L64" s="655" t="s">
        <v>900</v>
      </c>
      <c r="M64" s="655">
        <v>2353</v>
      </c>
      <c r="N64" s="655">
        <v>10588.500000000002</v>
      </c>
      <c r="O64" s="655">
        <v>0</v>
      </c>
      <c r="P64" s="655">
        <v>0</v>
      </c>
      <c r="Q64" s="655">
        <v>30252.857142857149</v>
      </c>
      <c r="R64" s="655">
        <v>0</v>
      </c>
      <c r="S64" s="655">
        <v>0</v>
      </c>
      <c r="T64" s="655">
        <v>0</v>
      </c>
      <c r="U64" s="655">
        <v>0</v>
      </c>
      <c r="V64" s="655">
        <v>0</v>
      </c>
      <c r="W64" s="655">
        <v>0</v>
      </c>
      <c r="X64" s="655">
        <v>1600</v>
      </c>
      <c r="Y64" s="655" t="s">
        <v>50</v>
      </c>
      <c r="Z64" s="656" t="s">
        <v>156</v>
      </c>
    </row>
    <row r="65" spans="1:26" s="621" customFormat="1" ht="63.75">
      <c r="A65" s="607"/>
      <c r="B65" s="796">
        <v>11009</v>
      </c>
      <c r="C65" s="796">
        <v>2960</v>
      </c>
      <c r="D65" s="655" t="s">
        <v>901</v>
      </c>
      <c r="E65" s="655" t="s">
        <v>902</v>
      </c>
      <c r="F65" s="655" t="s">
        <v>903</v>
      </c>
      <c r="G65" s="655" t="s">
        <v>904</v>
      </c>
      <c r="H65" s="655" t="s">
        <v>898</v>
      </c>
      <c r="I65" s="655" t="s">
        <v>905</v>
      </c>
      <c r="J65" s="795">
        <v>39943</v>
      </c>
      <c r="K65" s="795">
        <v>38200</v>
      </c>
      <c r="L65" s="655" t="s">
        <v>900</v>
      </c>
      <c r="M65" s="655">
        <v>1095</v>
      </c>
      <c r="N65" s="655">
        <v>4927.5</v>
      </c>
      <c r="O65" s="655">
        <v>0</v>
      </c>
      <c r="P65" s="655">
        <v>0</v>
      </c>
      <c r="Q65" s="655">
        <v>14078.571428571429</v>
      </c>
      <c r="R65" s="655">
        <v>0</v>
      </c>
      <c r="S65" s="655">
        <v>0</v>
      </c>
      <c r="T65" s="655">
        <v>0</v>
      </c>
      <c r="U65" s="655">
        <v>0</v>
      </c>
      <c r="V65" s="655">
        <v>0</v>
      </c>
      <c r="W65" s="655">
        <v>0</v>
      </c>
      <c r="X65" s="655">
        <v>1600</v>
      </c>
      <c r="Y65" s="655" t="s">
        <v>50</v>
      </c>
      <c r="Z65" s="656" t="s">
        <v>156</v>
      </c>
    </row>
    <row r="66" spans="1:26" s="621" customFormat="1" ht="63.75">
      <c r="A66" s="607"/>
      <c r="B66" s="796">
        <v>11009</v>
      </c>
      <c r="C66" s="796">
        <v>2960</v>
      </c>
      <c r="D66" s="655" t="s">
        <v>900</v>
      </c>
      <c r="E66" s="655" t="s">
        <v>906</v>
      </c>
      <c r="F66" s="655" t="s">
        <v>907</v>
      </c>
      <c r="G66" s="655" t="s">
        <v>908</v>
      </c>
      <c r="H66" s="655" t="s">
        <v>898</v>
      </c>
      <c r="I66" s="655" t="s">
        <v>909</v>
      </c>
      <c r="J66" s="795">
        <v>35323</v>
      </c>
      <c r="K66" s="795">
        <v>37653</v>
      </c>
      <c r="L66" s="655" t="s">
        <v>900</v>
      </c>
      <c r="M66" s="655">
        <v>312</v>
      </c>
      <c r="N66" s="655">
        <v>1404</v>
      </c>
      <c r="O66" s="655">
        <v>0</v>
      </c>
      <c r="P66" s="655">
        <v>0</v>
      </c>
      <c r="Q66" s="655">
        <v>0</v>
      </c>
      <c r="R66" s="655">
        <v>4011.4285714285716</v>
      </c>
      <c r="S66" s="655">
        <v>0</v>
      </c>
      <c r="T66" s="655">
        <v>0</v>
      </c>
      <c r="U66" s="655">
        <v>0</v>
      </c>
      <c r="V66" s="655">
        <v>0</v>
      </c>
      <c r="W66" s="655">
        <v>0</v>
      </c>
      <c r="X66" s="655">
        <v>1600</v>
      </c>
      <c r="Y66" s="655" t="s">
        <v>50</v>
      </c>
      <c r="Z66" s="656" t="s">
        <v>156</v>
      </c>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3760</v>
      </c>
      <c r="N89" s="610">
        <f t="shared" ref="N89:W89" si="5">SUM(N64:N88)</f>
        <v>16920</v>
      </c>
      <c r="O89" s="610">
        <f t="shared" si="5"/>
        <v>0</v>
      </c>
      <c r="P89" s="610">
        <f t="shared" si="5"/>
        <v>0</v>
      </c>
      <c r="Q89" s="610">
        <f t="shared" si="5"/>
        <v>44331.42857142858</v>
      </c>
      <c r="R89" s="610">
        <f t="shared" si="5"/>
        <v>4011.4285714285716</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3760</v>
      </c>
      <c r="N91" s="610">
        <f t="shared" si="7"/>
        <v>16920</v>
      </c>
      <c r="O91" s="610">
        <f t="shared" si="7"/>
        <v>0</v>
      </c>
      <c r="P91" s="610">
        <f t="shared" si="7"/>
        <v>0</v>
      </c>
      <c r="Q91" s="610">
        <f t="shared" si="7"/>
        <v>44331.42857142858</v>
      </c>
      <c r="R91" s="610">
        <f t="shared" si="7"/>
        <v>4011.4285714285716</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6188.823529411764</v>
      </c>
      <c r="C101" s="644">
        <f t="shared" si="9"/>
        <v>102.70588235294115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8841.176470588236</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59298.095496031092</v>
      </c>
      <c r="C4" s="477">
        <f>huishoudens!C8</f>
        <v>0</v>
      </c>
      <c r="D4" s="477">
        <f>huishoudens!D8</f>
        <v>129969.93322412002</v>
      </c>
      <c r="E4" s="477">
        <f>huishoudens!E8</f>
        <v>7348.6464935052218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34319.265471035113</v>
      </c>
      <c r="O4" s="477">
        <f>huishoudens!O8</f>
        <v>440.86000000000007</v>
      </c>
      <c r="P4" s="478">
        <f>huishoudens!P8</f>
        <v>3126.9333333333334</v>
      </c>
      <c r="Q4" s="479">
        <f>SUM(B4:P4)</f>
        <v>234503.73401802476</v>
      </c>
    </row>
    <row r="5" spans="1:17">
      <c r="A5" s="476" t="s">
        <v>156</v>
      </c>
      <c r="B5" s="477">
        <f ca="1">tertiair!B16</f>
        <v>43230.184312063509</v>
      </c>
      <c r="C5" s="477">
        <f ca="1">tertiair!C16</f>
        <v>0</v>
      </c>
      <c r="D5" s="477">
        <f ca="1">tertiair!D16</f>
        <v>33922.470234491804</v>
      </c>
      <c r="E5" s="477">
        <f>tertiair!E16</f>
        <v>398.33336359933469</v>
      </c>
      <c r="F5" s="477">
        <f ca="1">tertiair!F16</f>
        <v>4544.0335046511154</v>
      </c>
      <c r="G5" s="477">
        <f>tertiair!G16</f>
        <v>0</v>
      </c>
      <c r="H5" s="477">
        <f>tertiair!H16</f>
        <v>0</v>
      </c>
      <c r="I5" s="477">
        <f>tertiair!I16</f>
        <v>0</v>
      </c>
      <c r="J5" s="477">
        <f>tertiair!J16</f>
        <v>5.9634083663246004E-2</v>
      </c>
      <c r="K5" s="477">
        <f>tertiair!K16</f>
        <v>0</v>
      </c>
      <c r="L5" s="477">
        <f ca="1">tertiair!L16</f>
        <v>0</v>
      </c>
      <c r="M5" s="477">
        <f>tertiair!M16</f>
        <v>0</v>
      </c>
      <c r="N5" s="477">
        <f ca="1">tertiair!N16</f>
        <v>0</v>
      </c>
      <c r="O5" s="477">
        <f>tertiair!O16</f>
        <v>14.070000000000002</v>
      </c>
      <c r="P5" s="478">
        <f>tertiair!P16</f>
        <v>76.266666666666666</v>
      </c>
      <c r="Q5" s="476">
        <f t="shared" ref="Q5:Q14" ca="1" si="0">SUM(B5:P5)</f>
        <v>82185.41771555609</v>
      </c>
    </row>
    <row r="6" spans="1:17">
      <c r="A6" s="476" t="s">
        <v>194</v>
      </c>
      <c r="B6" s="477">
        <f>'openbare verlichting'!B8</f>
        <v>1378.759</v>
      </c>
      <c r="C6" s="477"/>
      <c r="D6" s="477"/>
      <c r="E6" s="477"/>
      <c r="F6" s="477"/>
      <c r="G6" s="477"/>
      <c r="H6" s="477"/>
      <c r="I6" s="477"/>
      <c r="J6" s="477"/>
      <c r="K6" s="477"/>
      <c r="L6" s="477"/>
      <c r="M6" s="477"/>
      <c r="N6" s="477"/>
      <c r="O6" s="477"/>
      <c r="P6" s="478"/>
      <c r="Q6" s="476">
        <f t="shared" si="0"/>
        <v>1378.759</v>
      </c>
    </row>
    <row r="7" spans="1:17">
      <c r="A7" s="476" t="s">
        <v>112</v>
      </c>
      <c r="B7" s="477">
        <f>landbouw!B8</f>
        <v>4631.2308419550691</v>
      </c>
      <c r="C7" s="477">
        <f>landbouw!C8</f>
        <v>7639.7142857142862</v>
      </c>
      <c r="D7" s="477">
        <f>landbouw!D8</f>
        <v>0</v>
      </c>
      <c r="E7" s="477">
        <f>landbouw!E8</f>
        <v>136.12601985673547</v>
      </c>
      <c r="F7" s="477">
        <f>landbouw!F8</f>
        <v>19293.457429005608</v>
      </c>
      <c r="G7" s="477">
        <f>landbouw!G8</f>
        <v>0</v>
      </c>
      <c r="H7" s="477">
        <f>landbouw!H8</f>
        <v>0</v>
      </c>
      <c r="I7" s="477">
        <f>landbouw!I8</f>
        <v>0</v>
      </c>
      <c r="J7" s="477">
        <f>landbouw!J8</f>
        <v>670.96589217848759</v>
      </c>
      <c r="K7" s="477">
        <f>landbouw!K8</f>
        <v>0</v>
      </c>
      <c r="L7" s="477">
        <f>landbouw!L8</f>
        <v>0</v>
      </c>
      <c r="M7" s="477">
        <f>landbouw!M8</f>
        <v>0</v>
      </c>
      <c r="N7" s="477">
        <f>landbouw!N8</f>
        <v>0</v>
      </c>
      <c r="O7" s="477">
        <f>landbouw!O8</f>
        <v>0</v>
      </c>
      <c r="P7" s="478">
        <f>landbouw!P8</f>
        <v>0</v>
      </c>
      <c r="Q7" s="476">
        <f t="shared" si="0"/>
        <v>32371.494468710185</v>
      </c>
    </row>
    <row r="8" spans="1:17">
      <c r="A8" s="476" t="s">
        <v>635</v>
      </c>
      <c r="B8" s="477">
        <f>industrie!B18</f>
        <v>26136.980585342928</v>
      </c>
      <c r="C8" s="477">
        <f>industrie!C18</f>
        <v>0</v>
      </c>
      <c r="D8" s="477">
        <f>industrie!D18</f>
        <v>22601.029437347916</v>
      </c>
      <c r="E8" s="477">
        <f>industrie!E18</f>
        <v>1983.6043234413091</v>
      </c>
      <c r="F8" s="477">
        <f>industrie!F18</f>
        <v>7016.3668802914344</v>
      </c>
      <c r="G8" s="477">
        <f>industrie!G18</f>
        <v>0</v>
      </c>
      <c r="H8" s="477">
        <f>industrie!H18</f>
        <v>0</v>
      </c>
      <c r="I8" s="477">
        <f>industrie!I18</f>
        <v>0</v>
      </c>
      <c r="J8" s="477">
        <f>industrie!J18</f>
        <v>71.929895679181428</v>
      </c>
      <c r="K8" s="477">
        <f>industrie!K18</f>
        <v>0</v>
      </c>
      <c r="L8" s="477">
        <f>industrie!L18</f>
        <v>0</v>
      </c>
      <c r="M8" s="477">
        <f>industrie!M18</f>
        <v>0</v>
      </c>
      <c r="N8" s="477">
        <f>industrie!N18</f>
        <v>5823.4673327629753</v>
      </c>
      <c r="O8" s="477">
        <f>industrie!O18</f>
        <v>0</v>
      </c>
      <c r="P8" s="478">
        <f>industrie!P18</f>
        <v>0</v>
      </c>
      <c r="Q8" s="476">
        <f t="shared" si="0"/>
        <v>63633.378454865742</v>
      </c>
    </row>
    <row r="9" spans="1:17" s="482" customFormat="1">
      <c r="A9" s="480" t="s">
        <v>561</v>
      </c>
      <c r="B9" s="481">
        <f>transport!B14</f>
        <v>127.06464972912781</v>
      </c>
      <c r="C9" s="481">
        <f>transport!C14</f>
        <v>0</v>
      </c>
      <c r="D9" s="481">
        <f>transport!D14</f>
        <v>406.79373772654299</v>
      </c>
      <c r="E9" s="481">
        <f>transport!E14</f>
        <v>629.0717001331459</v>
      </c>
      <c r="F9" s="481">
        <f>transport!F14</f>
        <v>0</v>
      </c>
      <c r="G9" s="481">
        <f>transport!G14</f>
        <v>300235.93621619459</v>
      </c>
      <c r="H9" s="481">
        <f>transport!H14</f>
        <v>47290.501419795197</v>
      </c>
      <c r="I9" s="481">
        <f>transport!I14</f>
        <v>0</v>
      </c>
      <c r="J9" s="481">
        <f>transport!J14</f>
        <v>0</v>
      </c>
      <c r="K9" s="481">
        <f>transport!K14</f>
        <v>0</v>
      </c>
      <c r="L9" s="481">
        <f>transport!L14</f>
        <v>0</v>
      </c>
      <c r="M9" s="481">
        <f>transport!M14</f>
        <v>18936.678225886732</v>
      </c>
      <c r="N9" s="481">
        <f>transport!N14</f>
        <v>0</v>
      </c>
      <c r="O9" s="481">
        <f>transport!O14</f>
        <v>0</v>
      </c>
      <c r="P9" s="481">
        <f>transport!P14</f>
        <v>0</v>
      </c>
      <c r="Q9" s="480">
        <f>SUM(B9:P9)</f>
        <v>367626.04594946536</v>
      </c>
    </row>
    <row r="10" spans="1:17">
      <c r="A10" s="476" t="s">
        <v>551</v>
      </c>
      <c r="B10" s="477">
        <f>transport!B54</f>
        <v>0</v>
      </c>
      <c r="C10" s="477">
        <f>transport!C54</f>
        <v>0</v>
      </c>
      <c r="D10" s="477">
        <f>transport!D54</f>
        <v>0</v>
      </c>
      <c r="E10" s="477">
        <f>transport!E54</f>
        <v>0</v>
      </c>
      <c r="F10" s="477">
        <f>transport!F54</f>
        <v>0</v>
      </c>
      <c r="G10" s="477">
        <f>transport!G54</f>
        <v>3289.8888587570223</v>
      </c>
      <c r="H10" s="477">
        <f>transport!H54</f>
        <v>0</v>
      </c>
      <c r="I10" s="477">
        <f>transport!I54</f>
        <v>0</v>
      </c>
      <c r="J10" s="477">
        <f>transport!J54</f>
        <v>0</v>
      </c>
      <c r="K10" s="477">
        <f>transport!K54</f>
        <v>0</v>
      </c>
      <c r="L10" s="477">
        <f>transport!L54</f>
        <v>0</v>
      </c>
      <c r="M10" s="477">
        <f>transport!M54</f>
        <v>186.85116371173515</v>
      </c>
      <c r="N10" s="477">
        <f>transport!N54</f>
        <v>0</v>
      </c>
      <c r="O10" s="477">
        <f>transport!O54</f>
        <v>0</v>
      </c>
      <c r="P10" s="478">
        <f>transport!P54</f>
        <v>0</v>
      </c>
      <c r="Q10" s="476">
        <f t="shared" si="0"/>
        <v>3476.7400224687576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1713.6191528888401</v>
      </c>
      <c r="C14" s="484"/>
      <c r="D14" s="484">
        <f>'SEAP template'!E25</f>
        <v>3333.1119490522397</v>
      </c>
      <c r="E14" s="484"/>
      <c r="F14" s="484"/>
      <c r="G14" s="484"/>
      <c r="H14" s="484"/>
      <c r="I14" s="484"/>
      <c r="J14" s="484"/>
      <c r="K14" s="484"/>
      <c r="L14" s="484"/>
      <c r="M14" s="484"/>
      <c r="N14" s="484"/>
      <c r="O14" s="484"/>
      <c r="P14" s="485"/>
      <c r="Q14" s="476">
        <f t="shared" si="0"/>
        <v>5046.7311019410799</v>
      </c>
    </row>
    <row r="15" spans="1:17" s="486" customFormat="1">
      <c r="A15" s="1039" t="s">
        <v>555</v>
      </c>
      <c r="B15" s="987">
        <f ca="1">SUM(B4:B14)</f>
        <v>136515.93403801054</v>
      </c>
      <c r="C15" s="987">
        <f t="shared" ref="C15:Q15" ca="1" si="1">SUM(C4:C14)</f>
        <v>7639.7142857142862</v>
      </c>
      <c r="D15" s="987">
        <f t="shared" ca="1" si="1"/>
        <v>190233.33858273854</v>
      </c>
      <c r="E15" s="987">
        <f t="shared" si="1"/>
        <v>10495.781900535749</v>
      </c>
      <c r="F15" s="987">
        <f t="shared" ca="1" si="1"/>
        <v>30853.857813948154</v>
      </c>
      <c r="G15" s="987">
        <f t="shared" si="1"/>
        <v>303525.82507495163</v>
      </c>
      <c r="H15" s="987">
        <f t="shared" si="1"/>
        <v>47290.501419795197</v>
      </c>
      <c r="I15" s="987">
        <f t="shared" si="1"/>
        <v>0</v>
      </c>
      <c r="J15" s="987">
        <f t="shared" si="1"/>
        <v>742.95542194133225</v>
      </c>
      <c r="K15" s="987">
        <f t="shared" si="1"/>
        <v>0</v>
      </c>
      <c r="L15" s="987">
        <f t="shared" ca="1" si="1"/>
        <v>0</v>
      </c>
      <c r="M15" s="987">
        <f t="shared" si="1"/>
        <v>19123.529389598465</v>
      </c>
      <c r="N15" s="987">
        <f t="shared" ca="1" si="1"/>
        <v>40142.732803798091</v>
      </c>
      <c r="O15" s="987">
        <f t="shared" si="1"/>
        <v>454.93000000000006</v>
      </c>
      <c r="P15" s="987">
        <f t="shared" si="1"/>
        <v>3203.2000000000003</v>
      </c>
      <c r="Q15" s="987">
        <f t="shared" ca="1" si="1"/>
        <v>790222.30073103204</v>
      </c>
    </row>
    <row r="17" spans="1:17">
      <c r="A17" s="487" t="s">
        <v>556</v>
      </c>
      <c r="B17" s="786">
        <f ca="1">huishoudens!B10</f>
        <v>0.15783853789453434</v>
      </c>
      <c r="C17" s="786">
        <f ca="1">huishoudens!C10</f>
        <v>0.2337675965707724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9359.5246930240191</v>
      </c>
      <c r="C22" s="477">
        <f t="shared" ref="C22:C32" ca="1" si="3">C4*$C$17</f>
        <v>0</v>
      </c>
      <c r="D22" s="477">
        <f t="shared" ref="D22:D32" si="4">D4*$D$17</f>
        <v>26253.926511272246</v>
      </c>
      <c r="E22" s="477">
        <f t="shared" ref="E22:E32" si="5">E4*$E$17</f>
        <v>1668.1427540256855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37281.593958321952</v>
      </c>
    </row>
    <row r="23" spans="1:17">
      <c r="A23" s="476" t="s">
        <v>156</v>
      </c>
      <c r="B23" s="477">
        <f t="shared" ca="1" si="2"/>
        <v>6823.3890847273397</v>
      </c>
      <c r="C23" s="477">
        <f t="shared" ca="1" si="3"/>
        <v>0</v>
      </c>
      <c r="D23" s="477">
        <f t="shared" ca="1" si="4"/>
        <v>6852.338987367345</v>
      </c>
      <c r="E23" s="477">
        <f t="shared" si="5"/>
        <v>90.421673537048974</v>
      </c>
      <c r="F23" s="477">
        <f t="shared" ca="1" si="6"/>
        <v>1213.2569457418479</v>
      </c>
      <c r="G23" s="477">
        <f t="shared" si="7"/>
        <v>0</v>
      </c>
      <c r="H23" s="477">
        <f t="shared" si="8"/>
        <v>0</v>
      </c>
      <c r="I23" s="477">
        <f t="shared" si="9"/>
        <v>0</v>
      </c>
      <c r="J23" s="477">
        <f t="shared" si="10"/>
        <v>2.1110465616789083E-2</v>
      </c>
      <c r="K23" s="477">
        <f t="shared" si="11"/>
        <v>0</v>
      </c>
      <c r="L23" s="477">
        <f t="shared" ca="1" si="12"/>
        <v>0</v>
      </c>
      <c r="M23" s="477">
        <f t="shared" si="13"/>
        <v>0</v>
      </c>
      <c r="N23" s="477">
        <f t="shared" ca="1" si="14"/>
        <v>0</v>
      </c>
      <c r="O23" s="477">
        <f t="shared" si="15"/>
        <v>0</v>
      </c>
      <c r="P23" s="478">
        <f t="shared" si="16"/>
        <v>0</v>
      </c>
      <c r="Q23" s="476">
        <f t="shared" ref="Q23:Q32" ca="1" si="17">SUM(B23:P23)</f>
        <v>14979.427801839198</v>
      </c>
    </row>
    <row r="24" spans="1:17">
      <c r="A24" s="476" t="s">
        <v>194</v>
      </c>
      <c r="B24" s="477">
        <f t="shared" ca="1" si="2"/>
        <v>217.62130466893026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217.62130466893026</v>
      </c>
    </row>
    <row r="25" spans="1:17">
      <c r="A25" s="476" t="s">
        <v>112</v>
      </c>
      <c r="B25" s="477">
        <f t="shared" ca="1" si="2"/>
        <v>730.98670474626135</v>
      </c>
      <c r="C25" s="477">
        <f t="shared" ca="1" si="3"/>
        <v>1785.9176470588238</v>
      </c>
      <c r="D25" s="477">
        <f t="shared" si="4"/>
        <v>0</v>
      </c>
      <c r="E25" s="477">
        <f t="shared" si="5"/>
        <v>30.900606507478951</v>
      </c>
      <c r="F25" s="477">
        <f t="shared" si="6"/>
        <v>5151.3531335444977</v>
      </c>
      <c r="G25" s="477">
        <f t="shared" si="7"/>
        <v>0</v>
      </c>
      <c r="H25" s="477">
        <f t="shared" si="8"/>
        <v>0</v>
      </c>
      <c r="I25" s="477">
        <f t="shared" si="9"/>
        <v>0</v>
      </c>
      <c r="J25" s="477">
        <f t="shared" si="10"/>
        <v>237.5219258311846</v>
      </c>
      <c r="K25" s="477">
        <f t="shared" si="11"/>
        <v>0</v>
      </c>
      <c r="L25" s="477">
        <f t="shared" si="12"/>
        <v>0</v>
      </c>
      <c r="M25" s="477">
        <f t="shared" si="13"/>
        <v>0</v>
      </c>
      <c r="N25" s="477">
        <f t="shared" si="14"/>
        <v>0</v>
      </c>
      <c r="O25" s="477">
        <f t="shared" si="15"/>
        <v>0</v>
      </c>
      <c r="P25" s="478">
        <f t="shared" si="16"/>
        <v>0</v>
      </c>
      <c r="Q25" s="476">
        <f t="shared" ca="1" si="17"/>
        <v>7936.6800176882462</v>
      </c>
    </row>
    <row r="26" spans="1:17">
      <c r="A26" s="476" t="s">
        <v>635</v>
      </c>
      <c r="B26" s="477">
        <f t="shared" ca="1" si="2"/>
        <v>4125.4228005683581</v>
      </c>
      <c r="C26" s="477">
        <f t="shared" ca="1" si="3"/>
        <v>0</v>
      </c>
      <c r="D26" s="477">
        <f t="shared" si="4"/>
        <v>4565.4079463442795</v>
      </c>
      <c r="E26" s="477">
        <f t="shared" si="5"/>
        <v>450.27818142117718</v>
      </c>
      <c r="F26" s="477">
        <f t="shared" si="6"/>
        <v>1873.369957037813</v>
      </c>
      <c r="G26" s="477">
        <f t="shared" si="7"/>
        <v>0</v>
      </c>
      <c r="H26" s="477">
        <f t="shared" si="8"/>
        <v>0</v>
      </c>
      <c r="I26" s="477">
        <f t="shared" si="9"/>
        <v>0</v>
      </c>
      <c r="J26" s="477">
        <f t="shared" si="10"/>
        <v>25.463183070430222</v>
      </c>
      <c r="K26" s="477">
        <f t="shared" si="11"/>
        <v>0</v>
      </c>
      <c r="L26" s="477">
        <f t="shared" si="12"/>
        <v>0</v>
      </c>
      <c r="M26" s="477">
        <f t="shared" si="13"/>
        <v>0</v>
      </c>
      <c r="N26" s="477">
        <f t="shared" si="14"/>
        <v>0</v>
      </c>
      <c r="O26" s="477">
        <f t="shared" si="15"/>
        <v>0</v>
      </c>
      <c r="P26" s="478">
        <f t="shared" si="16"/>
        <v>0</v>
      </c>
      <c r="Q26" s="476">
        <f t="shared" ca="1" si="17"/>
        <v>11039.942068442058</v>
      </c>
    </row>
    <row r="27" spans="1:17" s="482" customFormat="1">
      <c r="A27" s="480" t="s">
        <v>561</v>
      </c>
      <c r="B27" s="780">
        <f t="shared" ca="1" si="2"/>
        <v>20.055698531326673</v>
      </c>
      <c r="C27" s="481">
        <f t="shared" ca="1" si="3"/>
        <v>0</v>
      </c>
      <c r="D27" s="481">
        <f t="shared" si="4"/>
        <v>82.172335020761693</v>
      </c>
      <c r="E27" s="481">
        <f t="shared" si="5"/>
        <v>142.79927593022413</v>
      </c>
      <c r="F27" s="481">
        <f t="shared" si="6"/>
        <v>0</v>
      </c>
      <c r="G27" s="481">
        <f t="shared" si="7"/>
        <v>80162.994969723964</v>
      </c>
      <c r="H27" s="481">
        <f t="shared" si="8"/>
        <v>11775.334853529004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92183.357132735269</v>
      </c>
    </row>
    <row r="28" spans="1:17">
      <c r="A28" s="476" t="s">
        <v>551</v>
      </c>
      <c r="B28" s="477">
        <f t="shared" ca="1" si="2"/>
        <v>0</v>
      </c>
      <c r="C28" s="477">
        <f t="shared" ca="1" si="3"/>
        <v>0</v>
      </c>
      <c r="D28" s="477">
        <f t="shared" si="4"/>
        <v>0</v>
      </c>
      <c r="E28" s="477">
        <f t="shared" si="5"/>
        <v>0</v>
      </c>
      <c r="F28" s="477">
        <f t="shared" si="6"/>
        <v>0</v>
      </c>
      <c r="G28" s="477">
        <f t="shared" si="7"/>
        <v>878.40032528812503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878.40032528812503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270.47514160004499</v>
      </c>
      <c r="C32" s="477">
        <f t="shared" ca="1" si="3"/>
        <v>0</v>
      </c>
      <c r="D32" s="477">
        <f t="shared" si="4"/>
        <v>673.28861370855248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943.76375530859741</v>
      </c>
    </row>
    <row r="33" spans="1:17" s="486" customFormat="1">
      <c r="A33" s="1039" t="s">
        <v>555</v>
      </c>
      <c r="B33" s="987">
        <f ca="1">SUM(B22:B32)</f>
        <v>21547.47542786628</v>
      </c>
      <c r="C33" s="987">
        <f t="shared" ref="C33:Q33" ca="1" si="18">SUM(C22:C32)</f>
        <v>1785.9176470588238</v>
      </c>
      <c r="D33" s="987">
        <f t="shared" ca="1" si="18"/>
        <v>38427.134393713182</v>
      </c>
      <c r="E33" s="987">
        <f t="shared" si="18"/>
        <v>2382.5424914216146</v>
      </c>
      <c r="F33" s="987">
        <f t="shared" ca="1" si="18"/>
        <v>8237.9800363241593</v>
      </c>
      <c r="G33" s="987">
        <f t="shared" si="18"/>
        <v>81041.395295012087</v>
      </c>
      <c r="H33" s="987">
        <f t="shared" si="18"/>
        <v>11775.334853529004</v>
      </c>
      <c r="I33" s="987">
        <f t="shared" si="18"/>
        <v>0</v>
      </c>
      <c r="J33" s="987">
        <f t="shared" si="18"/>
        <v>263.00621936723161</v>
      </c>
      <c r="K33" s="987">
        <f t="shared" si="18"/>
        <v>0</v>
      </c>
      <c r="L33" s="987">
        <f t="shared" ca="1" si="18"/>
        <v>0</v>
      </c>
      <c r="M33" s="987">
        <f t="shared" si="18"/>
        <v>0</v>
      </c>
      <c r="N33" s="987">
        <f t="shared" ca="1" si="18"/>
        <v>0</v>
      </c>
      <c r="O33" s="987">
        <f t="shared" si="18"/>
        <v>0</v>
      </c>
      <c r="P33" s="987">
        <f t="shared" si="18"/>
        <v>0</v>
      </c>
      <c r="Q33" s="987">
        <f t="shared" ca="1" si="18"/>
        <v>165460.78636429241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10334.688751527792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12070.309200848826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87.299999999999969</v>
      </c>
      <c r="C8" s="1056">
        <f>'SEAP template'!C76</f>
        <v>5260.4999999999991</v>
      </c>
      <c r="D8" s="1056">
        <f>'SEAP template'!D76</f>
        <v>6188.823529411764</v>
      </c>
      <c r="E8" s="1056">
        <f>'SEAP template'!E76</f>
        <v>0</v>
      </c>
      <c r="F8" s="1056">
        <f>'SEAP template'!F76</f>
        <v>0</v>
      </c>
      <c r="G8" s="1056">
        <f>'SEAP template'!G76</f>
        <v>0</v>
      </c>
      <c r="H8" s="1056">
        <f>'SEAP template'!H76</f>
        <v>0</v>
      </c>
      <c r="I8" s="1056">
        <f>'SEAP template'!I76</f>
        <v>0</v>
      </c>
      <c r="J8" s="1056">
        <f>'SEAP template'!J76</f>
        <v>102.70588235294115</v>
      </c>
      <c r="K8" s="1056">
        <f>'SEAP template'!K76</f>
        <v>0</v>
      </c>
      <c r="L8" s="1056">
        <f>'SEAP template'!L76</f>
        <v>0</v>
      </c>
      <c r="M8" s="1056">
        <f>'SEAP template'!M76</f>
        <v>0</v>
      </c>
      <c r="N8" s="1056">
        <f>'SEAP template'!N76</f>
        <v>0</v>
      </c>
      <c r="O8" s="1056">
        <f>'SEAP template'!O76</f>
        <v>0</v>
      </c>
      <c r="P8" s="1057">
        <f>'SEAP template'!Q76</f>
        <v>1250.1423529411763</v>
      </c>
    </row>
    <row r="9" spans="1:16">
      <c r="A9" s="1059" t="s">
        <v>854</v>
      </c>
      <c r="B9" s="1056">
        <f>'SEAP template'!B77</f>
        <v>16920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48342.857142857152</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39412.297952376612</v>
      </c>
      <c r="C10" s="1060">
        <f>SUM(C4:C9)</f>
        <v>5260.4999999999991</v>
      </c>
      <c r="D10" s="1060">
        <f t="shared" ref="D10:H10" si="0">SUM(D8:D9)</f>
        <v>6188.823529411764</v>
      </c>
      <c r="E10" s="1060">
        <f t="shared" si="0"/>
        <v>0</v>
      </c>
      <c r="F10" s="1060">
        <f t="shared" si="0"/>
        <v>0</v>
      </c>
      <c r="G10" s="1060">
        <f t="shared" si="0"/>
        <v>0</v>
      </c>
      <c r="H10" s="1060">
        <f t="shared" si="0"/>
        <v>0</v>
      </c>
      <c r="I10" s="1060">
        <f>SUM(I8:I9)</f>
        <v>0</v>
      </c>
      <c r="J10" s="1060">
        <f>SUM(J8:J9)</f>
        <v>48445.563025210096</v>
      </c>
      <c r="K10" s="1060">
        <f t="shared" ref="K10:L10" si="1">SUM(K8:K9)</f>
        <v>0</v>
      </c>
      <c r="L10" s="1060">
        <f t="shared" si="1"/>
        <v>0</v>
      </c>
      <c r="M10" s="1060">
        <f>SUM(M8:M9)</f>
        <v>0</v>
      </c>
      <c r="N10" s="1060">
        <f>SUM(N8:N9)</f>
        <v>0</v>
      </c>
      <c r="O10" s="1060">
        <f>SUM(O8:O9)</f>
        <v>0</v>
      </c>
      <c r="P10" s="1060">
        <f>SUM(P8:P9)</f>
        <v>1250.1423529411763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0.15783853789453434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124.71428571428569</v>
      </c>
      <c r="C17" s="1062">
        <f>'SEAP template'!C87</f>
        <v>7515.0000000000009</v>
      </c>
      <c r="D17" s="1057">
        <f>'SEAP template'!D87</f>
        <v>8841.176470588236</v>
      </c>
      <c r="E17" s="1057">
        <f>'SEAP template'!E87</f>
        <v>0</v>
      </c>
      <c r="F17" s="1057">
        <f>'SEAP template'!F87</f>
        <v>0</v>
      </c>
      <c r="G17" s="1057">
        <f>'SEAP template'!G87</f>
        <v>0</v>
      </c>
      <c r="H17" s="1057">
        <f>'SEAP template'!H87</f>
        <v>0</v>
      </c>
      <c r="I17" s="1057">
        <f>'SEAP template'!I87</f>
        <v>0</v>
      </c>
      <c r="J17" s="1057">
        <f>'SEAP template'!J87</f>
        <v>146.72268907563023</v>
      </c>
      <c r="K17" s="1057">
        <f>'SEAP template'!K87</f>
        <v>0</v>
      </c>
      <c r="L17" s="1057">
        <f>'SEAP template'!L87</f>
        <v>0</v>
      </c>
      <c r="M17" s="1057">
        <f>'SEAP template'!M87</f>
        <v>0</v>
      </c>
      <c r="N17" s="1057">
        <f>'SEAP template'!N87</f>
        <v>0</v>
      </c>
      <c r="O17" s="1057">
        <f>'SEAP template'!O87</f>
        <v>0</v>
      </c>
      <c r="P17" s="1057">
        <f>'SEAP template'!Q87</f>
        <v>1785.9176470588238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124.71428571428569</v>
      </c>
      <c r="C20" s="1060">
        <f>SUM(C17:C19)</f>
        <v>7515.0000000000009</v>
      </c>
      <c r="D20" s="1060">
        <f t="shared" ref="D20:H20" si="2">SUM(D17:D19)</f>
        <v>8841.176470588236</v>
      </c>
      <c r="E20" s="1060">
        <f t="shared" si="2"/>
        <v>0</v>
      </c>
      <c r="F20" s="1060">
        <f t="shared" si="2"/>
        <v>0</v>
      </c>
      <c r="G20" s="1060">
        <f t="shared" si="2"/>
        <v>0</v>
      </c>
      <c r="H20" s="1060">
        <f t="shared" si="2"/>
        <v>0</v>
      </c>
      <c r="I20" s="1060">
        <f>SUM(I17:I19)</f>
        <v>0</v>
      </c>
      <c r="J20" s="1060">
        <f>SUM(J17:J19)</f>
        <v>146.72268907563023</v>
      </c>
      <c r="K20" s="1060">
        <f t="shared" ref="K20:L20" si="3">SUM(K17:K19)</f>
        <v>0</v>
      </c>
      <c r="L20" s="1060">
        <f t="shared" si="3"/>
        <v>0</v>
      </c>
      <c r="M20" s="1060">
        <f>SUM(M17:M19)</f>
        <v>0</v>
      </c>
      <c r="N20" s="1060">
        <f>SUM(N17:N19)</f>
        <v>0</v>
      </c>
      <c r="O20" s="1060">
        <f>SUM(O17:O19)</f>
        <v>0</v>
      </c>
      <c r="P20" s="1060">
        <f>SUM(P17:P19)</f>
        <v>1785.9176470588238</v>
      </c>
    </row>
    <row r="22" spans="1:16">
      <c r="A22" s="487" t="s">
        <v>862</v>
      </c>
      <c r="B22" s="786" t="s">
        <v>856</v>
      </c>
      <c r="C22" s="786">
        <f ca="1">'EF ele_warmte'!B22</f>
        <v>0.2337675965707724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0.15783853789453434</v>
      </c>
      <c r="C17" s="524">
        <f ca="1">'EF ele_warmte'!B22</f>
        <v>0.2337675965707724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2019-08-12T08:31:08Z</dcterms:modified>
</cp:coreProperties>
</file>