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J89" i="14" s="1"/>
  <c r="J19" i="61" s="1"/>
  <c r="I19" i="18"/>
  <c r="I89" i="14" s="1"/>
  <c r="I19" i="61" s="1"/>
  <c r="H19" i="18"/>
  <c r="M89" i="14" s="1"/>
  <c r="M19" i="61" s="1"/>
  <c r="G19" i="18"/>
  <c r="F19"/>
  <c r="G89" i="14" s="1"/>
  <c r="G19" i="61" s="1"/>
  <c r="E19" i="18"/>
  <c r="F89" i="14" s="1"/>
  <c r="F19" i="61" s="1"/>
  <c r="D19" i="18"/>
  <c r="C19"/>
  <c r="B19"/>
  <c r="N18"/>
  <c r="L88" i="14" s="1"/>
  <c r="M18" i="18"/>
  <c r="K88" i="14" s="1"/>
  <c r="L18" i="18"/>
  <c r="L20" s="1"/>
  <c r="K18"/>
  <c r="J18"/>
  <c r="I18"/>
  <c r="H18"/>
  <c r="G18"/>
  <c r="H88" i="14" s="1"/>
  <c r="H18" i="61" s="1"/>
  <c r="F18" i="18"/>
  <c r="G88" i="14" s="1"/>
  <c r="G18" i="61" s="1"/>
  <c r="E18" i="18"/>
  <c r="F88" i="14" s="1"/>
  <c r="F18" i="61" s="1"/>
  <c r="D18" i="18"/>
  <c r="C18"/>
  <c r="B18"/>
  <c r="L9"/>
  <c r="K9"/>
  <c r="I9"/>
  <c r="G9"/>
  <c r="G10" s="1"/>
  <c r="F9"/>
  <c r="F10" s="1"/>
  <c r="E9"/>
  <c r="D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C9" s="1"/>
  <c r="O89"/>
  <c r="N89"/>
  <c r="M89"/>
  <c r="W61"/>
  <c r="V61"/>
  <c r="U61"/>
  <c r="T61"/>
  <c r="L6" i="17" s="1"/>
  <c r="S61" i="18"/>
  <c r="F6" i="17" s="1"/>
  <c r="R61" i="18"/>
  <c r="N6" i="17" s="1"/>
  <c r="Q61" i="18"/>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B98" s="1"/>
  <c r="N58"/>
  <c r="M58"/>
  <c r="G22"/>
  <c r="F22"/>
  <c r="E22"/>
  <c r="D22"/>
  <c r="C22"/>
  <c r="N88" i="14"/>
  <c r="N18" i="61" s="1"/>
  <c r="N20" s="1"/>
  <c r="D20" i="18"/>
  <c r="D88" i="14"/>
  <c r="D18" i="61" s="1"/>
  <c r="B17" i="18"/>
  <c r="G12"/>
  <c r="F12"/>
  <c r="E12"/>
  <c r="D12"/>
  <c r="C12"/>
  <c r="L10"/>
  <c r="K10"/>
  <c r="E77" i="14"/>
  <c r="E9" i="61" s="1"/>
  <c r="B8" i="18"/>
  <c r="B6"/>
  <c r="B74" i="14" s="1"/>
  <c r="B6" i="61" s="1"/>
  <c r="B5" i="18"/>
  <c r="B73" i="14" s="1"/>
  <c r="B5" i="61" s="1"/>
  <c r="B4" i="18"/>
  <c r="B19" i="6"/>
  <c r="B18"/>
  <c r="B5"/>
  <c r="B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0"/>
  <c r="Q14"/>
  <c r="P28"/>
  <c r="O89" i="14"/>
  <c r="O19" i="61" s="1"/>
  <c r="N89" i="14"/>
  <c r="N19" i="61" s="1"/>
  <c r="L89" i="14"/>
  <c r="L19" i="61" s="1"/>
  <c r="K89" i="14"/>
  <c r="K19" i="61" s="1"/>
  <c r="H89" i="14"/>
  <c r="H19" i="61" s="1"/>
  <c r="E89" i="14"/>
  <c r="E19" i="61" s="1"/>
  <c r="D89" i="14"/>
  <c r="D19" i="61" s="1"/>
  <c r="M88" i="14"/>
  <c r="M18" i="61" s="1"/>
  <c r="J88" i="14"/>
  <c r="J18" i="61" s="1"/>
  <c r="I88" i="14"/>
  <c r="I18" i="61" s="1"/>
  <c r="E88" i="14"/>
  <c r="O87"/>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I56" s="1"/>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P22" s="1"/>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P52"/>
  <c r="R44"/>
  <c r="Q26"/>
  <c r="N26"/>
  <c r="E25"/>
  <c r="D14" i="48" s="1"/>
  <c r="C25" i="14"/>
  <c r="B14" i="48" s="1"/>
  <c r="H26" i="14"/>
  <c r="R12"/>
  <c r="D5" i="17"/>
  <c r="K18" i="61" l="1"/>
  <c r="K20" s="1"/>
  <c r="K90" i="14"/>
  <c r="L78"/>
  <c r="L8" i="61"/>
  <c r="L10" s="1"/>
  <c r="E90" i="14"/>
  <c r="E18" i="61"/>
  <c r="E20" s="1"/>
  <c r="K78" i="14"/>
  <c r="K8" i="61"/>
  <c r="K10" s="1"/>
  <c r="N78" i="14"/>
  <c r="N9" i="61"/>
  <c r="L90" i="14"/>
  <c r="L18" i="61"/>
  <c r="L20" s="1"/>
  <c r="B10" i="18"/>
  <c r="M77" i="14"/>
  <c r="M9" i="61" s="1"/>
  <c r="H9" i="18"/>
  <c r="P31" i="48"/>
  <c r="J22" i="14"/>
  <c r="B20" i="18"/>
  <c r="F13" i="15"/>
  <c r="O22" i="14"/>
  <c r="G77"/>
  <c r="G9" i="61" s="1"/>
  <c r="G10" s="1"/>
  <c r="H20"/>
  <c r="P25" i="48"/>
  <c r="I77" i="14"/>
  <c r="I9" i="61" s="1"/>
  <c r="O9" i="18"/>
  <c r="O10" i="61"/>
  <c r="G20"/>
  <c r="Q11" i="48"/>
  <c r="O25"/>
  <c r="N10" i="61"/>
  <c r="O32" i="48"/>
  <c r="C98" i="18"/>
  <c r="C101" s="1"/>
  <c r="D13" i="15"/>
  <c r="L13"/>
  <c r="B13"/>
  <c r="H90" i="14"/>
  <c r="N13" i="15"/>
  <c r="F77" i="14"/>
  <c r="F9" i="61" s="1"/>
  <c r="I101" i="18"/>
  <c r="H8" s="1"/>
  <c r="E101"/>
  <c r="E8" s="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O90" l="1"/>
  <c r="O18" i="61"/>
  <c r="O20" s="1"/>
  <c r="H78" i="14"/>
  <c r="H9" i="61"/>
  <c r="H10" s="1"/>
  <c r="G101" i="18"/>
  <c r="I8" s="1"/>
  <c r="I76" i="14" s="1"/>
  <c r="I8" i="61" s="1"/>
  <c r="I10" s="1"/>
  <c r="F101" i="18"/>
  <c r="D10" i="61"/>
  <c r="H101" i="18"/>
  <c r="J8" s="1"/>
  <c r="O8" s="1"/>
  <c r="O10" s="1"/>
  <c r="D101"/>
  <c r="G78" i="14"/>
  <c r="B88"/>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Q88" i="14"/>
  <c r="P18" i="61" s="1"/>
  <c r="AC15" i="5"/>
  <c r="M78" i="14" l="1"/>
  <c r="M8" i="61"/>
  <c r="M10" s="1"/>
  <c r="F78" i="14"/>
  <c r="F8" i="61"/>
  <c r="F10" s="1"/>
  <c r="F90" i="14"/>
  <c r="F17" i="61"/>
  <c r="F20" s="1"/>
  <c r="M90" i="14"/>
  <c r="M17" i="61"/>
  <c r="M20" s="1"/>
  <c r="I10" i="18"/>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C78" i="14"/>
  <c r="C8" i="61"/>
  <c r="C10" s="1"/>
  <c r="B78" i="14"/>
  <c r="B8" i="61"/>
  <c r="B10" s="1"/>
  <c r="B90" i="14"/>
  <c r="B17" i="61"/>
  <c r="B2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23" i="48"/>
  <c r="G30"/>
  <c r="G32"/>
  <c r="G22"/>
  <c r="G29"/>
  <c r="G26"/>
  <c r="G24"/>
  <c r="G25"/>
  <c r="B4"/>
  <c r="C11" i="14"/>
  <c r="F30" i="48"/>
  <c r="F32"/>
  <c r="F24"/>
  <c r="F29"/>
  <c r="F28"/>
  <c r="F31"/>
  <c r="F27"/>
  <c r="N24"/>
  <c r="N31"/>
  <c r="N30"/>
  <c r="N32"/>
  <c r="N27"/>
  <c r="N28"/>
  <c r="N29"/>
  <c r="B10"/>
  <c r="C19" i="14"/>
  <c r="E31" i="48"/>
  <c r="E29"/>
  <c r="E24"/>
  <c r="E30"/>
  <c r="E28"/>
  <c r="E32"/>
  <c r="M29"/>
  <c r="M25"/>
  <c r="M26"/>
  <c r="M24"/>
  <c r="M30"/>
  <c r="M32"/>
  <c r="M22"/>
  <c r="M23"/>
  <c r="L10" i="14"/>
  <c r="L16" s="1"/>
  <c r="L27" s="1"/>
  <c r="K5" i="48"/>
  <c r="D30"/>
  <c r="D28"/>
  <c r="D32"/>
  <c r="D24"/>
  <c r="D29"/>
  <c r="D31"/>
  <c r="L29"/>
  <c r="L32"/>
  <c r="L28"/>
  <c r="L24"/>
  <c r="L22"/>
  <c r="L31"/>
  <c r="L27"/>
  <c r="L30"/>
  <c r="P5"/>
  <c r="P23" s="1"/>
  <c r="Q10" i="14"/>
  <c r="K32" i="48"/>
  <c r="K24"/>
  <c r="K31"/>
  <c r="K28"/>
  <c r="K22"/>
  <c r="K29"/>
  <c r="K30"/>
  <c r="K27"/>
  <c r="K25"/>
  <c r="K26"/>
  <c r="B7"/>
  <c r="C24" i="14"/>
  <c r="C26" s="1"/>
  <c r="J29" i="48"/>
  <c r="J30"/>
  <c r="J32"/>
  <c r="J24"/>
  <c r="J31"/>
  <c r="J27"/>
  <c r="J28"/>
  <c r="P4"/>
  <c r="Q11" i="14"/>
  <c r="P11"/>
  <c r="O4" i="48"/>
  <c r="I29"/>
  <c r="I28"/>
  <c r="I30"/>
  <c r="I22"/>
  <c r="I32"/>
  <c r="I26"/>
  <c r="I25"/>
  <c r="I31"/>
  <c r="I27"/>
  <c r="I24"/>
  <c r="E11" i="14"/>
  <c r="D4" i="48"/>
  <c r="D22" s="1"/>
  <c r="H29"/>
  <c r="H32"/>
  <c r="H28"/>
  <c r="H30"/>
  <c r="H24"/>
  <c r="H22"/>
  <c r="H26"/>
  <c r="H25"/>
  <c r="H23"/>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K23"/>
  <c r="K33" s="1"/>
  <c r="K15"/>
  <c r="C22" i="14"/>
  <c r="E9" i="48"/>
  <c r="E27" s="1"/>
  <c r="F20" i="14"/>
  <c r="F22" s="1"/>
  <c r="Q13"/>
  <c r="P8" i="48"/>
  <c r="P26" s="1"/>
  <c r="D9"/>
  <c r="D27" s="1"/>
  <c r="E20" i="14"/>
  <c r="E22" s="1"/>
  <c r="P10"/>
  <c r="O5" i="48"/>
  <c r="O23" s="1"/>
  <c r="B9"/>
  <c r="C20" i="14"/>
  <c r="K24"/>
  <c r="K26" s="1"/>
  <c r="J7" i="48"/>
  <c r="J25" s="1"/>
  <c r="G11" i="14"/>
  <c r="F4" i="48"/>
  <c r="F22" s="1"/>
  <c r="I5"/>
  <c r="J10" i="14"/>
  <c r="J16" s="1"/>
  <c r="J27" s="1"/>
  <c r="J63" s="1"/>
  <c r="P22" i="48"/>
  <c r="P33" s="1"/>
  <c r="P15"/>
  <c r="H18" i="14"/>
  <c r="G13" i="48"/>
  <c r="G31" s="1"/>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I15"/>
  <c r="I23"/>
  <c r="I33" s="1"/>
  <c r="N19" i="14"/>
  <c r="N22" s="1"/>
  <c r="N27" s="1"/>
  <c r="M10" i="48"/>
  <c r="M28" s="1"/>
  <c r="H19" i="14"/>
  <c r="G10" i="48"/>
  <c r="E7"/>
  <c r="E25" s="1"/>
  <c r="F24" i="14"/>
  <c r="F26" s="1"/>
  <c r="P13"/>
  <c r="P16" s="1"/>
  <c r="P27" s="1"/>
  <c r="O8" i="48"/>
  <c r="O26" s="1"/>
  <c r="O33" s="1"/>
  <c r="J4"/>
  <c r="K11" i="14"/>
  <c r="O11"/>
  <c r="N4" i="48"/>
  <c r="N22" s="1"/>
  <c r="H14" i="22"/>
  <c r="H9" i="48" s="1"/>
  <c r="P46" i="14"/>
  <c r="P61" s="1"/>
  <c r="Q63"/>
  <c r="M9" i="48"/>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E5" i="48" l="1"/>
  <c r="E23" s="1"/>
  <c r="F10" i="14"/>
  <c r="J22" i="48"/>
  <c r="R19" i="14"/>
  <c r="R22" s="1"/>
  <c r="G28" i="48"/>
  <c r="Q10"/>
  <c r="G9"/>
  <c r="H20" i="14"/>
  <c r="R20" s="1"/>
  <c r="K10"/>
  <c r="J5" i="48"/>
  <c r="J23" s="1"/>
  <c r="E22"/>
  <c r="Q4"/>
  <c r="P63" i="14"/>
  <c r="O15" i="48"/>
  <c r="Q7"/>
  <c r="N52" i="14"/>
  <c r="N61" s="1"/>
  <c r="N63" s="1"/>
  <c r="I20"/>
  <c r="I22" s="1"/>
  <c r="I27" s="1"/>
  <c r="R11"/>
  <c r="M15" i="48"/>
  <c r="M27"/>
  <c r="M33" s="1"/>
  <c r="Q9"/>
  <c r="H15"/>
  <c r="H27"/>
  <c r="H33" s="1"/>
  <c r="R24" i="14"/>
  <c r="R26" s="1"/>
  <c r="N18" i="16"/>
  <c r="E20" i="15"/>
  <c r="F40" i="14" s="1"/>
  <c r="F18" i="16"/>
  <c r="J18"/>
  <c r="E18"/>
  <c r="G18" i="22"/>
  <c r="H50" i="14" s="1"/>
  <c r="H52" s="1"/>
  <c r="H61" s="1"/>
  <c r="H18" i="22"/>
  <c r="I50" i="14" s="1"/>
  <c r="I52" s="1"/>
  <c r="I61" s="1"/>
  <c r="J8" i="48" l="1"/>
  <c r="J26" s="1"/>
  <c r="K13" i="14"/>
  <c r="K16" s="1"/>
  <c r="K27" s="1"/>
  <c r="K63" s="1"/>
  <c r="F13"/>
  <c r="F16" s="1"/>
  <c r="F27" s="1"/>
  <c r="F63" s="1"/>
  <c r="E8" i="48"/>
  <c r="G27"/>
  <c r="G33" s="1"/>
  <c r="G15"/>
  <c r="J33"/>
  <c r="J15"/>
  <c r="H22" i="14"/>
  <c r="H27" s="1"/>
  <c r="H63" s="1"/>
  <c r="I63"/>
  <c r="N8" i="48"/>
  <c r="N26" s="1"/>
  <c r="O13" i="14"/>
  <c r="F8" i="48"/>
  <c r="G13" i="14"/>
  <c r="R13" s="1"/>
  <c r="E22" i="16"/>
  <c r="F43" i="14" s="1"/>
  <c r="F46" s="1"/>
  <c r="F61" s="1"/>
  <c r="F22" i="16"/>
  <c r="G43" i="14" s="1"/>
  <c r="N22" i="16"/>
  <c r="O43" i="14" s="1"/>
  <c r="J22" i="16"/>
  <c r="K43" i="14" s="1"/>
  <c r="K46" s="1"/>
  <c r="K61" s="1"/>
  <c r="E26" i="48" l="1"/>
  <c r="E33" s="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<sst xmlns="http://schemas.openxmlformats.org/spreadsheetml/2006/main" count="2401" uniqueCount="890">
  <si>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</si>
  <si>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</si>
  <si>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</si>
  <si>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</si>
  <si>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</si>
  <si>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</si>
  <si>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</si>
  <si>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</si>
  <si>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</si>
  <si>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</si>
  <si>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</si>
  <si>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</si>
  <si>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</si>
  <si>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</si>
  <si>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</si>
  <si>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</si>
  <si>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</si>
  <si>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</si>
  <si>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</si>
  <si>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</si>
  <si>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</si>
  <si>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</si>
  <si>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</si>
  <si>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</si>
  <si>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</si>
  <si>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</si>
  <si>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</si>
  <si>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</si>
  <si>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</si>
  <si>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</si>
  <si>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</si>
  <si>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</si>
  <si>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</si>
  <si>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</si>
  <si>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</si>
  <si>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</si>
  <si>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</si>
  <si>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</si>
  <si>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</si>
  <si>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</si>
  <si>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</si>
  <si>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</si>
  <si>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</si>
  <si>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</si>
  <si>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</si>
  <si>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</si>
  <si>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</si>
  <si>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</si>
  <si>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</si>
  <si>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</si>
  <si>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</si>
  <si>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</si>
  <si>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</si>
  <si>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</si>
  <si>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</si>
  <si>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</si>
  <si>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</si>
  <si>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</si>
  <si>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</si>
  <si>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</si>
  <si>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</si>
  <si>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</si>
  <si>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</si>
  <si>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</si>
  <si>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</si>
  <si>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</si>
  <si>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</si>
  <si>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</si>
  <si>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</si>
  <si>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</si>
  <si>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</si>
  <si>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</si>
  <si>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</si>
  <si>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</si>
  <si>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</si>
  <si>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</si>
  <si>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</si>
  <si>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</si>
  <si>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</si>
  <si>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</si>
  <si>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</si>
  <si>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</si>
  <si>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</si>
  <si>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</si>
  <si>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</si>
  <si>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</si>
  <si>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</si>
  <si>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</si>
  <si>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</si>
  <si>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</si>
  <si>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</si>
  <si>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</si>
  <si>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</si>
  <si>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</si>
  <si>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</si>
  <si>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</si>
  <si>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</si>
  <si>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</si>
  <si>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</si>
  <si>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</si>
  <si>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</si>
  <si>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</si>
  <si>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</si>
  <si>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</si>
  <si>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</si>
  <si>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</si>
  <si>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</si>
  <si>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</si>
  <si>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</si>
  <si>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</si>
  <si>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</si>
  <si>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</si>
  <si>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</si>
  <si>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</si>
  <si>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</si>
  <si>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</si>
  <si>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</si>
  <si>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</si>
  <si>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</si>
  <si>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</si>
  <si>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</si>
  <si>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</si>
  <si>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</si>
  <si>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</si>
  <si>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</si>
  <si>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</si>
  <si>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</si>
  <si>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</si>
  <si>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</si>
  <si>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</si>
  <si>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</si>
  <si>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</si>
  <si>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</si>
  <si>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</si>
  <si>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</si>
  <si>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</si>
  <si>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</si>
  <si>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</si>
  <si>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</si>
  <si>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</si>
  <si>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</si>
  <si>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</si>
  <si>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</si>
  <si>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</si>
  <si>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</si>
  <si>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</si>
  <si>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</si>
  <si>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</si>
  <si>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</si>
  <si>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</si>
  <si>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</si>
  <si>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</si>
  <si>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</si>
  <si>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</si>
  <si>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</si>
  <si>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</si>
  <si>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</si>
  <si>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</si>
  <si>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</si>
  <si>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</si>
  <si>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</si>
  <si>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</si>
  <si>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</si>
  <si>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</si>
  <si>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</si>
  <si>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</si>
  <si>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</si>
  <si>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</si>
  <si>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</si>
  <si>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</si>
  <si>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</si>
  <si>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</si>
  <si>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</si>
  <si>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</si>
  <si>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</si>
  <si>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</si>
  <si>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</si>
  <si>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</si>
  <si>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</si>
  <si>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</si>
  <si>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</si>
  <si>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</si>
  <si>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</si>
  <si>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</si>
  <si>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</si>
  <si>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</si>
  <si>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</si>
  <si>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</si>
  <si>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</si>
  <si>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</si>
  <si>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</si>
  <si>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</si>
  <si>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</si>
  <si>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</si>
  <si>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</si>
  <si>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</si>
  <si>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</si>
  <si>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</si>
  <si>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</si>
  <si>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</si>
  <si>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</si>
  <si>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</si>
  <si>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</si>
  <si>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</si>
  <si>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</si>
  <si>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</si>
  <si>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</si>
  <si>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</si>
  <si>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</si>
  <si>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</si>
  <si>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</si>
  <si>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</si>
  <si>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</si>
  <si>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</si>
  <si>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</si>
  <si>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</si>
  <si>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</si>
  <si>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</si>
  <si>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</si>
  <si>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</si>
  <si>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</si>
  <si>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</si>
  <si>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</si>
  <si>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</si>
  <si>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</si>
  <si>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</si>
  <si>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</si>
  <si>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</si>
  <si>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</si>
  <si>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</si>
  <si>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</si>
  <si>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</si>
  <si>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</si>
  <si>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</si>
  <si>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</si>
  <si>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</si>
  <si>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</si>
  <si>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</si>
  <si>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</si>
  <si>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</si>
  <si>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</si>
  <si>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</si>
  <si>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</si>
  <si>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</si>
  <si>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</si>
  <si>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</si>
  <si>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</si>
  <si>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</si>
  <si>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</si>
  <si>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</si>
  <si>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</si>
  <si>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</si>
  <si>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</si>
  <si>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</si>
  <si>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</si>
  <si>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</si>
  <si>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</si>
  <si>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</si>
  <si>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</si>
  <si>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</si>
  <si>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</si>
  <si>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</si>
  <si>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</si>
  <si>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</si>
  <si>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</si>
  <si>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</si>
  <si>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</si>
  <si>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</si>
  <si>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</si>
  <si>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</si>
  <si>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</si>
  <si>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</si>
  <si>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</si>
  <si>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</si>
  <si>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</si>
  <si>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</si>
  <si>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</si>
  <si>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</si>
  <si>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</si>
  <si>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</si>
  <si>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</si>
  <si>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</si>
  <si>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</si>
  <si>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</si>
  <si>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</si>
  <si>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</si>
  <si>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</si>
  <si>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</si>
  <si>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</si>
  <si>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</si>
  <si>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</si>
  <si>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</si>
  <si>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</si>
  <si>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</si>
  <si>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</si>
  <si>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</si>
  <si>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</si>
  <si>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</si>
  <si>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</si>
  <si>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</si>
  <si>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</si>
  <si>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</si>
  <si>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</si>
  <si>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</si>
  <si>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</si>
  <si>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</si>
  <si>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</si>
  <si>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</si>
  <si>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</si>
  <si>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</si>
  <si>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</si>
  <si>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</si>
  <si>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</si>
  <si>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</si>
  <si>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</si>
  <si>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</si>
  <si>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</si>
  <si>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</si>
  <si>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</si>
  <si>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</si>
  <si>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</si>
  <si>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</si>
  <si>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</si>
  <si>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</si>
  <si>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</si>
  <si>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</si>
  <si>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</si>
  <si>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</si>
  <si>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</si>
  <si>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</si>
  <si>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</si>
  <si>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</si>
  <si>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</si>
  <si>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</si>
  <si>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</si>
  <si>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</si>
  <si>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</si>
  <si>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</si>
  <si>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</si>
  <si>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</si>
  <si>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</si>
  <si>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</si>
  <si>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</si>
  <si>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</si>
  <si>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</si>
  <si>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</si>
  <si>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</si>
  <si>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</si>
  <si>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</si>
  <si>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</si>
  <si>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</si>
  <si>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</si>
  <si>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</si>
  <si>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</si>
  <si>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</si>
  <si>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</si>
  <si>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</si>
  <si>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</si>
  <si>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</si>
  <si>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</si>
  <si>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</si>
  <si>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</si>
  <si>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</si>
  <si>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</si>
  <si>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</si>
  <si>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</si>
  <si>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</si>
  <si>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</si>
  <si>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</si>
  <si>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</si>
  <si>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</si>
  <si>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</si>
  <si>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</si>
  <si>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</si>
  <si>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</si>
  <si>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</si>
  <si>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</si>
  <si>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</si>
  <si>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</si>
  <si>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</si>
  <si>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</si>
  <si>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</si>
  <si>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</si>
  <si>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</si>
  <si>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</si>
  <si>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</si>
  <si>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</si>
  <si>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</si>
  <si>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</si>
  <si>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</si>
  <si>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</si>
  <si>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</si>
  <si>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</si>
  <si>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</si>
  <si>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</si>
  <si>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</si>
  <si>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</si>
  <si>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</si>
  <si>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</si>
  <si>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</si>
  <si>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</si>
  <si>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</si>
  <si>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</si>
  <si>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</si>
  <si>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</si>
  <si>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</si>
  <si>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</si>
  <si>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</si>
  <si>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</si>
  <si>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</si>
  <si>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</si>
  <si>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</si>
  <si>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</si>
  <si>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</si>
  <si>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</si>
  <si>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</si>
  <si>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</si>
  <si>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</si>
  <si>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</si>
  <si>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</si>
  <si>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</si>
  <si>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</si>
  <si>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</si>
  <si>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</si>
  <si>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</si>
  <si>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</si>
  <si>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</si>
  <si>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</si>
  <si>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</si>
  <si>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</si>
  <si>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</si>
  <si>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</si>
  <si>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</si>
  <si>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</si>
  <si>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</si>
  <si>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</si>
  <si>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</si>
  <si>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</si>
  <si>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</si>
  <si>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</si>
  <si>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</si>
  <si>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</si>
  <si>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</si>
  <si>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</si>
  <si>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</si>
  <si>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</si>
  <si>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</si>
  <si>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</si>
  <si>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</si>
  <si>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</si>
  <si>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</si>
  <si>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</si>
  <si>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</si>
  <si>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</si>
  <si>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</si>
  <si>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</si>
  <si>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</si>
  <si>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</si>
  <si>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</si>
  <si>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</si>
  <si>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</si>
  <si>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</si>
  <si>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</si>
  <si>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</si>
  <si>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</si>
  <si>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</si>
  <si>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</si>
  <si>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</si>
  <si>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</si>
  <si>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</si>
  <si>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</si>
  <si>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</si>
  <si>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</si>
  <si>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</si>
  <si>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</si>
  <si>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</si>
  <si>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</si>
  <si>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</si>
  <si>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</si>
  <si>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</si>
  <si>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</si>
  <si>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</si>
  <si>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</si>
  <si>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</si>
  <si>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</si>
  <si>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</si>
  <si>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</si>
  <si>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</si>
  <si>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</si>
  <si>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</si>
  <si>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</si>
  <si>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</si>
  <si>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</si>
  <si>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</si>
  <si>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</si>
  <si>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</si>
  <si>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</si>
  <si>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</si>
  <si>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</si>
  <si>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</si>
  <si>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</si>
  <si>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</si>
  <si>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</si>
  <si>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</si>
  <si>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</si>
  <si>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</si>
  <si>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</si>
  <si>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</si>
  <si>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</si>
  <si>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</si>
  <si>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</si>
  <si>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</si>
  <si>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</si>
  <si>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</si>
  <si>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</si>
  <si>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</si>
  <si>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</si>
  <si>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</si>
  <si>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</si>
  <si>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</si>
  <si>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</si>
  <si>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</si>
  <si>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</si>
  <si>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</si>
  <si>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</si>
  <si>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</si>
  <si>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</si>
  <si>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</si>
  <si>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</si>
  <si>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</si>
  <si>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</si>
  <si>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</si>
  <si>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</si>
  <si>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</si>
  <si>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</si>
  <si>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</si>
  <si>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</si>
  <si>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</si>
  <si>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</si>
  <si>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</si>
  <si>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</si>
  <si>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</si>
  <si>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</si>
  <si>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</si>
  <si>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</si>
  <si>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</si>
  <si>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</si>
  <si>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</si>
  <si>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</si>
  <si>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</si>
  <si>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</si>
  <si>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</si>
  <si>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</si>
  <si>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</si>
  <si>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</si>
  <si>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</si>
  <si>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</si>
  <si>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</si>
  <si>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</si>
  <si>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</si>
  <si>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</si>
  <si>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</si>
  <si>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</si>
  <si>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</si>
  <si>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</si>
  <si>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</si>
  <si>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</si>
  <si>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</si>
  <si>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</si>
  <si>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</si>
  <si>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</si>
  <si>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</si>
  <si>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</si>
  <si>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</si>
  <si>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</si>
  <si>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</si>
  <si>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</si>
  <si>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</si>
  <si>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</si>
  <si>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</si>
  <si>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</si>
  <si>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</si>
  <si>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</si>
  <si>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</si>
  <si>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</si>
  <si>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</si>
  <si>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</si>
  <si>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</si>
  <si>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</si>
  <si>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</si>
  <si>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</si>
  <si>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</si>
  <si>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</si>
  <si>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</si>
  <si>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</si>
  <si>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</si>
  <si>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</si>
  <si>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</si>
  <si>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</si>
  <si>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</si>
  <si>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</si>
  <si>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</si>
  <si>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</si>
  <si>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</si>
  <si>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</si>
  <si>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</si>
  <si>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</si>
  <si>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</si>
  <si>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</si>
  <si>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</si>
  <si>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</si>
  <si>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</si>
  <si>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</si>
  <si>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</si>
  <si>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</si>
  <si>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</si>
  <si>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</si>
  <si>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</si>
  <si>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</si>
  <si>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</si>
  <si>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</si>
  <si>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</si>
  <si>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</si>
  <si>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</si>
  <si>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</si>
  <si>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</si>
  <si>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</si>
  <si>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</si>
  <si>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</si>
  <si>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</si>
  <si>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</si>
  <si>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</si>
  <si>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</si>
  <si>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</si>
  <si>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</si>
  <si>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</si>
  <si>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</si>
  <si>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</si>
  <si>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</si>
  <si>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</si>
  <si>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</si>
  <si>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</si>
  <si>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</si>
  <si>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</si>
  <si>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</si>
  <si>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</si>
  <si>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</si>
  <si>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</si>
  <si>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</si>
  <si>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</si>
  <si>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</si>
  <si>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</si>
  <si>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</si>
  <si>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</si>
  <si>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</si>
  <si>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</si>
  <si>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</si>
  <si>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</si>
  <si>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</si>
  <si>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</si>
  <si>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</si>
  <si>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</si>
  <si>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</si>
  <si>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</si>
  <si>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</si>
  <si>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</si>
  <si>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</si>
  <si>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</si>
  <si>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</si>
  <si>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</si>
  <si>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</si>
  <si>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</si>
  <si>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</si>
  <si>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</si>
  <si>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</si>
  <si>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</si>
  <si>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</si>
  <si>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</si>
  <si>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</si>
  <si>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</si>
  <si>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</si>
  <si>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</si>
  <si>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</si>
  <si>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</si>
  <si>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</si>
  <si>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</si>
  <si>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</si>
  <si>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</si>
  <si>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</si>
  <si>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</si>
  <si>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</si>
  <si>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</si>
  <si>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</si>
  <si>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</si>
  <si>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</si>
  <si>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</si>
  <si>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</si>
  <si>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</si>
  <si>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</si>
  <si>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</si>
  <si>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</si>
  <si>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</si>
  <si>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</si>
  <si>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</si>
  <si>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</si>
  <si>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</si>
  <si>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</si>
  <si>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</si>
  <si>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</si>
  <si>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</si>
  <si>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</si>
  <si>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</si>
  <si>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</si>
  <si>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</si>
  <si>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</si>
  <si>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</si>
  <si>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</si>
  <si>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</si>
  <si>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</si>
  <si>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</si>
  <si>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</si>
  <si>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</si>
  <si>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</si>
  <si>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</si>
  <si>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</si>
  <si>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</si>
  <si>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</si>
  <si>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</si>
  <si>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</si>
  <si>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</si>
  <si>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</si>
  <si>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</si>
  <si>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</si>
  <si>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</si>
  <si>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</si>
  <si>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</si>
  <si>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</si>
  <si>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</si>
  <si>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</si>
  <si>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</si>
  <si>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</si>
  <si>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</si>
  <si>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</si>
  <si>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</si>
  <si>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</si>
  <si>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</si>
  <si>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</si>
  <si>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</si>
  <si>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</si>
  <si>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</si>
  <si>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</si>
  <si>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</si>
  <si>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</si>
  <si>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</si>
  <si>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</si>
  <si>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</si>
  <si>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</si>
  <si>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</si>
  <si>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</si>
  <si>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</si>
  <si>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</si>
  <si>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</si>
  <si>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</si>
  <si>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</si>
  <si>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</si>
  <si>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</si>
  <si>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</si>
  <si>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</si>
  <si>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</si>
  <si>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</si>
  <si>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</si>
  <si>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</si>
  <si>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</si>
  <si>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</si>
  <si>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</si>
  <si>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</si>
  <si>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</si>
  <si>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</si>
  <si>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</si>
  <si>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</si>
  <si>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</si>
  <si>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</si>
  <si>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</si>
  <si>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</si>
  <si>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</si>
  <si>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</si>
  <si>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</si>
  <si>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</si>
  <si>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</si>
  <si>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</si>
  <si>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</si>
  <si>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</si>
  <si>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</si>
  <si>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</si>
  <si>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</si>
  <si>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</si>
  <si>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</si>
  <si>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</si>
  <si>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</si>
  <si>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</si>
  <si>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</si>
  <si>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</si>
  <si>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</si>
  <si>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</si>
  <si>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</si>
  <si>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</si>
  <si>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</si>
  <si>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</si>
  <si>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</si>
  <si>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</si>
  <si>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</si>
  <si>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</si>
  <si>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</si>
  <si>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</si>
  <si>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</si>
  <si>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</si>
  <si>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</si>
  <si>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</si>
  <si>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</si>
  <si>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</si>
  <si>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</si>
  <si>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</si>
  <si>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</si>
  <si>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</si>
  <si>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</si>
  <si>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</si>
  <si>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</si>
  <si>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</si>
  <si>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</si>
  <si>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</si>
  <si>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</si>
  <si>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</si>
  <si>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</si>
  <si>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</si>
  <si>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</si>
  <si>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</si>
  <si>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</si>
  <si>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</si>
  <si>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</si>
  <si>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</si>
  <si>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</si>
  <si>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</si>
  <si>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</si>
  <si>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</si>
  <si>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</si>
  <si>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</si>
  <si>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</si>
  <si>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</si>
  <si>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</si>
  <si>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</si>
  <si>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</si>
  <si>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</si>
  <si>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</si>
  <si>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</si>
  <si>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</si>
  <si>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</si>
  <si>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</si>
  <si>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</si>
  <si>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</si>
  <si>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</si>
  <si>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</si>
  <si>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</si>
  <si>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</si>
  <si>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</si>
  <si>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</si>
  <si>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</si>
  <si>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</si>
  <si>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</si>
  <si>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</si>
  <si>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</si>
  <si>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</si>
  <si>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</si>
  <si>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</si>
  <si>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11008</t>
  </si>
  <si>
    <t>BRASSCHAAT</t>
  </si>
  <si>
    <t>Eandis (januari 2018); Infrax (juni 2018)</t>
  </si>
  <si>
    <t>MOW (september 2017)</t>
  </si>
  <si>
    <t>referentietaak LNE (2017); Jaarverslag De Lijn (2016)</t>
  </si>
  <si>
    <t>VEA (april 2018)</t>
  </si>
  <si>
    <t>VEA (januari 2017)</t>
  </si>
  <si>
    <t>VEA (juni 2018)</t>
  </si>
  <si>
    <t>Sportoase Elshout nv</t>
  </si>
  <si>
    <t>Elshoutbaan 17, 2930 Brasschaat</t>
  </si>
  <si>
    <t>WKK-0107 Sportoase Elshout</t>
  </si>
  <si>
    <t>interne verbrandingsmotor</t>
  </si>
  <si>
    <t>WKK interne verbrandinsgmotor (gas)</t>
  </si>
  <si>
    <t>IMEA</t>
  </si>
  <si>
    <t>AZ Klina</t>
  </si>
  <si>
    <t>Augustijnslei 100, 2930 Brasschaat</t>
  </si>
  <si>
    <t>WKK-0125 AZ Klina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</si>
</sst>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340986.10503561707</c:v>
                </c:pt>
                <c:pt idx="1">
                  <c:v>156177.27065517218</c:v>
                </c:pt>
                <c:pt idx="2">
                  <c:v>1926.06</c:v>
                </c:pt>
                <c:pt idx="3">
                  <c:v>1612.806233861244</c:v>
                </c:pt>
                <c:pt idx="4">
                  <c:v>12876.677510491525</c:v>
                </c:pt>
                <c:pt idx="5">
                  <c:v>174343.76677267818</c:v>
                </c:pt>
                <c:pt idx="6">
                  <c:v>3743.799523574261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480"/>
        <c:axId val="176662016"/>
      </c:barChart>
      <c:catAx>
        <c:axId val="176660480"/>
        <c:scaling>
          <c:orientation val="minMax"/>
        </c:scaling>
        <c:axPos val="b"/>
        <c:numFmt formatCode="General" sourceLinked="0"/>
        <c:tickLblPos val="nextTo"/>
        <c:crossAx val="176662016"/>
        <c:crosses val="autoZero"/>
        <c:auto val="1"/>
        <c:lblAlgn val="ctr"/>
        <c:lblOffset val="100"/>
      </c:catAx>
      <c:valAx>
        <c:axId val="176662016"/>
        <c:scaling>
          <c:orientation val="minMax"/>
        </c:scaling>
        <c:axPos val="l"/>
        <c:majorGridlines>
          <c:spPr>
            <a:ln>
              <a:noFill/>
            </a:ln>
          </c:spPr>
        </c:majorGridlines>
        <c:numFmt formatCode="#,##0" sourceLinked="1"/>
        <c:tickLblPos val="nextTo"/>
        <c:crossAx val="176660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340986.10503561707</c:v>
                </c:pt>
                <c:pt idx="1">
                  <c:v>156177.27065517218</c:v>
                </c:pt>
                <c:pt idx="2">
                  <c:v>1926.06</c:v>
                </c:pt>
                <c:pt idx="3">
                  <c:v>1612.806233861244</c:v>
                </c:pt>
                <c:pt idx="4">
                  <c:v>12876.677510491525</c:v>
                </c:pt>
                <c:pt idx="5">
                  <c:v>174343.76677267818</c:v>
                </c:pt>
                <c:pt idx="6">
                  <c:v>3743.799523574261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65805.22903777723</c:v>
                </c:pt>
                <c:pt idx="2">
                  <c:v>31626.372281836655</c:v>
                </c:pt>
                <c:pt idx="3">
                  <c:v>410.36787950978817</c:v>
                </c:pt>
                <c:pt idx="4">
                  <c:v>397.70424887939498</c:v>
                </c:pt>
                <c:pt idx="5">
                  <c:v>2483.9381871618734</c:v>
                </c:pt>
                <c:pt idx="6">
                  <c:v>43605.025754797673</c:v>
                </c:pt>
                <c:pt idx="7">
                  <c:v>945.87305868962471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421184"/>
        <c:axId val="183439360"/>
      </c:barChart>
      <c:catAx>
        <c:axId val="183421184"/>
        <c:scaling>
          <c:orientation val="minMax"/>
        </c:scaling>
        <c:axPos val="b"/>
        <c:numFmt formatCode="General" sourceLinked="0"/>
        <c:tickLblPos val="nextTo"/>
        <c:crossAx val="183439360"/>
        <c:crosses val="autoZero"/>
        <c:auto val="1"/>
        <c:lblAlgn val="ctr"/>
        <c:lblOffset val="100"/>
      </c:catAx>
      <c:valAx>
        <c:axId val="183439360"/>
        <c:scaling>
          <c:orientation val="minMax"/>
        </c:scaling>
        <c:axPos val="l"/>
        <c:majorGridlines>
          <c:spPr>
            <a:ln>
              <a:noFill/>
            </a:ln>
          </c:spPr>
        </c:majorGridlines>
        <c:numFmt formatCode="#,##0" sourceLinked="1"/>
        <c:tickLblPos val="nextTo"/>
        <c:crossAx val="18342118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65805.22903777723</c:v>
                </c:pt>
                <c:pt idx="2">
                  <c:v>31626.372281836655</c:v>
                </c:pt>
                <c:pt idx="3">
                  <c:v>410.36787950978817</c:v>
                </c:pt>
                <c:pt idx="4">
                  <c:v>397.70424887939498</c:v>
                </c:pt>
                <c:pt idx="5">
                  <c:v>2483.9381871618734</c:v>
                </c:pt>
                <c:pt idx="6">
                  <c:v>43605.025754797673</c:v>
                </c:pt>
                <c:pt idx="7">
                  <c:v>945.87305868962471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11008</v>
      </c>
      <c r="B6" s="415"/>
      <c r="C6" s="416"/>
    </row>
    <row r="7" spans="1:7" s="413" customFormat="1" ht="15.75" customHeight="1">
      <c r="A7" s="417" t="str">
        <f>txtMunicipality</f>
        <v>BRASSCHAAT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0.21306079743610695</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0.21306079743610695</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15932</v>
      </c>
      <c r="C9" s="342">
        <v>16283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294.5</v>
      </c>
    </row>
    <row r="15" spans="1:6">
      <c r="A15" s="348" t="s">
        <v>184</v>
      </c>
      <c r="B15" s="334">
        <v>0</v>
      </c>
    </row>
    <row r="16" spans="1:6">
      <c r="A16" s="348" t="s">
        <v>6</v>
      </c>
      <c r="B16" s="334">
        <v>0</v>
      </c>
    </row>
    <row r="17" spans="1:6">
      <c r="A17" s="348" t="s">
        <v>7</v>
      </c>
      <c r="B17" s="334">
        <v>2</v>
      </c>
    </row>
    <row r="18" spans="1:6">
      <c r="A18" s="348" t="s">
        <v>8</v>
      </c>
      <c r="B18" s="334">
        <v>1</v>
      </c>
    </row>
    <row r="19" spans="1:6">
      <c r="A19" s="348" t="s">
        <v>9</v>
      </c>
      <c r="B19" s="334">
        <v>1</v>
      </c>
    </row>
    <row r="20" spans="1:6">
      <c r="A20" s="348" t="s">
        <v>10</v>
      </c>
      <c r="B20" s="334">
        <v>1</v>
      </c>
    </row>
    <row r="21" spans="1:6">
      <c r="A21" s="348" t="s">
        <v>11</v>
      </c>
      <c r="B21" s="334">
        <v>2</v>
      </c>
    </row>
    <row r="22" spans="1:6">
      <c r="A22" s="348" t="s">
        <v>12</v>
      </c>
      <c r="B22" s="334">
        <v>1</v>
      </c>
    </row>
    <row r="23" spans="1:6">
      <c r="A23" s="348" t="s">
        <v>13</v>
      </c>
      <c r="B23" s="334">
        <v>0</v>
      </c>
    </row>
    <row r="24" spans="1:6">
      <c r="A24" s="348" t="s">
        <v>14</v>
      </c>
      <c r="B24" s="334">
        <v>0</v>
      </c>
    </row>
    <row r="25" spans="1:6">
      <c r="A25" s="348" t="s">
        <v>15</v>
      </c>
      <c r="B25" s="334">
        <v>1</v>
      </c>
    </row>
    <row r="26" spans="1:6">
      <c r="A26" s="348" t="s">
        <v>16</v>
      </c>
      <c r="B26" s="334">
        <v>17</v>
      </c>
    </row>
    <row r="27" spans="1:6">
      <c r="A27" s="348" t="s">
        <v>17</v>
      </c>
      <c r="B27" s="334">
        <v>9</v>
      </c>
    </row>
    <row r="28" spans="1:6" s="356" customFormat="1">
      <c r="A28" s="355" t="s">
        <v>18</v>
      </c>
      <c r="B28" s="355">
        <v>15</v>
      </c>
    </row>
    <row r="29" spans="1:6">
      <c r="A29" s="355" t="s">
        <v>744</v>
      </c>
      <c r="B29" s="355">
        <v>141</v>
      </c>
      <c r="C29" s="356"/>
      <c r="D29" s="356"/>
      <c r="E29" s="356"/>
      <c r="F29" s="356"/>
    </row>
    <row r="30" spans="1:6">
      <c r="A30" s="341" t="s">
        <v>745</v>
      </c>
      <c r="B30" s="341">
        <v>44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55</v>
      </c>
      <c r="D36" s="334">
        <v>126502.782929347</v>
      </c>
      <c r="E36" s="334">
        <v>62</v>
      </c>
      <c r="F36" s="334">
        <v>38357.203862849099</v>
      </c>
    </row>
    <row r="37" spans="1:6">
      <c r="A37" s="348" t="s">
        <v>25</v>
      </c>
      <c r="B37" s="348" t="s">
        <v>28</v>
      </c>
      <c r="C37" s="334">
        <v>0</v>
      </c>
      <c r="D37" s="334">
        <v>0</v>
      </c>
      <c r="E37" s="334">
        <v>0</v>
      </c>
      <c r="F37" s="334">
        <v>0</v>
      </c>
    </row>
    <row r="38" spans="1:6">
      <c r="A38" s="348" t="s">
        <v>25</v>
      </c>
      <c r="B38" s="348" t="s">
        <v>29</v>
      </c>
      <c r="C38" s="334">
        <v>1</v>
      </c>
      <c r="D38" s="334">
        <v>12364.6184862182</v>
      </c>
      <c r="E38" s="334">
        <v>3</v>
      </c>
      <c r="F38" s="334">
        <v>4637.5190296592</v>
      </c>
    </row>
    <row r="39" spans="1:6">
      <c r="A39" s="348" t="s">
        <v>30</v>
      </c>
      <c r="B39" s="348" t="s">
        <v>31</v>
      </c>
      <c r="C39" s="334">
        <v>13649</v>
      </c>
      <c r="D39" s="334">
        <v>277412446.48997003</v>
      </c>
      <c r="E39" s="334">
        <v>15945</v>
      </c>
      <c r="F39" s="334">
        <v>66147270.588774599</v>
      </c>
    </row>
    <row r="40" spans="1:6">
      <c r="A40" s="348" t="s">
        <v>30</v>
      </c>
      <c r="B40" s="348" t="s">
        <v>29</v>
      </c>
      <c r="C40" s="334">
        <v>1</v>
      </c>
      <c r="D40" s="334">
        <v>342780.32697384799</v>
      </c>
      <c r="E40" s="334">
        <v>1</v>
      </c>
      <c r="F40" s="334">
        <v>50402</v>
      </c>
    </row>
    <row r="41" spans="1:6">
      <c r="A41" s="348" t="s">
        <v>32</v>
      </c>
      <c r="B41" s="348" t="s">
        <v>33</v>
      </c>
      <c r="C41" s="334">
        <v>126</v>
      </c>
      <c r="D41" s="334">
        <v>3620490.86272826</v>
      </c>
      <c r="E41" s="334">
        <v>234</v>
      </c>
      <c r="F41" s="334">
        <v>2065478.5783097199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141868.62180031001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240384.57088496399</v>
      </c>
    </row>
    <row r="48" spans="1:6">
      <c r="A48" s="348" t="s">
        <v>32</v>
      </c>
      <c r="B48" s="348" t="s">
        <v>29</v>
      </c>
      <c r="C48" s="334">
        <v>28</v>
      </c>
      <c r="D48" s="334">
        <v>1042363.51007046</v>
      </c>
      <c r="E48" s="334">
        <v>29</v>
      </c>
      <c r="F48" s="334">
        <v>265625.57921336102</v>
      </c>
    </row>
    <row r="49" spans="1:6">
      <c r="A49" s="348" t="s">
        <v>32</v>
      </c>
      <c r="B49" s="348" t="s">
        <v>40</v>
      </c>
      <c r="C49" s="334">
        <v>0</v>
      </c>
      <c r="D49" s="334">
        <v>0</v>
      </c>
      <c r="E49" s="334">
        <v>0</v>
      </c>
      <c r="F49" s="334">
        <v>0</v>
      </c>
    </row>
    <row r="50" spans="1:6">
      <c r="A50" s="348" t="s">
        <v>32</v>
      </c>
      <c r="B50" s="348" t="s">
        <v>41</v>
      </c>
      <c r="C50" s="334">
        <v>11</v>
      </c>
      <c r="D50" s="334">
        <v>1448635.82590078</v>
      </c>
      <c r="E50" s="334">
        <v>10</v>
      </c>
      <c r="F50" s="334">
        <v>845040.73513078899</v>
      </c>
    </row>
    <row r="51" spans="1:6">
      <c r="A51" s="348" t="s">
        <v>42</v>
      </c>
      <c r="B51" s="348" t="s">
        <v>43</v>
      </c>
      <c r="C51" s="334">
        <v>10</v>
      </c>
      <c r="D51" s="334">
        <v>368609.05903425399</v>
      </c>
      <c r="E51" s="334">
        <v>24</v>
      </c>
      <c r="F51" s="334">
        <v>221014.59466309199</v>
      </c>
    </row>
    <row r="52" spans="1:6">
      <c r="A52" s="348" t="s">
        <v>42</v>
      </c>
      <c r="B52" s="348" t="s">
        <v>29</v>
      </c>
      <c r="C52" s="334">
        <v>2</v>
      </c>
      <c r="D52" s="334">
        <v>21604.530486358399</v>
      </c>
      <c r="E52" s="334">
        <v>3</v>
      </c>
      <c r="F52" s="334">
        <v>15086.943562803401</v>
      </c>
    </row>
    <row r="53" spans="1:6">
      <c r="A53" s="348" t="s">
        <v>44</v>
      </c>
      <c r="B53" s="348" t="s">
        <v>45</v>
      </c>
      <c r="C53" s="334">
        <v>363</v>
      </c>
      <c r="D53" s="334">
        <v>9162523.6000372507</v>
      </c>
      <c r="E53" s="334">
        <v>683</v>
      </c>
      <c r="F53" s="334">
        <v>3277963.6650770698</v>
      </c>
    </row>
    <row r="54" spans="1:6">
      <c r="A54" s="348" t="s">
        <v>46</v>
      </c>
      <c r="B54" s="348" t="s">
        <v>47</v>
      </c>
      <c r="C54" s="334">
        <v>0</v>
      </c>
      <c r="D54" s="334">
        <v>0</v>
      </c>
      <c r="E54" s="334">
        <v>1</v>
      </c>
      <c r="F54" s="334">
        <v>1926060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106</v>
      </c>
      <c r="D57" s="334">
        <v>7467324.4462917903</v>
      </c>
      <c r="E57" s="334">
        <v>153</v>
      </c>
      <c r="F57" s="334">
        <v>5739723.45256487</v>
      </c>
    </row>
    <row r="58" spans="1:6">
      <c r="A58" s="348" t="s">
        <v>49</v>
      </c>
      <c r="B58" s="348" t="s">
        <v>51</v>
      </c>
      <c r="C58" s="334">
        <v>113</v>
      </c>
      <c r="D58" s="334">
        <v>13411679.0534954</v>
      </c>
      <c r="E58" s="334">
        <v>146</v>
      </c>
      <c r="F58" s="334">
        <v>8442676.2704033796</v>
      </c>
    </row>
    <row r="59" spans="1:6">
      <c r="A59" s="348" t="s">
        <v>49</v>
      </c>
      <c r="B59" s="348" t="s">
        <v>52</v>
      </c>
      <c r="C59" s="334">
        <v>308</v>
      </c>
      <c r="D59" s="334">
        <v>11952100.235447001</v>
      </c>
      <c r="E59" s="334">
        <v>444</v>
      </c>
      <c r="F59" s="334">
        <v>11323603.814834701</v>
      </c>
    </row>
    <row r="60" spans="1:6">
      <c r="A60" s="348" t="s">
        <v>49</v>
      </c>
      <c r="B60" s="348" t="s">
        <v>53</v>
      </c>
      <c r="C60" s="334">
        <v>130</v>
      </c>
      <c r="D60" s="334">
        <v>7504257.5961718699</v>
      </c>
      <c r="E60" s="334">
        <v>156</v>
      </c>
      <c r="F60" s="334">
        <v>4192152.1484785299</v>
      </c>
    </row>
    <row r="61" spans="1:6">
      <c r="A61" s="348" t="s">
        <v>49</v>
      </c>
      <c r="B61" s="348" t="s">
        <v>54</v>
      </c>
      <c r="C61" s="334">
        <v>627</v>
      </c>
      <c r="D61" s="334">
        <v>35476124.187886201</v>
      </c>
      <c r="E61" s="334">
        <v>1069</v>
      </c>
      <c r="F61" s="334">
        <v>14585004.539982799</v>
      </c>
    </row>
    <row r="62" spans="1:6">
      <c r="A62" s="348" t="s">
        <v>49</v>
      </c>
      <c r="B62" s="348" t="s">
        <v>55</v>
      </c>
      <c r="C62" s="334">
        <v>55</v>
      </c>
      <c r="D62" s="334">
        <v>12856799.95865</v>
      </c>
      <c r="E62" s="334">
        <v>65</v>
      </c>
      <c r="F62" s="334">
        <v>2407515.1389650698</v>
      </c>
    </row>
    <row r="63" spans="1:6">
      <c r="A63" s="348" t="s">
        <v>49</v>
      </c>
      <c r="B63" s="348" t="s">
        <v>29</v>
      </c>
      <c r="C63" s="334">
        <v>103</v>
      </c>
      <c r="D63" s="334">
        <v>12514085.9469057</v>
      </c>
      <c r="E63" s="334">
        <v>110</v>
      </c>
      <c r="F63" s="334">
        <v>3753074.2921079602</v>
      </c>
    </row>
    <row r="64" spans="1:6">
      <c r="A64" s="348" t="s">
        <v>56</v>
      </c>
      <c r="B64" s="348" t="s">
        <v>57</v>
      </c>
      <c r="C64" s="334">
        <v>0</v>
      </c>
      <c r="D64" s="334">
        <v>0</v>
      </c>
      <c r="E64" s="334">
        <v>0</v>
      </c>
      <c r="F64" s="334">
        <v>0</v>
      </c>
    </row>
    <row r="65" spans="1:6">
      <c r="A65" s="348" t="s">
        <v>56</v>
      </c>
      <c r="B65" s="348" t="s">
        <v>29</v>
      </c>
      <c r="C65" s="334">
        <v>4</v>
      </c>
      <c r="D65" s="334">
        <v>241771.89124938901</v>
      </c>
      <c r="E65" s="334">
        <v>5</v>
      </c>
      <c r="F65" s="334">
        <v>69106.676782307899</v>
      </c>
    </row>
    <row r="66" spans="1:6">
      <c r="A66" s="348" t="s">
        <v>56</v>
      </c>
      <c r="B66" s="348" t="s">
        <v>58</v>
      </c>
      <c r="C66" s="334">
        <v>0</v>
      </c>
      <c r="D66" s="334">
        <v>0</v>
      </c>
      <c r="E66" s="334">
        <v>26</v>
      </c>
      <c r="F66" s="334">
        <v>637939.53915080905</v>
      </c>
    </row>
    <row r="67" spans="1:6">
      <c r="A67" s="355" t="s">
        <v>56</v>
      </c>
      <c r="B67" s="355" t="s">
        <v>59</v>
      </c>
      <c r="C67" s="334">
        <v>0</v>
      </c>
      <c r="D67" s="334">
        <v>0</v>
      </c>
      <c r="E67" s="334">
        <v>0</v>
      </c>
      <c r="F67" s="334">
        <v>0</v>
      </c>
    </row>
    <row r="68" spans="1:6">
      <c r="A68" s="341" t="s">
        <v>56</v>
      </c>
      <c r="B68" s="341" t="s">
        <v>60</v>
      </c>
      <c r="C68" s="334">
        <v>8</v>
      </c>
      <c r="D68" s="334">
        <v>188494.13979793101</v>
      </c>
      <c r="E68" s="334">
        <v>10</v>
      </c>
      <c r="F68" s="334">
        <v>109851.73300450901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120312758</v>
      </c>
      <c r="E73" s="475">
        <v>122298184.24843355</v>
      </c>
    </row>
    <row r="74" spans="1:6">
      <c r="A74" s="348" t="s">
        <v>64</v>
      </c>
      <c r="B74" s="348" t="s">
        <v>657</v>
      </c>
      <c r="C74" s="1295" t="s">
        <v>659</v>
      </c>
      <c r="D74" s="475">
        <v>6576096.5</v>
      </c>
      <c r="E74" s="475">
        <v>6517470.5959552173</v>
      </c>
    </row>
    <row r="75" spans="1:6">
      <c r="A75" s="348" t="s">
        <v>65</v>
      </c>
      <c r="B75" s="348" t="s">
        <v>656</v>
      </c>
      <c r="C75" s="1295" t="s">
        <v>660</v>
      </c>
      <c r="D75" s="475">
        <v>52306207</v>
      </c>
      <c r="E75" s="475">
        <v>53057427.213247828</v>
      </c>
    </row>
    <row r="76" spans="1:6">
      <c r="A76" s="348" t="s">
        <v>65</v>
      </c>
      <c r="B76" s="348" t="s">
        <v>657</v>
      </c>
      <c r="C76" s="1295" t="s">
        <v>661</v>
      </c>
      <c r="D76" s="475">
        <v>402208.5</v>
      </c>
      <c r="E76" s="475">
        <v>384315.24671207275</v>
      </c>
    </row>
    <row r="77" spans="1:6">
      <c r="A77" s="348" t="s">
        <v>66</v>
      </c>
      <c r="B77" s="348" t="s">
        <v>656</v>
      </c>
      <c r="C77" s="1295" t="s">
        <v>662</v>
      </c>
      <c r="D77" s="475">
        <v>28727841</v>
      </c>
      <c r="E77" s="475">
        <v>32971801.748251613</v>
      </c>
    </row>
    <row r="78" spans="1:6">
      <c r="A78" s="341" t="s">
        <v>66</v>
      </c>
      <c r="B78" s="341" t="s">
        <v>657</v>
      </c>
      <c r="C78" s="341" t="s">
        <v>663</v>
      </c>
      <c r="D78" s="1296">
        <v>6605496</v>
      </c>
      <c r="E78" s="1296">
        <v>7152372.8482860355</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1015381</v>
      </c>
      <c r="C83" s="475">
        <v>1019850.0589398553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3555.0646755981979</v>
      </c>
    </row>
    <row r="92" spans="1:6">
      <c r="A92" s="341" t="s">
        <v>69</v>
      </c>
      <c r="B92" s="342">
        <v>1185.9526965842022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10619</v>
      </c>
    </row>
    <row r="98" spans="1:6">
      <c r="A98" s="348" t="s">
        <v>72</v>
      </c>
      <c r="B98" s="334">
        <v>10</v>
      </c>
    </row>
    <row r="99" spans="1:6">
      <c r="A99" s="348" t="s">
        <v>73</v>
      </c>
      <c r="B99" s="334">
        <v>37</v>
      </c>
    </row>
    <row r="100" spans="1:6">
      <c r="A100" s="348" t="s">
        <v>74</v>
      </c>
      <c r="B100" s="334">
        <v>1008</v>
      </c>
    </row>
    <row r="101" spans="1:6">
      <c r="A101" s="348" t="s">
        <v>75</v>
      </c>
      <c r="B101" s="334">
        <v>130</v>
      </c>
    </row>
    <row r="102" spans="1:6">
      <c r="A102" s="348" t="s">
        <v>76</v>
      </c>
      <c r="B102" s="334">
        <v>172</v>
      </c>
    </row>
    <row r="103" spans="1:6">
      <c r="A103" s="348" t="s">
        <v>77</v>
      </c>
      <c r="B103" s="334">
        <v>162</v>
      </c>
    </row>
    <row r="104" spans="1:6">
      <c r="A104" s="348" t="s">
        <v>78</v>
      </c>
      <c r="B104" s="334">
        <v>2355</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39</v>
      </c>
      <c r="C123" s="334">
        <v>34</v>
      </c>
    </row>
    <row r="124" spans="1:6">
      <c r="A124" s="341" t="s">
        <v>89</v>
      </c>
      <c r="B124" s="334">
        <v>5</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1</v>
      </c>
    </row>
    <row r="131" spans="1:6">
      <c r="A131" s="348" t="s">
        <v>296</v>
      </c>
      <c r="B131" s="334">
        <v>2</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130145.87071098936</v>
      </c>
      <c r="C3" s="43" t="s">
        <v>170</v>
      </c>
      <c r="D3" s="43"/>
      <c r="E3" s="154"/>
      <c r="F3" s="43"/>
      <c r="G3" s="43"/>
      <c r="H3" s="43"/>
      <c r="I3" s="43"/>
      <c r="J3" s="43"/>
      <c r="K3" s="96"/>
    </row>
    <row r="4" spans="1:11">
      <c r="A4" s="383" t="s">
        <v>171</v>
      </c>
      <c r="B4" s="49">
        <f>IF(ISERROR('SEAP template'!B78+'SEAP template'!C78),0,'SEAP template'!B78+'SEAP template'!C78)</f>
        <v>5612.6673721824009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207.14505882352947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0.21306079743610695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295.92151260504215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1245.214285714286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1926.06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1926.06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0.21306079743610695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410.36787950978817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66197.6725887746</v>
      </c>
      <c r="C5" s="17">
        <f>IF(ISERROR('Eigen informatie GS &amp; warmtenet'!B57),0,'Eigen informatie GS &amp; warmtenet'!B57)</f>
        <v>0</v>
      </c>
      <c r="D5" s="30">
        <f>(SUM(HH_hh_gas_kWh,HH_rest_gas_kWh)/1000)*0.902</f>
        <v>250535.21458888342</v>
      </c>
      <c r="E5" s="17">
        <f>B46*B57</f>
        <v>1478.157999666344</v>
      </c>
      <c r="F5" s="17">
        <f>B51*B62</f>
        <v>0</v>
      </c>
      <c r="G5" s="18"/>
      <c r="H5" s="17"/>
      <c r="I5" s="17"/>
      <c r="J5" s="17">
        <f>B50*B61+C50*C61</f>
        <v>0</v>
      </c>
      <c r="K5" s="17"/>
      <c r="L5" s="17"/>
      <c r="M5" s="17"/>
      <c r="N5" s="17">
        <f>B48*B59+C48*C59</f>
        <v>17699.261849361159</v>
      </c>
      <c r="O5" s="17">
        <f>B69*B70*B71</f>
        <v>281.40000000000003</v>
      </c>
      <c r="P5" s="17">
        <f>B77*B78*B79/1000-B77*B78*B79/1000/B80</f>
        <v>1239.3333333333333</v>
      </c>
    </row>
    <row r="6" spans="1:16">
      <c r="A6" s="16" t="s">
        <v>621</v>
      </c>
      <c r="B6" s="788">
        <f>kWh_PV_kleiner_dan_10kW</f>
        <v>3555.0646755981979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69752.737264372801</v>
      </c>
      <c r="C8" s="21">
        <f>C5</f>
        <v>0</v>
      </c>
      <c r="D8" s="21">
        <f>D5</f>
        <v>250535.21458888342</v>
      </c>
      <c r="E8" s="21">
        <f>E5</f>
        <v>1478.157999666344</v>
      </c>
      <c r="F8" s="21">
        <f>F5</f>
        <v>0</v>
      </c>
      <c r="G8" s="21"/>
      <c r="H8" s="21"/>
      <c r="I8" s="21"/>
      <c r="J8" s="21">
        <f>J5</f>
        <v>0</v>
      </c>
      <c r="K8" s="21"/>
      <c r="L8" s="21">
        <f>L5</f>
        <v>0</v>
      </c>
      <c r="M8" s="21">
        <f>M5</f>
        <v>0</v>
      </c>
      <c r="N8" s="21">
        <f>N5</f>
        <v>17699.261849361159</v>
      </c>
      <c r="O8" s="21">
        <f>O5</f>
        <v>281.40000000000003</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0.21306079743610695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14861.573824898522</v>
      </c>
      <c r="C12" s="23">
        <f ca="1">C10*C8</f>
        <v>0</v>
      </c>
      <c r="D12" s="23">
        <f>D8*D10</f>
        <v>50608.113346954451</v>
      </c>
      <c r="E12" s="23">
        <f>E10*E8</f>
        <v>335.54186592426009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10619</v>
      </c>
      <c r="C18" s="166" t="s">
        <v>111</v>
      </c>
      <c r="D18" s="228"/>
      <c r="E18" s="15"/>
    </row>
    <row r="19" spans="1:7">
      <c r="A19" s="171" t="s">
        <v>72</v>
      </c>
      <c r="B19" s="37">
        <f>aantalw2001_ander</f>
        <v>10</v>
      </c>
      <c r="C19" s="166" t="s">
        <v>111</v>
      </c>
      <c r="D19" s="229"/>
      <c r="E19" s="15"/>
    </row>
    <row r="20" spans="1:7">
      <c r="A20" s="171" t="s">
        <v>73</v>
      </c>
      <c r="B20" s="37">
        <f>aantalw2001_propaan</f>
        <v>37</v>
      </c>
      <c r="C20" s="167">
        <f>IF(ISERROR(B20/SUM($B$20,$B$21,$B$22)*100),0,B20/SUM($B$20,$B$21,$B$22)*100)</f>
        <v>3.1489361702127661</v>
      </c>
      <c r="D20" s="229"/>
      <c r="E20" s="15"/>
    </row>
    <row r="21" spans="1:7">
      <c r="A21" s="171" t="s">
        <v>74</v>
      </c>
      <c r="B21" s="37">
        <f>aantalw2001_elektriciteit</f>
        <v>1008</v>
      </c>
      <c r="C21" s="167">
        <f>IF(ISERROR(B21/SUM($B$20,$B$21,$B$22)*100),0,B21/SUM($B$20,$B$21,$B$22)*100)</f>
        <v>85.787234042553195</v>
      </c>
      <c r="D21" s="229"/>
      <c r="E21" s="15"/>
    </row>
    <row r="22" spans="1:7">
      <c r="A22" s="171" t="s">
        <v>75</v>
      </c>
      <c r="B22" s="37">
        <f>aantalw2001_hout</f>
        <v>130</v>
      </c>
      <c r="C22" s="167">
        <f>IF(ISERROR(B22/SUM($B$20,$B$21,$B$22)*100),0,B22/SUM($B$20,$B$21,$B$22)*100)</f>
        <v>11.063829787234042</v>
      </c>
      <c r="D22" s="229"/>
      <c r="E22" s="15"/>
    </row>
    <row r="23" spans="1:7">
      <c r="A23" s="171" t="s">
        <v>76</v>
      </c>
      <c r="B23" s="37">
        <f>aantalw2001_niet_gespec</f>
        <v>172</v>
      </c>
      <c r="C23" s="166" t="s">
        <v>111</v>
      </c>
      <c r="D23" s="228"/>
      <c r="E23" s="15"/>
    </row>
    <row r="24" spans="1:7">
      <c r="A24" s="171" t="s">
        <v>77</v>
      </c>
      <c r="B24" s="37">
        <f>aantalw2001_steenkool</f>
        <v>162</v>
      </c>
      <c r="C24" s="166" t="s">
        <v>111</v>
      </c>
      <c r="D24" s="229"/>
      <c r="E24" s="15"/>
    </row>
    <row r="25" spans="1:7">
      <c r="A25" s="171" t="s">
        <v>78</v>
      </c>
      <c r="B25" s="37">
        <f>aantalw2001_stookolie</f>
        <v>2355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793</v>
      </c>
      <c r="B28" s="37">
        <f>aantalHuishoudens2011</f>
        <v>15932</v>
      </c>
      <c r="C28" s="36"/>
      <c r="D28" s="228"/>
    </row>
    <row r="29" spans="1:7" s="15" customFormat="1">
      <c r="A29" s="230" t="s">
        <v>794</v>
      </c>
      <c r="B29" s="37">
        <f>SUM(HH_hh_gas_aantal,HH_rest_gas_aantal)</f>
        <v>13650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13650</v>
      </c>
      <c r="C32" s="167">
        <f>IF(ISERROR(B32/SUM($B$32,$B$34,$B$35,$B$36,$B$38,$B$39)*100),0,B32/SUM($B$32,$B$34,$B$35,$B$36,$B$38,$B$39)*100)</f>
        <v>86.027604462091134</v>
      </c>
      <c r="D32" s="233"/>
      <c r="G32" s="15"/>
    </row>
    <row r="33" spans="1:7">
      <c r="A33" s="171" t="s">
        <v>72</v>
      </c>
      <c r="B33" s="34" t="s">
        <v>111</v>
      </c>
      <c r="C33" s="167"/>
      <c r="D33" s="233"/>
      <c r="G33" s="15"/>
    </row>
    <row r="34" spans="1:7">
      <c r="A34" s="171" t="s">
        <v>73</v>
      </c>
      <c r="B34" s="33">
        <f>IF((($B$28-$B$32-$B$39-$B$77-$B$38)*C20/100)&lt;0,0,($B$28-$B$32-$B$39-$B$77-$B$38)*C20/100)</f>
        <v>69.811914893617029</v>
      </c>
      <c r="C34" s="167">
        <f>IF(ISERROR(B34/SUM($B$32,$B$34,$B$35,$B$36,$B$38,$B$39)*100),0,B34/SUM($B$32,$B$34,$B$35,$B$36,$B$38,$B$39)*100)</f>
        <v>0.43998181693840688</v>
      </c>
      <c r="D34" s="233"/>
      <c r="G34" s="15"/>
    </row>
    <row r="35" spans="1:7">
      <c r="A35" s="171" t="s">
        <v>74</v>
      </c>
      <c r="B35" s="33">
        <f>IF((($B$28-$B$32-$B$39-$B$77-$B$38)*C21/100)&lt;0,0,($B$28-$B$32-$B$39-$B$77-$B$38)*C21/100)</f>
        <v>1901.9029787234042</v>
      </c>
      <c r="C35" s="167">
        <f>IF(ISERROR(B35/SUM($B$32,$B$34,$B$35,$B$36,$B$38,$B$39)*100),0,B35/SUM($B$32,$B$34,$B$35,$B$36,$B$38,$B$39)*100)</f>
        <v>11.986531661457139</v>
      </c>
      <c r="D35" s="233"/>
      <c r="G35" s="15"/>
    </row>
    <row r="36" spans="1:7">
      <c r="A36" s="171" t="s">
        <v>75</v>
      </c>
      <c r="B36" s="33">
        <f>IF((($B$28-$B$32-$B$39-$B$77-$B$38)*C22/100)&lt;0,0,($B$28-$B$32-$B$39-$B$77-$B$38)*C22/100)</f>
        <v>245.28510638297871</v>
      </c>
      <c r="C36" s="167">
        <f>IF(ISERROR(B36/SUM($B$32,$B$34,$B$35,$B$36,$B$38,$B$39)*100),0,B36/SUM($B$32,$B$34,$B$35,$B$36,$B$38,$B$39)*100)</f>
        <v>1.5458820595133216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13650</v>
      </c>
      <c r="C44" s="34" t="s">
        <v>111</v>
      </c>
      <c r="D44" s="174"/>
    </row>
    <row r="45" spans="1:7">
      <c r="A45" s="171" t="s">
        <v>72</v>
      </c>
      <c r="B45" s="33" t="str">
        <f t="shared" si="0"/>
        <v>-</v>
      </c>
      <c r="C45" s="34" t="s">
        <v>111</v>
      </c>
      <c r="D45" s="174"/>
    </row>
    <row r="46" spans="1:7">
      <c r="A46" s="171" t="s">
        <v>73</v>
      </c>
      <c r="B46" s="33">
        <f t="shared" si="0"/>
        <v>69.811914893617029</v>
      </c>
      <c r="C46" s="34" t="s">
        <v>111</v>
      </c>
      <c r="D46" s="174"/>
    </row>
    <row r="47" spans="1:7">
      <c r="A47" s="171" t="s">
        <v>74</v>
      </c>
      <c r="B47" s="33">
        <f t="shared" si="0"/>
        <v>1901.9029787234042</v>
      </c>
      <c r="C47" s="34" t="s">
        <v>111</v>
      </c>
      <c r="D47" s="174"/>
    </row>
    <row r="48" spans="1:7">
      <c r="A48" s="171" t="s">
        <v>75</v>
      </c>
      <c r="B48" s="33">
        <f t="shared" si="0"/>
        <v>245.28510638297871</v>
      </c>
      <c r="C48" s="33">
        <f>B48*10</f>
        <v>2452.8510638297871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50443.749657337299</v>
      </c>
      <c r="C5" s="17">
        <f>IF(ISERROR('Eigen informatie GS &amp; warmtenet'!B58),0,'Eigen informatie GS &amp; warmtenet'!B58)</f>
        <v>0</v>
      </c>
      <c r="D5" s="30">
        <f>SUM(D6:D12)</f>
        <v>91266.499025212863</v>
      </c>
      <c r="E5" s="17">
        <f>SUM(E6:E12)</f>
        <v>561.12932472994078</v>
      </c>
      <c r="F5" s="17">
        <f>SUM(F6:F12)</f>
        <v>8730.410554579581</v>
      </c>
      <c r="G5" s="18"/>
      <c r="H5" s="17"/>
      <c r="I5" s="17"/>
      <c r="J5" s="17">
        <f>SUM(J6:J12)</f>
        <v>0.13367506117336023</v>
      </c>
      <c r="K5" s="17"/>
      <c r="L5" s="17"/>
      <c r="M5" s="17"/>
      <c r="N5" s="17">
        <f>SUM(N6:N12)</f>
        <v>5405.6517515846854</v>
      </c>
      <c r="O5" s="17">
        <f>B38*B39*B40</f>
        <v>1.5633333333333335</v>
      </c>
      <c r="P5" s="17">
        <f>B46*B47*B48/1000-B46*B47*B48/1000/B49</f>
        <v>38.133333333333333</v>
      </c>
      <c r="R5" s="32"/>
    </row>
    <row r="6" spans="1:18">
      <c r="A6" s="32" t="s">
        <v>54</v>
      </c>
      <c r="B6" s="37">
        <f>B26</f>
        <v>14585.0045399828</v>
      </c>
      <c r="C6" s="33"/>
      <c r="D6" s="37">
        <f>IF(ISERROR(TER_kantoor_gas_kWh/1000),0,TER_kantoor_gas_kWh/1000)*0.902</f>
        <v>31999.46401747335</v>
      </c>
      <c r="E6" s="33">
        <f>$C$26*'E Balans VL '!I12/100/3.6*1000000</f>
        <v>9.1413957560098333E-2</v>
      </c>
      <c r="F6" s="33">
        <f>$C$26*('E Balans VL '!L12+'E Balans VL '!N12)/100/3.6*1000000</f>
        <v>2191.7186384635729</v>
      </c>
      <c r="G6" s="34"/>
      <c r="H6" s="33"/>
      <c r="I6" s="33"/>
      <c r="J6" s="33">
        <f>$C$26*('E Balans VL '!D12+'E Balans VL '!E12)/100/3.6*1000000</f>
        <v>0</v>
      </c>
      <c r="K6" s="33"/>
      <c r="L6" s="33"/>
      <c r="M6" s="33"/>
      <c r="N6" s="33">
        <f>$C$26*'E Balans VL '!Y12/100/3.6*1000000</f>
        <v>13.948394378252662</v>
      </c>
      <c r="O6" s="33"/>
      <c r="P6" s="33"/>
      <c r="R6" s="32"/>
    </row>
    <row r="7" spans="1:18">
      <c r="A7" s="32" t="s">
        <v>53</v>
      </c>
      <c r="B7" s="37">
        <f t="shared" ref="B7:B12" si="0">B27</f>
        <v>4192.1521484785299</v>
      </c>
      <c r="C7" s="33"/>
      <c r="D7" s="37">
        <f>IF(ISERROR(TER_horeca_gas_kWh/1000),0,TER_horeca_gas_kWh/1000)*0.902</f>
        <v>6768.8403517470269</v>
      </c>
      <c r="E7" s="33">
        <f>$C$27*'E Balans VL '!I9/100/3.6*1000000</f>
        <v>60.030920486964789</v>
      </c>
      <c r="F7" s="33">
        <f>$C$27*('E Balans VL '!L9+'E Balans VL '!N9)/100/3.6*1000000</f>
        <v>530.86472450192116</v>
      </c>
      <c r="G7" s="34"/>
      <c r="H7" s="33"/>
      <c r="I7" s="33"/>
      <c r="J7" s="33">
        <f>$C$27*('E Balans VL '!D9+'E Balans VL '!E9)/100/3.6*1000000</f>
        <v>0</v>
      </c>
      <c r="K7" s="33"/>
      <c r="L7" s="33"/>
      <c r="M7" s="33"/>
      <c r="N7" s="33">
        <f>$C$27*'E Balans VL '!Y9/100/3.6*1000000</f>
        <v>1.2051513136667795</v>
      </c>
      <c r="O7" s="33"/>
      <c r="P7" s="33"/>
      <c r="R7" s="32"/>
    </row>
    <row r="8" spans="1:18">
      <c r="A8" s="6" t="s">
        <v>52</v>
      </c>
      <c r="B8" s="37">
        <f t="shared" si="0"/>
        <v>11323.603814834702</v>
      </c>
      <c r="C8" s="33"/>
      <c r="D8" s="37">
        <f>IF(ISERROR(TER_handel_gas_kWh/1000),0,TER_handel_gas_kWh/1000)*0.902</f>
        <v>10780.794412373194</v>
      </c>
      <c r="E8" s="33">
        <f>$C$28*'E Balans VL '!I13/100/3.6*1000000</f>
        <v>410.70571399979144</v>
      </c>
      <c r="F8" s="33">
        <f>$C$28*('E Balans VL '!L13+'E Balans VL '!N13)/100/3.6*1000000</f>
        <v>2181.0407535155659</v>
      </c>
      <c r="G8" s="34"/>
      <c r="H8" s="33"/>
      <c r="I8" s="33"/>
      <c r="J8" s="33">
        <f>$C$28*('E Balans VL '!D13+'E Balans VL '!E13)/100/3.6*1000000</f>
        <v>0</v>
      </c>
      <c r="K8" s="33"/>
      <c r="L8" s="33"/>
      <c r="M8" s="33"/>
      <c r="N8" s="33">
        <f>$C$28*'E Balans VL '!Y13/100/3.6*1000000</f>
        <v>15.685796728584487</v>
      </c>
      <c r="O8" s="33"/>
      <c r="P8" s="33"/>
      <c r="R8" s="32"/>
    </row>
    <row r="9" spans="1:18">
      <c r="A9" s="32" t="s">
        <v>51</v>
      </c>
      <c r="B9" s="37">
        <f t="shared" si="0"/>
        <v>8442.676270403379</v>
      </c>
      <c r="C9" s="33"/>
      <c r="D9" s="37">
        <f>IF(ISERROR(TER_gezond_gas_kWh/1000),0,TER_gezond_gas_kWh/1000)*0.902</f>
        <v>12097.334506252851</v>
      </c>
      <c r="E9" s="33">
        <f>$C$29*'E Balans VL '!I10/100/3.6*1000000</f>
        <v>0.52859489089622291</v>
      </c>
      <c r="F9" s="33">
        <f>$C$29*('E Balans VL '!L10+'E Balans VL '!N10)/100/3.6*1000000</f>
        <v>1254.1852654696029</v>
      </c>
      <c r="G9" s="34"/>
      <c r="H9" s="33"/>
      <c r="I9" s="33"/>
      <c r="J9" s="33">
        <f>$C$29*('E Balans VL '!D10+'E Balans VL '!E10)/100/3.6*1000000</f>
        <v>0</v>
      </c>
      <c r="K9" s="33"/>
      <c r="L9" s="33"/>
      <c r="M9" s="33"/>
      <c r="N9" s="33">
        <f>$C$29*'E Balans VL '!Y10/100/3.6*1000000</f>
        <v>130.59213119922325</v>
      </c>
      <c r="O9" s="33"/>
      <c r="P9" s="33"/>
      <c r="R9" s="32"/>
    </row>
    <row r="10" spans="1:18">
      <c r="A10" s="32" t="s">
        <v>50</v>
      </c>
      <c r="B10" s="37">
        <f t="shared" si="0"/>
        <v>5739.7234525648701</v>
      </c>
      <c r="C10" s="33"/>
      <c r="D10" s="37">
        <f>IF(ISERROR(TER_ander_gas_kWh/1000),0,TER_ander_gas_kWh/1000)*0.902</f>
        <v>6735.5266505551945</v>
      </c>
      <c r="E10" s="33">
        <f>$C$30*'E Balans VL '!I14/100/3.6*1000000</f>
        <v>6.8415452523974585</v>
      </c>
      <c r="F10" s="33">
        <f>$C$30*('E Balans VL '!L14+'E Balans VL '!N14)/100/3.6*1000000</f>
        <v>1501.7668232539697</v>
      </c>
      <c r="G10" s="34"/>
      <c r="H10" s="33"/>
      <c r="I10" s="33"/>
      <c r="J10" s="33">
        <f>$C$30*('E Balans VL '!D14+'E Balans VL '!E14)/100/3.6*1000000</f>
        <v>0.12458689706049338</v>
      </c>
      <c r="K10" s="33"/>
      <c r="L10" s="33"/>
      <c r="M10" s="33"/>
      <c r="N10" s="33">
        <f>$C$30*'E Balans VL '!Y14/100/3.6*1000000</f>
        <v>4874.0327068621646</v>
      </c>
      <c r="O10" s="33"/>
      <c r="P10" s="33"/>
      <c r="R10" s="32"/>
    </row>
    <row r="11" spans="1:18">
      <c r="A11" s="32" t="s">
        <v>55</v>
      </c>
      <c r="B11" s="37">
        <f t="shared" si="0"/>
        <v>2407.5151389650696</v>
      </c>
      <c r="C11" s="33"/>
      <c r="D11" s="37">
        <f>IF(ISERROR(TER_onderwijs_gas_kWh/1000),0,TER_onderwijs_gas_kWh/1000)*0.902</f>
        <v>11596.833562702301</v>
      </c>
      <c r="E11" s="33">
        <f>$C$31*'E Balans VL '!I11/100/3.6*1000000</f>
        <v>36.325525775124966</v>
      </c>
      <c r="F11" s="33">
        <f>$C$31*('E Balans VL '!L11+'E Balans VL '!N11)/100/3.6*1000000</f>
        <v>421.83511354523296</v>
      </c>
      <c r="G11" s="34"/>
      <c r="H11" s="33"/>
      <c r="I11" s="33"/>
      <c r="J11" s="33">
        <f>$C$31*('E Balans VL '!D11+'E Balans VL '!E11)/100/3.6*1000000</f>
        <v>0</v>
      </c>
      <c r="K11" s="33"/>
      <c r="L11" s="33"/>
      <c r="M11" s="33"/>
      <c r="N11" s="33">
        <f>$C$31*'E Balans VL '!Y11/100/3.6*1000000</f>
        <v>6.7749306273185539</v>
      </c>
      <c r="O11" s="33"/>
      <c r="P11" s="33"/>
      <c r="R11" s="32"/>
    </row>
    <row r="12" spans="1:18">
      <c r="A12" s="32" t="s">
        <v>260</v>
      </c>
      <c r="B12" s="37">
        <f t="shared" si="0"/>
        <v>3753.07429210796</v>
      </c>
      <c r="C12" s="33"/>
      <c r="D12" s="37">
        <f>IF(ISERROR(TER_rest_gas_kWh/1000),0,TER_rest_gas_kWh/1000)*0.902</f>
        <v>11287.705524108944</v>
      </c>
      <c r="E12" s="33">
        <f>$C$32*'E Balans VL '!I8/100/3.6*1000000</f>
        <v>46.605610367205792</v>
      </c>
      <c r="F12" s="33">
        <f>$C$32*('E Balans VL '!L8+'E Balans VL '!N8)/100/3.6*1000000</f>
        <v>648.99923582971451</v>
      </c>
      <c r="G12" s="34"/>
      <c r="H12" s="33"/>
      <c r="I12" s="33"/>
      <c r="J12" s="33">
        <f>$C$32*('E Balans VL '!D8+'E Balans VL '!E8)/100/3.6*1000000</f>
        <v>9.0881641128668558E-3</v>
      </c>
      <c r="K12" s="33"/>
      <c r="L12" s="33"/>
      <c r="M12" s="33"/>
      <c r="N12" s="33">
        <f>$C$32*'E Balans VL '!Y8/100/3.6*1000000</f>
        <v>363.41264047547469</v>
      </c>
      <c r="O12" s="33"/>
      <c r="P12" s="33"/>
      <c r="R12" s="32"/>
    </row>
    <row r="13" spans="1:18">
      <c r="A13" s="16" t="s">
        <v>488</v>
      </c>
      <c r="B13" s="247">
        <f ca="1">'lokale energieproductie'!N91+'lokale energieproductie'!N60</f>
        <v>630.00000000000011</v>
      </c>
      <c r="C13" s="247">
        <f ca="1">'lokale energieproductie'!O91+'lokale energieproductie'!O60</f>
        <v>900.00000000000023</v>
      </c>
      <c r="D13" s="310">
        <f ca="1">('lokale energieproductie'!P60+'lokale energieproductie'!P91)*(-1)</f>
        <v>-1800.0000000000005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51073.749657337299</v>
      </c>
      <c r="C16" s="21">
        <f t="shared" ca="1" si="1"/>
        <v>900.00000000000023</v>
      </c>
      <c r="D16" s="21">
        <f t="shared" ca="1" si="1"/>
        <v>89466.499025212863</v>
      </c>
      <c r="E16" s="21">
        <f t="shared" si="1"/>
        <v>561.12932472994078</v>
      </c>
      <c r="F16" s="21">
        <f t="shared" ca="1" si="1"/>
        <v>8730.410554579581</v>
      </c>
      <c r="G16" s="21">
        <f t="shared" si="1"/>
        <v>0</v>
      </c>
      <c r="H16" s="21">
        <f t="shared" si="1"/>
        <v>0</v>
      </c>
      <c r="I16" s="21">
        <f t="shared" si="1"/>
        <v>0</v>
      </c>
      <c r="J16" s="21">
        <f t="shared" si="1"/>
        <v>0.13367506117336023</v>
      </c>
      <c r="K16" s="21">
        <f t="shared" si="1"/>
        <v>0</v>
      </c>
      <c r="L16" s="21">
        <f t="shared" ca="1" si="1"/>
        <v>0</v>
      </c>
      <c r="M16" s="21">
        <f t="shared" si="1"/>
        <v>0</v>
      </c>
      <c r="N16" s="21">
        <f t="shared" ca="1" si="1"/>
        <v>5405.6517515846854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0.21306079743610695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10881.813830044379</v>
      </c>
      <c r="C20" s="23">
        <f t="shared" ref="C20:P20" ca="1" si="2">C16*C18</f>
        <v>213.88235294117658</v>
      </c>
      <c r="D20" s="23">
        <f t="shared" ca="1" si="2"/>
        <v>18072.232803093</v>
      </c>
      <c r="E20" s="23">
        <f t="shared" si="2"/>
        <v>127.37635671369657</v>
      </c>
      <c r="F20" s="23">
        <f t="shared" ca="1" si="2"/>
        <v>2331.0196180727485</v>
      </c>
      <c r="G20" s="23">
        <f t="shared" si="2"/>
        <v>0</v>
      </c>
      <c r="H20" s="23">
        <f t="shared" si="2"/>
        <v>0</v>
      </c>
      <c r="I20" s="23">
        <f t="shared" si="2"/>
        <v>0</v>
      </c>
      <c r="J20" s="23">
        <f t="shared" si="2"/>
        <v>4.7320971655369519E-2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14585.0045399828</v>
      </c>
      <c r="C26" s="39">
        <f>IF(ISERROR(B26*3.6/1000000/'E Balans VL '!Z12*100),0,B26*3.6/1000000/'E Balans VL '!Z12*100)</f>
        <v>0.30830389146177639</v>
      </c>
      <c r="D26" s="237" t="s">
        <v>754</v>
      </c>
      <c r="F26" s="6"/>
    </row>
    <row r="27" spans="1:18">
      <c r="A27" s="231" t="s">
        <v>53</v>
      </c>
      <c r="B27" s="33">
        <f>IF(ISERROR(TER_horeca_ele_kWh/1000),0,TER_horeca_ele_kWh/1000)</f>
        <v>4192.1521484785299</v>
      </c>
      <c r="C27" s="39">
        <f>IF(ISERROR(B27*3.6/1000000/'E Balans VL '!Z9*100),0,B27*3.6/1000000/'E Balans VL '!Z9*100)</f>
        <v>0.33046579136968851</v>
      </c>
      <c r="D27" s="237" t="s">
        <v>754</v>
      </c>
      <c r="F27" s="6"/>
    </row>
    <row r="28" spans="1:18">
      <c r="A28" s="171" t="s">
        <v>52</v>
      </c>
      <c r="B28" s="33">
        <f>IF(ISERROR(TER_handel_ele_kWh/1000),0,TER_handel_ele_kWh/1000)</f>
        <v>11323.603814834702</v>
      </c>
      <c r="C28" s="39">
        <f>IF(ISERROR(B28*3.6/1000000/'E Balans VL '!Z13*100),0,B28*3.6/1000000/'E Balans VL '!Z13*100)</f>
        <v>0.32865673519276034</v>
      </c>
      <c r="D28" s="237" t="s">
        <v>754</v>
      </c>
      <c r="F28" s="6"/>
    </row>
    <row r="29" spans="1:18">
      <c r="A29" s="231" t="s">
        <v>51</v>
      </c>
      <c r="B29" s="33">
        <f>IF(ISERROR(TER_gezond_ele_kWh/1000),0,TER_gezond_ele_kWh/1000)</f>
        <v>8442.676270403379</v>
      </c>
      <c r="C29" s="39">
        <f>IF(ISERROR(B29*3.6/1000000/'E Balans VL '!Z10*100),0,B29*3.6/1000000/'E Balans VL '!Z10*100)</f>
        <v>0.88915244367719537</v>
      </c>
      <c r="D29" s="237" t="s">
        <v>754</v>
      </c>
      <c r="F29" s="6"/>
    </row>
    <row r="30" spans="1:18">
      <c r="A30" s="231" t="s">
        <v>50</v>
      </c>
      <c r="B30" s="33">
        <f>IF(ISERROR(TER_ander_ele_kWh/1000),0,TER_ander_ele_kWh/1000)</f>
        <v>5739.7234525648701</v>
      </c>
      <c r="C30" s="39">
        <f>IF(ISERROR(B30*3.6/1000000/'E Balans VL '!Z14*100),0,B30*3.6/1000000/'E Balans VL '!Z14*100)</f>
        <v>0.4233632485229174</v>
      </c>
      <c r="D30" s="237" t="s">
        <v>754</v>
      </c>
      <c r="F30" s="6"/>
    </row>
    <row r="31" spans="1:18">
      <c r="A31" s="231" t="s">
        <v>55</v>
      </c>
      <c r="B31" s="33">
        <f>IF(ISERROR(TER_onderwijs_ele_kWh/1000),0,TER_onderwijs_ele_kWh/1000)</f>
        <v>2407.5151389650696</v>
      </c>
      <c r="C31" s="39">
        <f>IF(ISERROR(B31*3.6/1000000/'E Balans VL '!Z11*100),0,B31*3.6/1000000/'E Balans VL '!Z11*100)</f>
        <v>0.5978987836556674</v>
      </c>
      <c r="D31" s="237" t="s">
        <v>754</v>
      </c>
    </row>
    <row r="32" spans="1:18">
      <c r="A32" s="231" t="s">
        <v>260</v>
      </c>
      <c r="B32" s="33">
        <f>IF(ISERROR(TER_rest_ele_kWh/1000),0,TER_rest_ele_kWh/1000)</f>
        <v>3753.07429210796</v>
      </c>
      <c r="C32" s="39">
        <f>IF(ISERROR(B32*3.6/1000000/'E Balans VL '!Z8*100),0,B32*3.6/1000000/'E Balans VL '!Z8*100)</f>
        <v>3.0882819724328662E-2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3558.398085339144</v>
      </c>
      <c r="C5" s="17">
        <f>IF(ISERROR('Eigen informatie GS &amp; warmtenet'!B59),0,'Eigen informatie GS &amp; warmtenet'!B59)</f>
        <v>0</v>
      </c>
      <c r="D5" s="30">
        <f>SUM(D6:D15)</f>
        <v>5512.5641592269494</v>
      </c>
      <c r="E5" s="17">
        <f>SUM(E6:E15)</f>
        <v>621.87945741276883</v>
      </c>
      <c r="F5" s="17">
        <f>SUM(F6:F15)</f>
        <v>1785.280654810706</v>
      </c>
      <c r="G5" s="18"/>
      <c r="H5" s="17"/>
      <c r="I5" s="17"/>
      <c r="J5" s="17">
        <f>SUM(J6:J15)</f>
        <v>0.9881122533019322</v>
      </c>
      <c r="K5" s="17"/>
      <c r="L5" s="17"/>
      <c r="M5" s="17"/>
      <c r="N5" s="17">
        <f>SUM(N6:N15)</f>
        <v>1501.1313271629394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141.86862180031</v>
      </c>
      <c r="C8" s="33"/>
      <c r="D8" s="37">
        <f>IF( ISERROR(IND_metaal_Gas_kWH/1000),0,IND_metaal_Gas_kWH/1000)*0.902</f>
        <v>0</v>
      </c>
      <c r="E8" s="33">
        <f>C30*'E Balans VL '!I18/100/3.6*1000000</f>
        <v>1.30434495943587</v>
      </c>
      <c r="F8" s="33">
        <f>C30*'E Balans VL '!L18/100/3.6*1000000+C30*'E Balans VL '!N18/100/3.6*1000000</f>
        <v>13.302553440336826</v>
      </c>
      <c r="G8" s="34"/>
      <c r="H8" s="33"/>
      <c r="I8" s="33"/>
      <c r="J8" s="40">
        <f>C30*'E Balans VL '!D18/100/3.6*1000000+C30*'E Balans VL '!E18/100/3.6*1000000</f>
        <v>0</v>
      </c>
      <c r="K8" s="33"/>
      <c r="L8" s="33"/>
      <c r="M8" s="33"/>
      <c r="N8" s="33">
        <f>C30*'E Balans VL '!Y18/100/3.6*1000000</f>
        <v>2.0239903377517883</v>
      </c>
      <c r="O8" s="33"/>
      <c r="P8" s="33"/>
      <c r="R8" s="32"/>
    </row>
    <row r="9" spans="1:18">
      <c r="A9" s="6" t="s">
        <v>33</v>
      </c>
      <c r="B9" s="37">
        <f t="shared" si="0"/>
        <v>2065.47857830972</v>
      </c>
      <c r="C9" s="33"/>
      <c r="D9" s="37">
        <f>IF( ISERROR(IND_andere_gas_kWh/1000),0,IND_andere_gas_kWh/1000)*0.902</f>
        <v>3265.6827581808902</v>
      </c>
      <c r="E9" s="33">
        <f>C31*'E Balans VL '!I19/100/3.6*1000000</f>
        <v>603.77959856509403</v>
      </c>
      <c r="F9" s="33">
        <f>C31*'E Balans VL '!L19/100/3.6*1000000+C31*'E Balans VL '!N19/100/3.6*1000000</f>
        <v>1659.7683800345758</v>
      </c>
      <c r="G9" s="34"/>
      <c r="H9" s="33"/>
      <c r="I9" s="33"/>
      <c r="J9" s="40">
        <f>C31*'E Balans VL '!D19/100/3.6*1000000+C31*'E Balans VL '!E19/100/3.6*1000000</f>
        <v>0</v>
      </c>
      <c r="K9" s="33"/>
      <c r="L9" s="33"/>
      <c r="M9" s="33"/>
      <c r="N9" s="33">
        <f>C31*'E Balans VL '!Y19/100/3.6*1000000</f>
        <v>682.46615557511802</v>
      </c>
      <c r="O9" s="33"/>
      <c r="P9" s="33"/>
      <c r="R9" s="32"/>
    </row>
    <row r="10" spans="1:18">
      <c r="A10" s="6" t="s">
        <v>41</v>
      </c>
      <c r="B10" s="37">
        <f t="shared" si="0"/>
        <v>845.04073513078902</v>
      </c>
      <c r="C10" s="33"/>
      <c r="D10" s="37">
        <f>IF( ISERROR(IND_voed_gas_kWh/1000),0,IND_voed_gas_kWh/1000)*0.902</f>
        <v>1306.6695149625036</v>
      </c>
      <c r="E10" s="33">
        <f>C32*'E Balans VL '!I20/100/3.6*1000000</f>
        <v>1.7876967776809674</v>
      </c>
      <c r="F10" s="33">
        <f>C32*'E Balans VL '!L20/100/3.6*1000000+C32*'E Balans VL '!N20/100/3.6*1000000</f>
        <v>53.728553123414038</v>
      </c>
      <c r="G10" s="34"/>
      <c r="H10" s="33"/>
      <c r="I10" s="33"/>
      <c r="J10" s="40">
        <f>C32*'E Balans VL '!D20/100/3.6*1000000+C32*'E Balans VL '!E20/100/3.6*1000000</f>
        <v>0</v>
      </c>
      <c r="K10" s="33"/>
      <c r="L10" s="33"/>
      <c r="M10" s="33"/>
      <c r="N10" s="33">
        <f>C32*'E Balans VL '!Y20/100/3.6*1000000</f>
        <v>58.31614978976031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240.38457088496401</v>
      </c>
      <c r="C13" s="33"/>
      <c r="D13" s="37">
        <f>IF( ISERROR(IND_papier_gas_kWh/1000),0,IND_papier_gas_kWh/1000)*0.902</f>
        <v>0</v>
      </c>
      <c r="E13" s="33">
        <f>C35*'E Balans VL '!I23/100/3.6*1000000</f>
        <v>0.34105073056117646</v>
      </c>
      <c r="F13" s="33">
        <f>C35*'E Balans VL '!L23/100/3.6*1000000+C35*'E Balans VL '!N23/100/3.6*1000000</f>
        <v>5.8686912795671944</v>
      </c>
      <c r="G13" s="34"/>
      <c r="H13" s="33"/>
      <c r="I13" s="33"/>
      <c r="J13" s="40">
        <f>C35*'E Balans VL '!D23/100/3.6*1000000+C35*'E Balans VL '!E23/100/3.6*1000000</f>
        <v>3.717773075523894E-2</v>
      </c>
      <c r="K13" s="33"/>
      <c r="L13" s="33"/>
      <c r="M13" s="33"/>
      <c r="N13" s="33">
        <f>C35*'E Balans VL '!Y23/100/3.6*1000000</f>
        <v>698.74104462619516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265.62557921336105</v>
      </c>
      <c r="C15" s="33"/>
      <c r="D15" s="37">
        <f>IF( ISERROR(IND_rest_gas_kWh/1000),0,IND_rest_gas_kWh/1000)*0.902</f>
        <v>940.21188608355499</v>
      </c>
      <c r="E15" s="33">
        <f>C37*'E Balans VL '!I15/100/3.6*1000000</f>
        <v>14.666766379996821</v>
      </c>
      <c r="F15" s="33">
        <f>C37*'E Balans VL '!L15/100/3.6*1000000+C37*'E Balans VL '!N15/100/3.6*1000000</f>
        <v>52.612476932812079</v>
      </c>
      <c r="G15" s="34"/>
      <c r="H15" s="33"/>
      <c r="I15" s="33"/>
      <c r="J15" s="40">
        <f>C37*'E Balans VL '!D15/100/3.6*1000000+C37*'E Balans VL '!E15/100/3.6*1000000</f>
        <v>0.95093452254669331</v>
      </c>
      <c r="K15" s="33"/>
      <c r="L15" s="33"/>
      <c r="M15" s="33"/>
      <c r="N15" s="33">
        <f>C37*'E Balans VL '!Y15/100/3.6*1000000</f>
        <v>59.583986834114192</v>
      </c>
      <c r="O15" s="33"/>
      <c r="P15" s="33"/>
      <c r="R15" s="32"/>
    </row>
    <row r="16" spans="1:18">
      <c r="A16" s="16" t="s">
        <v>488</v>
      </c>
      <c r="B16" s="247">
        <f>'lokale energieproductie'!N90+'lokale energieproductie'!N59</f>
        <v>241.65000000000003</v>
      </c>
      <c r="C16" s="247">
        <f>'lokale energieproductie'!O90+'lokale energieproductie'!O59</f>
        <v>345.21428571428578</v>
      </c>
      <c r="D16" s="310">
        <f>('lokale energieproductie'!P59+'lokale energieproductie'!P90)*(-1)</f>
        <v>-690.42857142857156</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3800.0480853391441</v>
      </c>
      <c r="C18" s="21">
        <f>C5+C16</f>
        <v>345.21428571428578</v>
      </c>
      <c r="D18" s="21">
        <f>MAX((D5+D16),0)</f>
        <v>4822.1355877983779</v>
      </c>
      <c r="E18" s="21">
        <f>MAX((E5+E16),0)</f>
        <v>621.87945741276883</v>
      </c>
      <c r="F18" s="21">
        <f>MAX((F5+F16),0)</f>
        <v>1785.280654810706</v>
      </c>
      <c r="G18" s="21"/>
      <c r="H18" s="21"/>
      <c r="I18" s="21"/>
      <c r="J18" s="21">
        <f>MAX((J5+J16),0)</f>
        <v>0.9881122533019322</v>
      </c>
      <c r="K18" s="21"/>
      <c r="L18" s="21">
        <f>MAX((L5+L16),0)</f>
        <v>0</v>
      </c>
      <c r="M18" s="21"/>
      <c r="N18" s="21">
        <f>MAX((N5+N16),0)</f>
        <v>1501.1313271629394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0.21306079743610695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809.64127535790942</v>
      </c>
      <c r="C22" s="23">
        <f ca="1">C18*C20</f>
        <v>82.039159663865576</v>
      </c>
      <c r="D22" s="23">
        <f>D18*D20</f>
        <v>974.07138873527242</v>
      </c>
      <c r="E22" s="23">
        <f>E18*E20</f>
        <v>141.16663683269852</v>
      </c>
      <c r="F22" s="23">
        <f>F18*F20</f>
        <v>476.6699348344585</v>
      </c>
      <c r="G22" s="23"/>
      <c r="H22" s="23"/>
      <c r="I22" s="23"/>
      <c r="J22" s="23">
        <f>J18*J20</f>
        <v>0.349791737668884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141.86862180031</v>
      </c>
      <c r="C30" s="39">
        <f>IF(ISERROR(B30*3.6/1000000/'E Balans VL '!Z18*100),0,B30*3.6/1000000/'E Balans VL '!Z18*100)</f>
        <v>8.0400585723625038E-3</v>
      </c>
      <c r="D30" s="237" t="s">
        <v>754</v>
      </c>
    </row>
    <row r="31" spans="1:18">
      <c r="A31" s="6" t="s">
        <v>33</v>
      </c>
      <c r="B31" s="37">
        <f>IF( ISERROR(IND_ander_ele_kWh/1000),0,IND_ander_ele_kWh/1000)</f>
        <v>2065.47857830972</v>
      </c>
      <c r="C31" s="39">
        <f>IF(ISERROR(B31*3.6/1000000/'E Balans VL '!Z19*100),0,B31*3.6/1000000/'E Balans VL '!Z19*100)</f>
        <v>9.3681507809017947E-2</v>
      </c>
      <c r="D31" s="237" t="s">
        <v>754</v>
      </c>
    </row>
    <row r="32" spans="1:18">
      <c r="A32" s="171" t="s">
        <v>41</v>
      </c>
      <c r="B32" s="37">
        <f>IF( ISERROR(IND_voed_ele_kWh/1000),0,IND_voed_ele_kWh/1000)</f>
        <v>845.04073513078902</v>
      </c>
      <c r="C32" s="39">
        <f>IF(ISERROR(B32*3.6/1000000/'E Balans VL '!Z20*100),0,B32*3.6/1000000/'E Balans VL '!Z20*100)</f>
        <v>2.6140946098624652E-2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240.38457088496401</v>
      </c>
      <c r="C35" s="39">
        <f>IF(ISERROR(B35*3.6/1000000/'E Balans VL '!Z22*100),0,B35*3.6/1000000/'E Balans VL '!Z22*100)</f>
        <v>4.3237684389969278E-2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265.62557921336105</v>
      </c>
      <c r="C37" s="39">
        <f>IF(ISERROR(B37*3.6/1000000/'E Balans VL '!Z15*100),0,B37*3.6/1000000/'E Balans VL '!Z15*100)</f>
        <v>2.1054089345021801E-3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236.10153822589541</v>
      </c>
      <c r="C5" s="17">
        <f>'Eigen informatie GS &amp; warmtenet'!B60</f>
        <v>0</v>
      </c>
      <c r="D5" s="30">
        <f>IF(ISERROR(SUM(LB_lb_gas_kWh,LB_rest_gas_kWh)/1000),0,SUM(LB_lb_gas_kWh,LB_rest_gas_kWh)/1000)*0.902</f>
        <v>351.97265774759239</v>
      </c>
      <c r="E5" s="17">
        <f>B17*'E Balans VL '!I25/3.6*1000000/100</f>
        <v>6.9397453457915583</v>
      </c>
      <c r="F5" s="17">
        <f>B17*('E Balans VL '!L25/3.6*1000000+'E Balans VL '!N25/3.6*1000000)/100</f>
        <v>983.58624999160554</v>
      </c>
      <c r="G5" s="18"/>
      <c r="H5" s="17"/>
      <c r="I5" s="17"/>
      <c r="J5" s="17">
        <f>('E Balans VL '!D25+'E Balans VL '!E25)/3.6*1000000*landbouw!B17/100</f>
        <v>34.20604255035925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236.10153822589541</v>
      </c>
      <c r="C8" s="21">
        <f>C5+C6</f>
        <v>0</v>
      </c>
      <c r="D8" s="21">
        <f>MAX((D5+D6),0)</f>
        <v>351.97265774759239</v>
      </c>
      <c r="E8" s="21">
        <f>MAX((E5+E6),0)</f>
        <v>6.9397453457915583</v>
      </c>
      <c r="F8" s="21">
        <f>MAX((F5+F6),0)</f>
        <v>983.58624999160554</v>
      </c>
      <c r="G8" s="21"/>
      <c r="H8" s="21"/>
      <c r="I8" s="21"/>
      <c r="J8" s="21">
        <f>MAX((J5+J6),0)</f>
        <v>34.20604255035925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0.21306079743610695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50.303982010300764</v>
      </c>
      <c r="C12" s="23">
        <f ca="1">C8*C10</f>
        <v>0</v>
      </c>
      <c r="D12" s="23">
        <f>D8*D10</f>
        <v>71.098476865013666</v>
      </c>
      <c r="E12" s="23">
        <f>E8*E10</f>
        <v>1.5753221934946837</v>
      </c>
      <c r="F12" s="23">
        <f>F8*F10</f>
        <v>262.61752874775868</v>
      </c>
      <c r="G12" s="23"/>
      <c r="H12" s="23"/>
      <c r="I12" s="23"/>
      <c r="J12" s="23">
        <f>J8*J10</f>
        <v>12.108939062827174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3.3503549020240289E-2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3.4808275629763892</v>
      </c>
      <c r="C26" s="247">
        <f>B26*'GWP N2O_CH4'!B5</f>
        <v>73.097378822504169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0.29398526941075448</v>
      </c>
      <c r="C27" s="247">
        <f>B27*'GWP N2O_CH4'!B5</f>
        <v>6.1736906576258441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2.3672383094222767E-2</v>
      </c>
      <c r="C28" s="247">
        <f>B28*'GWP N2O_CH4'!B4</f>
        <v>7.3384387592090574</v>
      </c>
      <c r="D28" s="50"/>
    </row>
    <row r="29" spans="1:4">
      <c r="A29" s="41" t="s">
        <v>277</v>
      </c>
      <c r="B29" s="247">
        <f>B34*'ha_N2O bodem landbouw'!B4</f>
        <v>1.9160877933881695</v>
      </c>
      <c r="C29" s="247">
        <f>B29*'GWP N2O_CH4'!B4</f>
        <v>593.98721595033248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4.3724463131889017E-4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2.8515780229373082E-4</v>
      </c>
      <c r="C5" s="463" t="s">
        <v>211</v>
      </c>
      <c r="D5" s="448">
        <f>SUM(D6:D11)</f>
        <v>1.0337977997384867E-3</v>
      </c>
      <c r="E5" s="448">
        <f>SUM(E6:E11)</f>
        <v>1.4152307414650525E-3</v>
      </c>
      <c r="F5" s="461" t="s">
        <v>211</v>
      </c>
      <c r="G5" s="448">
        <f>SUM(G6:G11)</f>
        <v>0.47664539835542408</v>
      </c>
      <c r="H5" s="448">
        <f>SUM(H6:H11)</f>
        <v>0.11695956174201534</v>
      </c>
      <c r="I5" s="463" t="s">
        <v>211</v>
      </c>
      <c r="J5" s="463" t="s">
        <v>211</v>
      </c>
      <c r="K5" s="463" t="s">
        <v>211</v>
      </c>
      <c r="L5" s="463" t="s">
        <v>211</v>
      </c>
      <c r="M5" s="448">
        <f>SUM(M6:M11)</f>
        <v>3.1298413940704768E-2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1.7039317554000576E-4</v>
      </c>
      <c r="C6" s="449"/>
      <c r="D6" s="892">
        <f>vkm_2011_GW_PW*SUMIFS(TableVerdeelsleutelVkm[CNG],TableVerdeelsleutelVkm[Voertuigtype],"Lichte voertuigen")*SUMIFS(TableECFTransport[EnergieConsumptieFactor (PJ per km)],TableECFTransport[Index],CONCATENATE($A6,"_CNG_CNG"))</f>
        <v>5.1108172983294964E-4</v>
      </c>
      <c r="E6" s="892">
        <f>vkm_2011_GW_PW*SUMIFS(TableVerdeelsleutelVkm[LPG],TableVerdeelsleutelVkm[Voertuigtype],"Lichte voertuigen")*SUMIFS(TableECFTransport[EnergieConsumptieFactor (PJ per km)],TableECFTransport[Index],CONCATENATE($A6,"_LPG_LPG"))</f>
        <v>6.9821105622432805E-4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0.18052537264732704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5.8129665988273863E-2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1.2261920763867729E-2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6.1710412360693072E-2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1.8808079725588477E-5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3.6061482992452987E-3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7.4078766535988456E-5</v>
      </c>
      <c r="C8" s="449"/>
      <c r="D8" s="451">
        <f>vkm_2011_NGW_PW*SUMIFS(TableVerdeelsleutelVkm[CNG],TableVerdeelsleutelVkm[Voertuigtype],"Lichte voertuigen")*SUMIFS(TableECFTransport[EnergieConsumptieFactor (PJ per km)],TableECFTransport[Index],CONCATENATE($A8,"_CNG_CNG"))</f>
        <v>3.9506303395893128E-4</v>
      </c>
      <c r="E8" s="451">
        <f>vkm_2011_NGW_PW*SUMIFS(TableVerdeelsleutelVkm[LPG],TableVerdeelsleutelVkm[Voertuigtype],"Lichte voertuigen")*SUMIFS(TableECFTransport[EnergieConsumptieFactor (PJ per km)],TableECFTransport[Index],CONCATENATE($A8,"_LPG_LPG"))</f>
        <v>4.9983534460255289E-4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0.12043288668603999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4.3665884028062082E-2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8.3243203735123526E-3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4.8396292049254401E-3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1.3886044389490358E-6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2.8280905433138761E-4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4.0685860217736629E-5</v>
      </c>
      <c r="C10" s="449"/>
      <c r="D10" s="451">
        <f>vkm_2011_SW_PW*SUMIFS(TableVerdeelsleutelVkm[CNG],TableVerdeelsleutelVkm[Voertuigtype],"Lichte voertuigen")*SUMIFS(TableECFTransport[EnergieConsumptieFactor (PJ per km)],TableECFTransport[Index],CONCATENATE($A10,"_CNG_CNG"))</f>
        <v>1.2765303594660589E-4</v>
      </c>
      <c r="E10" s="451">
        <f>vkm_2011_SW_PW*SUMIFS(TableVerdeelsleutelVkm[LPG],TableVerdeelsleutelVkm[Voertuigtype],"Lichte voertuigen")*SUMIFS(TableECFTransport[EnergieConsumptieFactor (PJ per km)],TableECFTransport[Index],CONCATENATE($A10,"_LPG_LPG"))</f>
        <v>2.1718434063817149E-4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5.0061482591135111E-2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1.5124371570986795E-2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3.3709934075785426E-3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5.9075614865303411E-2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1.9443470528057682E-5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3.4522220421694593E-3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79.210500637147462</v>
      </c>
      <c r="C14" s="21"/>
      <c r="D14" s="21">
        <f t="shared" ref="D14:M14" si="0">((D5)*10^9/3600)+D12</f>
        <v>287.16605548291301</v>
      </c>
      <c r="E14" s="21">
        <f t="shared" si="0"/>
        <v>393.11965040695907</v>
      </c>
      <c r="F14" s="21"/>
      <c r="G14" s="21">
        <f t="shared" si="0"/>
        <v>132401.49954317336</v>
      </c>
      <c r="H14" s="21">
        <f t="shared" si="0"/>
        <v>32488.767150559819</v>
      </c>
      <c r="I14" s="21"/>
      <c r="J14" s="21"/>
      <c r="K14" s="21"/>
      <c r="L14" s="21"/>
      <c r="M14" s="21">
        <f t="shared" si="0"/>
        <v>8694.0038724179904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0.21306079743610695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16.876652431063896</v>
      </c>
      <c r="C18" s="23"/>
      <c r="D18" s="23">
        <f t="shared" ref="D18:M18" si="1">D14*D16</f>
        <v>58.00754320754843</v>
      </c>
      <c r="E18" s="23">
        <f t="shared" si="1"/>
        <v>89.238160642379711</v>
      </c>
      <c r="F18" s="23"/>
      <c r="G18" s="23">
        <f t="shared" si="1"/>
        <v>35351.200378027286</v>
      </c>
      <c r="H18" s="23">
        <f t="shared" si="1"/>
        <v>8089.7030204893954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1.2753344611545502E-2</v>
      </c>
      <c r="H50" s="321">
        <f t="shared" si="2"/>
        <v>0</v>
      </c>
      <c r="I50" s="321">
        <f t="shared" si="2"/>
        <v>0</v>
      </c>
      <c r="J50" s="321">
        <f t="shared" si="2"/>
        <v>0</v>
      </c>
      <c r="K50" s="321">
        <f t="shared" si="2"/>
        <v>0</v>
      </c>
      <c r="L50" s="321">
        <f t="shared" si="2"/>
        <v>0</v>
      </c>
      <c r="M50" s="321">
        <f t="shared" si="2"/>
        <v>7.2433367332183825E-4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1.2753344611545502E-2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7.2433367332183825E-4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3542.5957254293057</v>
      </c>
      <c r="H54" s="21">
        <f t="shared" si="3"/>
        <v>0</v>
      </c>
      <c r="I54" s="21">
        <f t="shared" si="3"/>
        <v>0</v>
      </c>
      <c r="J54" s="21">
        <f t="shared" si="3"/>
        <v>0</v>
      </c>
      <c r="K54" s="21">
        <f t="shared" si="3"/>
        <v>0</v>
      </c>
      <c r="L54" s="21">
        <f t="shared" si="3"/>
        <v>0</v>
      </c>
      <c r="M54" s="21">
        <f t="shared" si="3"/>
        <v>201.20379814495507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0.21306079743610695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945.87305868962471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52999.809657337297</v>
      </c>
      <c r="D10" s="1013">
        <f ca="1">tertiair!C16</f>
        <v>900.00000000000023</v>
      </c>
      <c r="E10" s="1013">
        <f ca="1">tertiair!D16</f>
        <v>89466.499025212863</v>
      </c>
      <c r="F10" s="1013">
        <f>tertiair!E16</f>
        <v>561.12932472994078</v>
      </c>
      <c r="G10" s="1013">
        <f ca="1">tertiair!F16</f>
        <v>8730.410554579581</v>
      </c>
      <c r="H10" s="1013">
        <f>tertiair!G16</f>
        <v>0</v>
      </c>
      <c r="I10" s="1013">
        <f>tertiair!H16</f>
        <v>0</v>
      </c>
      <c r="J10" s="1013">
        <f>tertiair!I16</f>
        <v>0</v>
      </c>
      <c r="K10" s="1013">
        <f>tertiair!J16</f>
        <v>0.13367506117336023</v>
      </c>
      <c r="L10" s="1013">
        <f>tertiair!K16</f>
        <v>0</v>
      </c>
      <c r="M10" s="1013">
        <f ca="1">tertiair!L16</f>
        <v>0</v>
      </c>
      <c r="N10" s="1013">
        <f>tertiair!M16</f>
        <v>0</v>
      </c>
      <c r="O10" s="1013">
        <f ca="1">tertiair!N16</f>
        <v>5405.6517515846854</v>
      </c>
      <c r="P10" s="1013">
        <f>tertiair!O16</f>
        <v>1.5633333333333335</v>
      </c>
      <c r="Q10" s="1014">
        <f>tertiair!P16</f>
        <v>38.133333333333333</v>
      </c>
      <c r="R10" s="700">
        <f ca="1">SUM(C10:Q10)</f>
        <v>158103.33065517218</v>
      </c>
      <c r="S10" s="67"/>
    </row>
    <row r="11" spans="1:19" s="473" customFormat="1">
      <c r="A11" s="809" t="s">
        <v>225</v>
      </c>
      <c r="B11" s="814"/>
      <c r="C11" s="1013">
        <f>huishoudens!B8</f>
        <v>69752.737264372801</v>
      </c>
      <c r="D11" s="1013">
        <f>huishoudens!C8</f>
        <v>0</v>
      </c>
      <c r="E11" s="1013">
        <f>huishoudens!D8</f>
        <v>250535.21458888342</v>
      </c>
      <c r="F11" s="1013">
        <f>huishoudens!E8</f>
        <v>1478.157999666344</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17699.261849361159</v>
      </c>
      <c r="P11" s="1013">
        <f>huishoudens!O8</f>
        <v>281.40000000000003</v>
      </c>
      <c r="Q11" s="1014">
        <f>huishoudens!P8</f>
        <v>1239.3333333333333</v>
      </c>
      <c r="R11" s="700">
        <f>SUM(C11:Q11)</f>
        <v>340986.10503561707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3800.0480853391441</v>
      </c>
      <c r="D13" s="1013">
        <f>industrie!C18</f>
        <v>345.21428571428578</v>
      </c>
      <c r="E13" s="1013">
        <f>industrie!D18</f>
        <v>4822.1355877983779</v>
      </c>
      <c r="F13" s="1013">
        <f>industrie!E18</f>
        <v>621.87945741276883</v>
      </c>
      <c r="G13" s="1013">
        <f>industrie!F18</f>
        <v>1785.280654810706</v>
      </c>
      <c r="H13" s="1013">
        <f>industrie!G18</f>
        <v>0</v>
      </c>
      <c r="I13" s="1013">
        <f>industrie!H18</f>
        <v>0</v>
      </c>
      <c r="J13" s="1013">
        <f>industrie!I18</f>
        <v>0</v>
      </c>
      <c r="K13" s="1013">
        <f>industrie!J18</f>
        <v>0.9881122533019322</v>
      </c>
      <c r="L13" s="1013">
        <f>industrie!K18</f>
        <v>0</v>
      </c>
      <c r="M13" s="1013">
        <f>industrie!L18</f>
        <v>0</v>
      </c>
      <c r="N13" s="1013">
        <f>industrie!M18</f>
        <v>0</v>
      </c>
      <c r="O13" s="1013">
        <f>industrie!N18</f>
        <v>1501.1313271629394</v>
      </c>
      <c r="P13" s="1013">
        <f>industrie!O18</f>
        <v>0</v>
      </c>
      <c r="Q13" s="1014">
        <f>industrie!P18</f>
        <v>0</v>
      </c>
      <c r="R13" s="700">
        <f>SUM(C13:Q13)</f>
        <v>12876.677510491525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126552.59500704925</v>
      </c>
      <c r="D16" s="732">
        <f t="shared" ref="D16:R16" ca="1" si="0">SUM(D9:D15)</f>
        <v>1245.214285714286</v>
      </c>
      <c r="E16" s="732">
        <f t="shared" ca="1" si="0"/>
        <v>344823.84920189466</v>
      </c>
      <c r="F16" s="732">
        <f t="shared" si="0"/>
        <v>2661.1667818090536</v>
      </c>
      <c r="G16" s="732">
        <f t="shared" ca="1" si="0"/>
        <v>10515.691209390287</v>
      </c>
      <c r="H16" s="732">
        <f t="shared" si="0"/>
        <v>0</v>
      </c>
      <c r="I16" s="732">
        <f t="shared" si="0"/>
        <v>0</v>
      </c>
      <c r="J16" s="732">
        <f t="shared" si="0"/>
        <v>0</v>
      </c>
      <c r="K16" s="732">
        <f t="shared" si="0"/>
        <v>1.1217873144752923</v>
      </c>
      <c r="L16" s="732">
        <f t="shared" si="0"/>
        <v>0</v>
      </c>
      <c r="M16" s="732">
        <f t="shared" ca="1" si="0"/>
        <v>0</v>
      </c>
      <c r="N16" s="732">
        <f t="shared" si="0"/>
        <v>0</v>
      </c>
      <c r="O16" s="732">
        <f t="shared" ca="1" si="0"/>
        <v>24606.044928108786</v>
      </c>
      <c r="P16" s="732">
        <f t="shared" si="0"/>
        <v>282.96333333333337</v>
      </c>
      <c r="Q16" s="732">
        <f t="shared" si="0"/>
        <v>1277.4666666666667</v>
      </c>
      <c r="R16" s="732">
        <f t="shared" ca="1" si="0"/>
        <v>511966.11320128076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3542.5957254293057</v>
      </c>
      <c r="I19" s="1013">
        <f>transport!H54</f>
        <v>0</v>
      </c>
      <c r="J19" s="1013">
        <f>transport!I54</f>
        <v>0</v>
      </c>
      <c r="K19" s="1013">
        <f>transport!J54</f>
        <v>0</v>
      </c>
      <c r="L19" s="1013">
        <f>transport!K54</f>
        <v>0</v>
      </c>
      <c r="M19" s="1013">
        <f>transport!L54</f>
        <v>0</v>
      </c>
      <c r="N19" s="1013">
        <f>transport!M54</f>
        <v>201.20379814495507</v>
      </c>
      <c r="O19" s="1013">
        <f>transport!N54</f>
        <v>0</v>
      </c>
      <c r="P19" s="1013">
        <f>transport!O54</f>
        <v>0</v>
      </c>
      <c r="Q19" s="1014">
        <f>transport!P54</f>
        <v>0</v>
      </c>
      <c r="R19" s="700">
        <f>SUM(C19:Q19)</f>
        <v>3743.799523574261</v>
      </c>
      <c r="S19" s="67"/>
    </row>
    <row r="20" spans="1:19" s="473" customFormat="1">
      <c r="A20" s="809" t="s">
        <v>307</v>
      </c>
      <c r="B20" s="814"/>
      <c r="C20" s="1013">
        <f>transport!B14</f>
        <v>79.210500637147462</v>
      </c>
      <c r="D20" s="1013">
        <f>transport!C14</f>
        <v>0</v>
      </c>
      <c r="E20" s="1013">
        <f>transport!D14</f>
        <v>287.16605548291301</v>
      </c>
      <c r="F20" s="1013">
        <f>transport!E14</f>
        <v>393.11965040695907</v>
      </c>
      <c r="G20" s="1013">
        <f>transport!F14</f>
        <v>0</v>
      </c>
      <c r="H20" s="1013">
        <f>transport!G14</f>
        <v>132401.49954317336</v>
      </c>
      <c r="I20" s="1013">
        <f>transport!H14</f>
        <v>32488.767150559819</v>
      </c>
      <c r="J20" s="1013">
        <f>transport!I14</f>
        <v>0</v>
      </c>
      <c r="K20" s="1013">
        <f>transport!J14</f>
        <v>0</v>
      </c>
      <c r="L20" s="1013">
        <f>transport!K14</f>
        <v>0</v>
      </c>
      <c r="M20" s="1013">
        <f>transport!L14</f>
        <v>0</v>
      </c>
      <c r="N20" s="1013">
        <f>transport!M14</f>
        <v>8694.0038724179904</v>
      </c>
      <c r="O20" s="1013">
        <f>transport!N14</f>
        <v>0</v>
      </c>
      <c r="P20" s="1013">
        <f>transport!O14</f>
        <v>0</v>
      </c>
      <c r="Q20" s="1014">
        <f>transport!P14</f>
        <v>0</v>
      </c>
      <c r="R20" s="700">
        <f>SUM(C20:Q20)</f>
        <v>174343.76677267818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79.210500637147462</v>
      </c>
      <c r="D22" s="812">
        <f t="shared" ref="D22:R22" si="1">SUM(D18:D21)</f>
        <v>0</v>
      </c>
      <c r="E22" s="812">
        <f t="shared" si="1"/>
        <v>287.16605548291301</v>
      </c>
      <c r="F22" s="812">
        <f t="shared" si="1"/>
        <v>393.11965040695907</v>
      </c>
      <c r="G22" s="812">
        <f t="shared" si="1"/>
        <v>0</v>
      </c>
      <c r="H22" s="812">
        <f t="shared" si="1"/>
        <v>135944.09526860266</v>
      </c>
      <c r="I22" s="812">
        <f t="shared" si="1"/>
        <v>32488.767150559819</v>
      </c>
      <c r="J22" s="812">
        <f t="shared" si="1"/>
        <v>0</v>
      </c>
      <c r="K22" s="812">
        <f t="shared" si="1"/>
        <v>0</v>
      </c>
      <c r="L22" s="812">
        <f t="shared" si="1"/>
        <v>0</v>
      </c>
      <c r="M22" s="812">
        <f t="shared" si="1"/>
        <v>0</v>
      </c>
      <c r="N22" s="812">
        <f t="shared" si="1"/>
        <v>8895.2076705629461</v>
      </c>
      <c r="O22" s="812">
        <f t="shared" si="1"/>
        <v>0</v>
      </c>
      <c r="P22" s="812">
        <f t="shared" si="1"/>
        <v>0</v>
      </c>
      <c r="Q22" s="812">
        <f t="shared" si="1"/>
        <v>0</v>
      </c>
      <c r="R22" s="812">
        <f t="shared" si="1"/>
        <v>178087.56629625245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236.10153822589541</v>
      </c>
      <c r="D24" s="1013">
        <f>+landbouw!C8</f>
        <v>0</v>
      </c>
      <c r="E24" s="1013">
        <f>+landbouw!D8</f>
        <v>351.97265774759239</v>
      </c>
      <c r="F24" s="1013">
        <f>+landbouw!E8</f>
        <v>6.9397453457915583</v>
      </c>
      <c r="G24" s="1013">
        <f>+landbouw!F8</f>
        <v>983.58624999160554</v>
      </c>
      <c r="H24" s="1013">
        <f>+landbouw!G8</f>
        <v>0</v>
      </c>
      <c r="I24" s="1013">
        <f>+landbouw!H8</f>
        <v>0</v>
      </c>
      <c r="J24" s="1013">
        <f>+landbouw!I8</f>
        <v>0</v>
      </c>
      <c r="K24" s="1013">
        <f>+landbouw!J8</f>
        <v>34.20604255035925</v>
      </c>
      <c r="L24" s="1013">
        <f>+landbouw!K8</f>
        <v>0</v>
      </c>
      <c r="M24" s="1013">
        <f>+landbouw!L8</f>
        <v>0</v>
      </c>
      <c r="N24" s="1013">
        <f>+landbouw!M8</f>
        <v>0</v>
      </c>
      <c r="O24" s="1013">
        <f>+landbouw!N8</f>
        <v>0</v>
      </c>
      <c r="P24" s="1013">
        <f>+landbouw!O8</f>
        <v>0</v>
      </c>
      <c r="Q24" s="1014">
        <f>+landbouw!P8</f>
        <v>0</v>
      </c>
      <c r="R24" s="700">
        <f>SUM(C24:Q24)</f>
        <v>1612.806233861244</v>
      </c>
      <c r="S24" s="67"/>
    </row>
    <row r="25" spans="1:19" s="473" customFormat="1" ht="15" thickBot="1">
      <c r="A25" s="831" t="s">
        <v>836</v>
      </c>
      <c r="B25" s="1016"/>
      <c r="C25" s="1017">
        <f>IF(Onbekend_ele_kWh="---",0,Onbekend_ele_kWh)/1000+IF(REST_rest_ele_kWh="---",0,REST_rest_ele_kWh)/1000</f>
        <v>3277.9636650770699</v>
      </c>
      <c r="D25" s="1017"/>
      <c r="E25" s="1017">
        <f>IF(onbekend_gas_kWh="---",0,onbekend_gas_kWh)/1000+IF(REST_rest_gas_kWh="---",0,REST_rest_gas_kWh)/1000</f>
        <v>9162.5236000372515</v>
      </c>
      <c r="F25" s="1017"/>
      <c r="G25" s="1017"/>
      <c r="H25" s="1017"/>
      <c r="I25" s="1017"/>
      <c r="J25" s="1017"/>
      <c r="K25" s="1017"/>
      <c r="L25" s="1017"/>
      <c r="M25" s="1017"/>
      <c r="N25" s="1017"/>
      <c r="O25" s="1017"/>
      <c r="P25" s="1017"/>
      <c r="Q25" s="1018"/>
      <c r="R25" s="700">
        <f>SUM(C25:Q25)</f>
        <v>12440.487265114321</v>
      </c>
      <c r="S25" s="67"/>
    </row>
    <row r="26" spans="1:19" s="473" customFormat="1" ht="15.75" thickBot="1">
      <c r="A26" s="705" t="s">
        <v>837</v>
      </c>
      <c r="B26" s="817"/>
      <c r="C26" s="812">
        <f>SUM(C24:C25)</f>
        <v>3514.0652033029655</v>
      </c>
      <c r="D26" s="812">
        <f t="shared" ref="D26:R26" si="2">SUM(D24:D25)</f>
        <v>0</v>
      </c>
      <c r="E26" s="812">
        <f t="shared" si="2"/>
        <v>9514.4962577848437</v>
      </c>
      <c r="F26" s="812">
        <f t="shared" si="2"/>
        <v>6.9397453457915583</v>
      </c>
      <c r="G26" s="812">
        <f t="shared" si="2"/>
        <v>983.58624999160554</v>
      </c>
      <c r="H26" s="812">
        <f t="shared" si="2"/>
        <v>0</v>
      </c>
      <c r="I26" s="812">
        <f t="shared" si="2"/>
        <v>0</v>
      </c>
      <c r="J26" s="812">
        <f t="shared" si="2"/>
        <v>0</v>
      </c>
      <c r="K26" s="812">
        <f t="shared" si="2"/>
        <v>34.20604255035925</v>
      </c>
      <c r="L26" s="812">
        <f t="shared" si="2"/>
        <v>0</v>
      </c>
      <c r="M26" s="812">
        <f t="shared" si="2"/>
        <v>0</v>
      </c>
      <c r="N26" s="812">
        <f t="shared" si="2"/>
        <v>0</v>
      </c>
      <c r="O26" s="812">
        <f t="shared" si="2"/>
        <v>0</v>
      </c>
      <c r="P26" s="812">
        <f t="shared" si="2"/>
        <v>0</v>
      </c>
      <c r="Q26" s="812">
        <f t="shared" si="2"/>
        <v>0</v>
      </c>
      <c r="R26" s="812">
        <f t="shared" si="2"/>
        <v>14053.293498975565</v>
      </c>
      <c r="S26" s="67"/>
    </row>
    <row r="27" spans="1:19" s="473" customFormat="1" ht="17.25" thickTop="1" thickBot="1">
      <c r="A27" s="706" t="s">
        <v>116</v>
      </c>
      <c r="B27" s="805"/>
      <c r="C27" s="707">
        <f ca="1">C22+C16+C26</f>
        <v>130145.87071098936</v>
      </c>
      <c r="D27" s="707">
        <f t="shared" ref="D27:R27" ca="1" si="3">D22+D16+D26</f>
        <v>1245.214285714286</v>
      </c>
      <c r="E27" s="707">
        <f t="shared" ca="1" si="3"/>
        <v>354625.51151516242</v>
      </c>
      <c r="F27" s="707">
        <f t="shared" si="3"/>
        <v>3061.226177561804</v>
      </c>
      <c r="G27" s="707">
        <f t="shared" ca="1" si="3"/>
        <v>11499.277459381892</v>
      </c>
      <c r="H27" s="707">
        <f t="shared" si="3"/>
        <v>135944.09526860266</v>
      </c>
      <c r="I27" s="707">
        <f t="shared" si="3"/>
        <v>32488.767150559819</v>
      </c>
      <c r="J27" s="707">
        <f t="shared" si="3"/>
        <v>0</v>
      </c>
      <c r="K27" s="707">
        <f t="shared" si="3"/>
        <v>35.327829864834541</v>
      </c>
      <c r="L27" s="707">
        <f t="shared" si="3"/>
        <v>0</v>
      </c>
      <c r="M27" s="707">
        <f t="shared" ca="1" si="3"/>
        <v>0</v>
      </c>
      <c r="N27" s="707">
        <f t="shared" si="3"/>
        <v>8895.2076705629461</v>
      </c>
      <c r="O27" s="707">
        <f t="shared" ca="1" si="3"/>
        <v>24606.044928108786</v>
      </c>
      <c r="P27" s="707">
        <f t="shared" si="3"/>
        <v>282.96333333333337</v>
      </c>
      <c r="Q27" s="707">
        <f t="shared" si="3"/>
        <v>1277.4666666666667</v>
      </c>
      <c r="R27" s="707">
        <f t="shared" ca="1" si="3"/>
        <v>704106.97299650882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11292.181709554166</v>
      </c>
      <c r="D40" s="1013">
        <f ca="1">tertiair!C20</f>
        <v>213.88235294117658</v>
      </c>
      <c r="E40" s="1013">
        <f ca="1">tertiair!D20</f>
        <v>18072.232803093</v>
      </c>
      <c r="F40" s="1013">
        <f>tertiair!E20</f>
        <v>127.37635671369657</v>
      </c>
      <c r="G40" s="1013">
        <f ca="1">tertiair!F20</f>
        <v>2331.0196180727485</v>
      </c>
      <c r="H40" s="1013">
        <f>tertiair!G20</f>
        <v>0</v>
      </c>
      <c r="I40" s="1013">
        <f>tertiair!H20</f>
        <v>0</v>
      </c>
      <c r="J40" s="1013">
        <f>tertiair!I20</f>
        <v>0</v>
      </c>
      <c r="K40" s="1013">
        <f>tertiair!J20</f>
        <v>4.7320971655369519E-2</v>
      </c>
      <c r="L40" s="1013">
        <f>tertiair!K20</f>
        <v>0</v>
      </c>
      <c r="M40" s="1013">
        <f ca="1">tertiair!L20</f>
        <v>0</v>
      </c>
      <c r="N40" s="1013">
        <f>tertiair!M20</f>
        <v>0</v>
      </c>
      <c r="O40" s="1013">
        <f ca="1">tertiair!N20</f>
        <v>0</v>
      </c>
      <c r="P40" s="1013">
        <f>tertiair!O20</f>
        <v>0</v>
      </c>
      <c r="Q40" s="774">
        <f>tertiair!P20</f>
        <v>0</v>
      </c>
      <c r="R40" s="850">
        <f t="shared" ca="1" si="4"/>
        <v>32036.740161346443</v>
      </c>
    </row>
    <row r="41" spans="1:18">
      <c r="A41" s="822" t="s">
        <v>225</v>
      </c>
      <c r="B41" s="829"/>
      <c r="C41" s="1013">
        <f ca="1">huishoudens!B12</f>
        <v>14861.573824898522</v>
      </c>
      <c r="D41" s="1013">
        <f ca="1">huishoudens!C12</f>
        <v>0</v>
      </c>
      <c r="E41" s="1013">
        <f>huishoudens!D12</f>
        <v>50608.113346954451</v>
      </c>
      <c r="F41" s="1013">
        <f>huishoudens!E12</f>
        <v>335.54186592426009</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65805.22903777723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809.64127535790942</v>
      </c>
      <c r="D43" s="1013">
        <f ca="1">industrie!C22</f>
        <v>82.039159663865576</v>
      </c>
      <c r="E43" s="1013">
        <f>industrie!D22</f>
        <v>974.07138873527242</v>
      </c>
      <c r="F43" s="1013">
        <f>industrie!E22</f>
        <v>141.16663683269852</v>
      </c>
      <c r="G43" s="1013">
        <f>industrie!F22</f>
        <v>476.6699348344585</v>
      </c>
      <c r="H43" s="1013">
        <f>industrie!G22</f>
        <v>0</v>
      </c>
      <c r="I43" s="1013">
        <f>industrie!H22</f>
        <v>0</v>
      </c>
      <c r="J43" s="1013">
        <f>industrie!I22</f>
        <v>0</v>
      </c>
      <c r="K43" s="1013">
        <f>industrie!J22</f>
        <v>0.349791737668884</v>
      </c>
      <c r="L43" s="1013">
        <f>industrie!K22</f>
        <v>0</v>
      </c>
      <c r="M43" s="1013">
        <f>industrie!L22</f>
        <v>0</v>
      </c>
      <c r="N43" s="1013">
        <f>industrie!M22</f>
        <v>0</v>
      </c>
      <c r="O43" s="1013">
        <f>industrie!N22</f>
        <v>0</v>
      </c>
      <c r="P43" s="1013">
        <f>industrie!O22</f>
        <v>0</v>
      </c>
      <c r="Q43" s="774">
        <f>industrie!P22</f>
        <v>0</v>
      </c>
      <c r="R43" s="849">
        <f t="shared" ca="1" si="4"/>
        <v>2483.9381871618734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26963.396809810598</v>
      </c>
      <c r="D46" s="732">
        <f t="shared" ref="D46:Q46" ca="1" si="5">SUM(D39:D45)</f>
        <v>295.92151260504215</v>
      </c>
      <c r="E46" s="732">
        <f t="shared" ca="1" si="5"/>
        <v>69654.417538782727</v>
      </c>
      <c r="F46" s="732">
        <f t="shared" si="5"/>
        <v>604.08485947065515</v>
      </c>
      <c r="G46" s="732">
        <f t="shared" ca="1" si="5"/>
        <v>2807.6895529072071</v>
      </c>
      <c r="H46" s="732">
        <f t="shared" si="5"/>
        <v>0</v>
      </c>
      <c r="I46" s="732">
        <f t="shared" si="5"/>
        <v>0</v>
      </c>
      <c r="J46" s="732">
        <f t="shared" si="5"/>
        <v>0</v>
      </c>
      <c r="K46" s="732">
        <f t="shared" si="5"/>
        <v>0.39711270932425352</v>
      </c>
      <c r="L46" s="732">
        <f t="shared" si="5"/>
        <v>0</v>
      </c>
      <c r="M46" s="732">
        <f t="shared" ca="1" si="5"/>
        <v>0</v>
      </c>
      <c r="N46" s="732">
        <f t="shared" si="5"/>
        <v>0</v>
      </c>
      <c r="O46" s="732">
        <f t="shared" ca="1" si="5"/>
        <v>0</v>
      </c>
      <c r="P46" s="732">
        <f t="shared" si="5"/>
        <v>0</v>
      </c>
      <c r="Q46" s="732">
        <f t="shared" si="5"/>
        <v>0</v>
      </c>
      <c r="R46" s="732">
        <f ca="1">SUM(R39:R45)</f>
        <v>100325.90738628554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945.87305868962471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945.87305868962471</v>
      </c>
    </row>
    <row r="50" spans="1:18">
      <c r="A50" s="825" t="s">
        <v>307</v>
      </c>
      <c r="B50" s="835"/>
      <c r="C50" s="703">
        <f ca="1">transport!B18</f>
        <v>16.876652431063896</v>
      </c>
      <c r="D50" s="703">
        <f>transport!C18</f>
        <v>0</v>
      </c>
      <c r="E50" s="703">
        <f>transport!D18</f>
        <v>58.00754320754843</v>
      </c>
      <c r="F50" s="703">
        <f>transport!E18</f>
        <v>89.238160642379711</v>
      </c>
      <c r="G50" s="703">
        <f>transport!F18</f>
        <v>0</v>
      </c>
      <c r="H50" s="703">
        <f>transport!G18</f>
        <v>35351.200378027286</v>
      </c>
      <c r="I50" s="703">
        <f>transport!H18</f>
        <v>8089.7030204893954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43605.025754797673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16.876652431063896</v>
      </c>
      <c r="D52" s="732">
        <f t="shared" ref="D52:Q52" ca="1" si="6">SUM(D48:D51)</f>
        <v>0</v>
      </c>
      <c r="E52" s="732">
        <f t="shared" si="6"/>
        <v>58.00754320754843</v>
      </c>
      <c r="F52" s="732">
        <f t="shared" si="6"/>
        <v>89.238160642379711</v>
      </c>
      <c r="G52" s="732">
        <f t="shared" si="6"/>
        <v>0</v>
      </c>
      <c r="H52" s="732">
        <f t="shared" si="6"/>
        <v>36297.073436716913</v>
      </c>
      <c r="I52" s="732">
        <f t="shared" si="6"/>
        <v>8089.7030204893954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44550.8988134873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50.303982010300764</v>
      </c>
      <c r="D54" s="703">
        <f ca="1">+landbouw!C12</f>
        <v>0</v>
      </c>
      <c r="E54" s="703">
        <f>+landbouw!D12</f>
        <v>71.098476865013666</v>
      </c>
      <c r="F54" s="703">
        <f>+landbouw!E12</f>
        <v>1.5753221934946837</v>
      </c>
      <c r="G54" s="703">
        <f>+landbouw!F12</f>
        <v>262.61752874775868</v>
      </c>
      <c r="H54" s="703">
        <f>+landbouw!G12</f>
        <v>0</v>
      </c>
      <c r="I54" s="703">
        <f>+landbouw!H12</f>
        <v>0</v>
      </c>
      <c r="J54" s="703">
        <f>+landbouw!I12</f>
        <v>0</v>
      </c>
      <c r="K54" s="703">
        <f>+landbouw!J12</f>
        <v>12.108939062827174</v>
      </c>
      <c r="L54" s="703">
        <f>+landbouw!K12</f>
        <v>0</v>
      </c>
      <c r="M54" s="703">
        <f>+landbouw!L12</f>
        <v>0</v>
      </c>
      <c r="N54" s="703">
        <f>+landbouw!M12</f>
        <v>0</v>
      </c>
      <c r="O54" s="703">
        <f>+landbouw!N12</f>
        <v>0</v>
      </c>
      <c r="P54" s="703">
        <f>+landbouw!O12</f>
        <v>0</v>
      </c>
      <c r="Q54" s="704">
        <f>+landbouw!P12</f>
        <v>0</v>
      </c>
      <c r="R54" s="731">
        <f ca="1">SUM(C54:Q54)</f>
        <v>397.70424887939498</v>
      </c>
    </row>
    <row r="55" spans="1:18" ht="15" thickBot="1">
      <c r="A55" s="825" t="s">
        <v>836</v>
      </c>
      <c r="B55" s="835"/>
      <c r="C55" s="703">
        <f ca="1">C25*'EF ele_warmte'!B12</f>
        <v>698.40555244790437</v>
      </c>
      <c r="D55" s="703"/>
      <c r="E55" s="703">
        <f>E25*EF_CO2_aardgas</f>
        <v>1850.829767207525</v>
      </c>
      <c r="F55" s="703"/>
      <c r="G55" s="703"/>
      <c r="H55" s="703"/>
      <c r="I55" s="703"/>
      <c r="J55" s="703"/>
      <c r="K55" s="703"/>
      <c r="L55" s="703"/>
      <c r="M55" s="703"/>
      <c r="N55" s="703"/>
      <c r="O55" s="703"/>
      <c r="P55" s="703"/>
      <c r="Q55" s="704"/>
      <c r="R55" s="731">
        <f ca="1">SUM(C55:Q55)</f>
        <v>2549.2353196554295</v>
      </c>
    </row>
    <row r="56" spans="1:18" ht="15.75" thickBot="1">
      <c r="A56" s="823" t="s">
        <v>837</v>
      </c>
      <c r="B56" s="836"/>
      <c r="C56" s="732">
        <f ca="1">SUM(C54:C55)</f>
        <v>748.7095344582051</v>
      </c>
      <c r="D56" s="732">
        <f t="shared" ref="D56:Q56" ca="1" si="7">SUM(D54:D55)</f>
        <v>0</v>
      </c>
      <c r="E56" s="732">
        <f t="shared" si="7"/>
        <v>1921.9282440725387</v>
      </c>
      <c r="F56" s="732">
        <f t="shared" si="7"/>
        <v>1.5753221934946837</v>
      </c>
      <c r="G56" s="732">
        <f t="shared" si="7"/>
        <v>262.61752874775868</v>
      </c>
      <c r="H56" s="732">
        <f t="shared" si="7"/>
        <v>0</v>
      </c>
      <c r="I56" s="732">
        <f t="shared" si="7"/>
        <v>0</v>
      </c>
      <c r="J56" s="732">
        <f t="shared" si="7"/>
        <v>0</v>
      </c>
      <c r="K56" s="732">
        <f t="shared" si="7"/>
        <v>12.108939062827174</v>
      </c>
      <c r="L56" s="732">
        <f t="shared" si="7"/>
        <v>0</v>
      </c>
      <c r="M56" s="732">
        <f t="shared" si="7"/>
        <v>0</v>
      </c>
      <c r="N56" s="732">
        <f t="shared" si="7"/>
        <v>0</v>
      </c>
      <c r="O56" s="732">
        <f t="shared" si="7"/>
        <v>0</v>
      </c>
      <c r="P56" s="732">
        <f t="shared" si="7"/>
        <v>0</v>
      </c>
      <c r="Q56" s="733">
        <f t="shared" si="7"/>
        <v>0</v>
      </c>
      <c r="R56" s="734">
        <f ca="1">SUM(R54:R55)</f>
        <v>2946.9395685348245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27728.982996699866</v>
      </c>
      <c r="D61" s="740">
        <f t="shared" ref="D61:Q61" ca="1" si="8">D46+D52+D56</f>
        <v>295.92151260504215</v>
      </c>
      <c r="E61" s="740">
        <f t="shared" ca="1" si="8"/>
        <v>71634.353326062817</v>
      </c>
      <c r="F61" s="740">
        <f t="shared" si="8"/>
        <v>694.89834230652957</v>
      </c>
      <c r="G61" s="740">
        <f t="shared" ca="1" si="8"/>
        <v>3070.3070816549657</v>
      </c>
      <c r="H61" s="740">
        <f t="shared" si="8"/>
        <v>36297.073436716913</v>
      </c>
      <c r="I61" s="740">
        <f t="shared" si="8"/>
        <v>8089.7030204893954</v>
      </c>
      <c r="J61" s="740">
        <f t="shared" si="8"/>
        <v>0</v>
      </c>
      <c r="K61" s="740">
        <f t="shared" si="8"/>
        <v>12.506051772151428</v>
      </c>
      <c r="L61" s="740">
        <f t="shared" si="8"/>
        <v>0</v>
      </c>
      <c r="M61" s="740">
        <f t="shared" ca="1" si="8"/>
        <v>0</v>
      </c>
      <c r="N61" s="740">
        <f t="shared" si="8"/>
        <v>0</v>
      </c>
      <c r="O61" s="740">
        <f t="shared" ca="1" si="8"/>
        <v>0</v>
      </c>
      <c r="P61" s="740">
        <f t="shared" si="8"/>
        <v>0</v>
      </c>
      <c r="Q61" s="740">
        <f t="shared" si="8"/>
        <v>0</v>
      </c>
      <c r="R61" s="740">
        <f ca="1">R46+R52+R56</f>
        <v>147823.74576830765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0.21306079743610692</v>
      </c>
      <c r="D63" s="781">
        <f t="shared" ca="1" si="9"/>
        <v>0.23764705882352946</v>
      </c>
      <c r="E63" s="1024">
        <f t="shared" ca="1" si="9"/>
        <v>0.20200000000000001</v>
      </c>
      <c r="F63" s="781">
        <f t="shared" si="9"/>
        <v>0.22700000000000004</v>
      </c>
      <c r="G63" s="781">
        <f t="shared" ca="1" si="9"/>
        <v>0.26700000000000007</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4741.0173721824003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871.65000000000009</v>
      </c>
      <c r="D76" s="1034">
        <f>'lokale energieproductie'!C8</f>
        <v>1025.4705882352944</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207.14505882352947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4741.0173721824003</v>
      </c>
      <c r="C78" s="755">
        <f>SUM(C72:C77)</f>
        <v>871.65000000000009</v>
      </c>
      <c r="D78" s="756">
        <f t="shared" ref="D78:H78" si="10">SUM(D76:D77)</f>
        <v>1025.4705882352944</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207.14505882352947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1245.214285714286</v>
      </c>
      <c r="D87" s="777">
        <f>'lokale energieproductie'!C17</f>
        <v>1464.9579831932779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295.92151260504215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1245.214285714286</v>
      </c>
      <c r="D90" s="755">
        <f t="shared" ref="D90:H90" si="12">SUM(D87:D89)</f>
        <v>1464.9579831932779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295.92151260504215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4741.0173721824003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871.65000000000009</v>
      </c>
      <c r="C8" s="570">
        <f>B101</f>
        <v>1025.4705882352944</v>
      </c>
      <c r="D8" s="1044"/>
      <c r="E8" s="1044">
        <f>E101</f>
        <v>0</v>
      </c>
      <c r="F8" s="1045"/>
      <c r="G8" s="571"/>
      <c r="H8" s="1044">
        <f>I101</f>
        <v>0</v>
      </c>
      <c r="I8" s="1044">
        <f>G101+F101</f>
        <v>0</v>
      </c>
      <c r="J8" s="1044">
        <f>H101+D101+C101</f>
        <v>0</v>
      </c>
      <c r="K8" s="1044"/>
      <c r="L8" s="1044"/>
      <c r="M8" s="1044"/>
      <c r="N8" s="572"/>
      <c r="O8" s="573">
        <f>C8*$C$12+D8*$D$12+E8*$E$12+F8*$F$12+G8*$G$12+H8*$H$12+I8*$I$12+J8*$J$12</f>
        <v>207.14505882352947</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5612.6673721824009</v>
      </c>
      <c r="C10" s="583">
        <f t="shared" ref="C10:L10" si="0">SUM(C8:C9)</f>
        <v>1025.4705882352944</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207.14505882352947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1245.214285714286</v>
      </c>
      <c r="C17" s="595">
        <f>B102</f>
        <v>1464.9579831932779</v>
      </c>
      <c r="D17" s="596"/>
      <c r="E17" s="596">
        <f>E102</f>
        <v>0</v>
      </c>
      <c r="F17" s="1050"/>
      <c r="G17" s="597"/>
      <c r="H17" s="595">
        <f>I102</f>
        <v>0</v>
      </c>
      <c r="I17" s="596">
        <f>G102+F102</f>
        <v>0</v>
      </c>
      <c r="J17" s="596">
        <f>H102+D102+C102</f>
        <v>0</v>
      </c>
      <c r="K17" s="596"/>
      <c r="L17" s="596"/>
      <c r="M17" s="596"/>
      <c r="N17" s="1051"/>
      <c r="O17" s="598">
        <f>C17*$C$22+E17*$E$22+H17*$H$22+I17*$I$22+J17*$J$22+D17*$D$22+F17*$F$22+G17*$G$22+K17*$K$22+L17*$L$22</f>
        <v>295.92151260504215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1245.214285714286</v>
      </c>
      <c r="C20" s="582">
        <f>SUM(C17:C19)</f>
        <v>1464.9579831932779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295.92151260504215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11008</v>
      </c>
      <c r="C28" s="796">
        <v>2930</v>
      </c>
      <c r="D28" s="653" t="s">
        <v>881</v>
      </c>
      <c r="E28" s="652" t="s">
        <v>882</v>
      </c>
      <c r="F28" s="652" t="s">
        <v>883</v>
      </c>
      <c r="G28" s="652" t="s">
        <v>884</v>
      </c>
      <c r="H28" s="652" t="s">
        <v>885</v>
      </c>
      <c r="I28" s="652" t="s">
        <v>882</v>
      </c>
      <c r="J28" s="795">
        <v>39084</v>
      </c>
      <c r="K28" s="795">
        <v>39630</v>
      </c>
      <c r="L28" s="652" t="s">
        <v>886</v>
      </c>
      <c r="M28" s="652">
        <v>53.7</v>
      </c>
      <c r="N28" s="652">
        <v>241.65000000000003</v>
      </c>
      <c r="O28" s="652">
        <v>345.21428571428578</v>
      </c>
      <c r="P28" s="652">
        <v>690.42857142857156</v>
      </c>
      <c r="Q28" s="652">
        <v>0</v>
      </c>
      <c r="R28" s="652">
        <v>0</v>
      </c>
      <c r="S28" s="652">
        <v>0</v>
      </c>
      <c r="T28" s="652">
        <v>0</v>
      </c>
      <c r="U28" s="652">
        <v>0</v>
      </c>
      <c r="V28" s="652">
        <v>0</v>
      </c>
      <c r="W28" s="652">
        <v>0</v>
      </c>
      <c r="X28" s="652">
        <v>16000</v>
      </c>
      <c r="Y28" s="652" t="s">
        <v>33</v>
      </c>
      <c r="Z28" s="654" t="s">
        <v>389</v>
      </c>
    </row>
    <row r="29" spans="1:26" s="606" customFormat="1" ht="51">
      <c r="A29" s="605"/>
      <c r="B29" s="796">
        <v>11008</v>
      </c>
      <c r="C29" s="796">
        <v>2930</v>
      </c>
      <c r="D29" s="653" t="s">
        <v>887</v>
      </c>
      <c r="E29" s="652" t="s">
        <v>888</v>
      </c>
      <c r="F29" s="652" t="s">
        <v>889</v>
      </c>
      <c r="G29" s="652" t="s">
        <v>884</v>
      </c>
      <c r="H29" s="652" t="s">
        <v>885</v>
      </c>
      <c r="I29" s="652" t="s">
        <v>888</v>
      </c>
      <c r="J29" s="795">
        <v>39599</v>
      </c>
      <c r="K29" s="795">
        <v>39661</v>
      </c>
      <c r="L29" s="652" t="s">
        <v>886</v>
      </c>
      <c r="M29" s="652">
        <v>140</v>
      </c>
      <c r="N29" s="652">
        <v>630.00000000000011</v>
      </c>
      <c r="O29" s="652">
        <v>900.00000000000023</v>
      </c>
      <c r="P29" s="652">
        <v>1800.0000000000005</v>
      </c>
      <c r="Q29" s="652">
        <v>0</v>
      </c>
      <c r="R29" s="652">
        <v>0</v>
      </c>
      <c r="S29" s="652">
        <v>0</v>
      </c>
      <c r="T29" s="652">
        <v>0</v>
      </c>
      <c r="U29" s="652">
        <v>0</v>
      </c>
      <c r="V29" s="652">
        <v>0</v>
      </c>
      <c r="W29" s="652">
        <v>0</v>
      </c>
      <c r="X29" s="652">
        <v>1500</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193.7</v>
      </c>
      <c r="N58" s="610">
        <f>SUM(N28:N57)</f>
        <v>871.65000000000009</v>
      </c>
      <c r="O58" s="610">
        <f t="shared" ref="O58:W58" si="2">SUM(O28:O57)</f>
        <v>1245.214285714286</v>
      </c>
      <c r="P58" s="610">
        <f t="shared" si="2"/>
        <v>2490.428571428572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53.7</v>
      </c>
      <c r="N59" s="610">
        <f t="shared" si="3"/>
        <v>241.65000000000003</v>
      </c>
      <c r="O59" s="610">
        <f t="shared" si="3"/>
        <v>345.21428571428578</v>
      </c>
      <c r="P59" s="610">
        <f t="shared" si="3"/>
        <v>690.42857142857156</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140</v>
      </c>
      <c r="N60" s="610">
        <f ca="1">SUMIF($Z$28:AD57,"tertiair",N28:N57)</f>
        <v>630.00000000000011</v>
      </c>
      <c r="O60" s="610">
        <f ca="1">SUMIF($Z$28:AE57,"tertiair",O28:O57)</f>
        <v>900.00000000000023</v>
      </c>
      <c r="P60" s="610">
        <f ca="1">SUMIF($Z$28:AF57,"tertiair",P28:P57)</f>
        <v>1800.0000000000005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0.58823529411764719</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1025.4705882352944</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1464.9579831932779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69752.737264372801</v>
      </c>
      <c r="C4" s="477">
        <f>huishoudens!C8</f>
        <v>0</v>
      </c>
      <c r="D4" s="477">
        <f>huishoudens!D8</f>
        <v>250535.21458888342</v>
      </c>
      <c r="E4" s="477">
        <f>huishoudens!E8</f>
        <v>1478.157999666344</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17699.261849361159</v>
      </c>
      <c r="O4" s="477">
        <f>huishoudens!O8</f>
        <v>281.40000000000003</v>
      </c>
      <c r="P4" s="478">
        <f>huishoudens!P8</f>
        <v>1239.3333333333333</v>
      </c>
      <c r="Q4" s="479">
        <f>SUM(B4:P4)</f>
        <v>340986.10503561707</v>
      </c>
    </row>
    <row r="5" spans="1:17">
      <c r="A5" s="476" t="s">
        <v>156</v>
      </c>
      <c r="B5" s="477">
        <f ca="1">tertiair!B16</f>
        <v>51073.749657337299</v>
      </c>
      <c r="C5" s="477">
        <f ca="1">tertiair!C16</f>
        <v>900.00000000000023</v>
      </c>
      <c r="D5" s="477">
        <f ca="1">tertiair!D16</f>
        <v>89466.499025212863</v>
      </c>
      <c r="E5" s="477">
        <f>tertiair!E16</f>
        <v>561.12932472994078</v>
      </c>
      <c r="F5" s="477">
        <f ca="1">tertiair!F16</f>
        <v>8730.410554579581</v>
      </c>
      <c r="G5" s="477">
        <f>tertiair!G16</f>
        <v>0</v>
      </c>
      <c r="H5" s="477">
        <f>tertiair!H16</f>
        <v>0</v>
      </c>
      <c r="I5" s="477">
        <f>tertiair!I16</f>
        <v>0</v>
      </c>
      <c r="J5" s="477">
        <f>tertiair!J16</f>
        <v>0.13367506117336023</v>
      </c>
      <c r="K5" s="477">
        <f>tertiair!K16</f>
        <v>0</v>
      </c>
      <c r="L5" s="477">
        <f ca="1">tertiair!L16</f>
        <v>0</v>
      </c>
      <c r="M5" s="477">
        <f>tertiair!M16</f>
        <v>0</v>
      </c>
      <c r="N5" s="477">
        <f ca="1">tertiair!N16</f>
        <v>5405.6517515846854</v>
      </c>
      <c r="O5" s="477">
        <f>tertiair!O16</f>
        <v>1.5633333333333335</v>
      </c>
      <c r="P5" s="478">
        <f>tertiair!P16</f>
        <v>38.133333333333333</v>
      </c>
      <c r="Q5" s="476">
        <f t="shared" ref="Q5:Q14" ca="1" si="0">SUM(B5:P5)</f>
        <v>156177.27065517218</v>
      </c>
    </row>
    <row r="6" spans="1:17">
      <c r="A6" s="476" t="s">
        <v>194</v>
      </c>
      <c r="B6" s="477">
        <f>'openbare verlichting'!B8</f>
        <v>1926.06</v>
      </c>
      <c r="C6" s="477"/>
      <c r="D6" s="477"/>
      <c r="E6" s="477"/>
      <c r="F6" s="477"/>
      <c r="G6" s="477"/>
      <c r="H6" s="477"/>
      <c r="I6" s="477"/>
      <c r="J6" s="477"/>
      <c r="K6" s="477"/>
      <c r="L6" s="477"/>
      <c r="M6" s="477"/>
      <c r="N6" s="477"/>
      <c r="O6" s="477"/>
      <c r="P6" s="478"/>
      <c r="Q6" s="476">
        <f t="shared" si="0"/>
        <v>1926.06</v>
      </c>
    </row>
    <row r="7" spans="1:17">
      <c r="A7" s="476" t="s">
        <v>112</v>
      </c>
      <c r="B7" s="477">
        <f>landbouw!B8</f>
        <v>236.10153822589541</v>
      </c>
      <c r="C7" s="477">
        <f>landbouw!C8</f>
        <v>0</v>
      </c>
      <c r="D7" s="477">
        <f>landbouw!D8</f>
        <v>351.97265774759239</v>
      </c>
      <c r="E7" s="477">
        <f>landbouw!E8</f>
        <v>6.9397453457915583</v>
      </c>
      <c r="F7" s="477">
        <f>landbouw!F8</f>
        <v>983.58624999160554</v>
      </c>
      <c r="G7" s="477">
        <f>landbouw!G8</f>
        <v>0</v>
      </c>
      <c r="H7" s="477">
        <f>landbouw!H8</f>
        <v>0</v>
      </c>
      <c r="I7" s="477">
        <f>landbouw!I8</f>
        <v>0</v>
      </c>
      <c r="J7" s="477">
        <f>landbouw!J8</f>
        <v>34.20604255035925</v>
      </c>
      <c r="K7" s="477">
        <f>landbouw!K8</f>
        <v>0</v>
      </c>
      <c r="L7" s="477">
        <f>landbouw!L8</f>
        <v>0</v>
      </c>
      <c r="M7" s="477">
        <f>landbouw!M8</f>
        <v>0</v>
      </c>
      <c r="N7" s="477">
        <f>landbouw!N8</f>
        <v>0</v>
      </c>
      <c r="O7" s="477">
        <f>landbouw!O8</f>
        <v>0</v>
      </c>
      <c r="P7" s="478">
        <f>landbouw!P8</f>
        <v>0</v>
      </c>
      <c r="Q7" s="476">
        <f t="shared" si="0"/>
        <v>1612.806233861244</v>
      </c>
    </row>
    <row r="8" spans="1:17">
      <c r="A8" s="476" t="s">
        <v>635</v>
      </c>
      <c r="B8" s="477">
        <f>industrie!B18</f>
        <v>3800.0480853391441</v>
      </c>
      <c r="C8" s="477">
        <f>industrie!C18</f>
        <v>345.21428571428578</v>
      </c>
      <c r="D8" s="477">
        <f>industrie!D18</f>
        <v>4822.1355877983779</v>
      </c>
      <c r="E8" s="477">
        <f>industrie!E18</f>
        <v>621.87945741276883</v>
      </c>
      <c r="F8" s="477">
        <f>industrie!F18</f>
        <v>1785.280654810706</v>
      </c>
      <c r="G8" s="477">
        <f>industrie!G18</f>
        <v>0</v>
      </c>
      <c r="H8" s="477">
        <f>industrie!H18</f>
        <v>0</v>
      </c>
      <c r="I8" s="477">
        <f>industrie!I18</f>
        <v>0</v>
      </c>
      <c r="J8" s="477">
        <f>industrie!J18</f>
        <v>0.9881122533019322</v>
      </c>
      <c r="K8" s="477">
        <f>industrie!K18</f>
        <v>0</v>
      </c>
      <c r="L8" s="477">
        <f>industrie!L18</f>
        <v>0</v>
      </c>
      <c r="M8" s="477">
        <f>industrie!M18</f>
        <v>0</v>
      </c>
      <c r="N8" s="477">
        <f>industrie!N18</f>
        <v>1501.1313271629394</v>
      </c>
      <c r="O8" s="477">
        <f>industrie!O18</f>
        <v>0</v>
      </c>
      <c r="P8" s="478">
        <f>industrie!P18</f>
        <v>0</v>
      </c>
      <c r="Q8" s="476">
        <f t="shared" si="0"/>
        <v>12876.677510491525</v>
      </c>
    </row>
    <row r="9" spans="1:17" s="482" customFormat="1">
      <c r="A9" s="480" t="s">
        <v>561</v>
      </c>
      <c r="B9" s="481">
        <f>transport!B14</f>
        <v>79.210500637147462</v>
      </c>
      <c r="C9" s="481">
        <f>transport!C14</f>
        <v>0</v>
      </c>
      <c r="D9" s="481">
        <f>transport!D14</f>
        <v>287.16605548291301</v>
      </c>
      <c r="E9" s="481">
        <f>transport!E14</f>
        <v>393.11965040695907</v>
      </c>
      <c r="F9" s="481">
        <f>transport!F14</f>
        <v>0</v>
      </c>
      <c r="G9" s="481">
        <f>transport!G14</f>
        <v>132401.49954317336</v>
      </c>
      <c r="H9" s="481">
        <f>transport!H14</f>
        <v>32488.767150559819</v>
      </c>
      <c r="I9" s="481">
        <f>transport!I14</f>
        <v>0</v>
      </c>
      <c r="J9" s="481">
        <f>transport!J14</f>
        <v>0</v>
      </c>
      <c r="K9" s="481">
        <f>transport!K14</f>
        <v>0</v>
      </c>
      <c r="L9" s="481">
        <f>transport!L14</f>
        <v>0</v>
      </c>
      <c r="M9" s="481">
        <f>transport!M14</f>
        <v>8694.0038724179904</v>
      </c>
      <c r="N9" s="481">
        <f>transport!N14</f>
        <v>0</v>
      </c>
      <c r="O9" s="481">
        <f>transport!O14</f>
        <v>0</v>
      </c>
      <c r="P9" s="481">
        <f>transport!P14</f>
        <v>0</v>
      </c>
      <c r="Q9" s="480">
        <f>SUM(B9:P9)</f>
        <v>174343.76677267818</v>
      </c>
    </row>
    <row r="10" spans="1:17">
      <c r="A10" s="476" t="s">
        <v>551</v>
      </c>
      <c r="B10" s="477">
        <f>transport!B54</f>
        <v>0</v>
      </c>
      <c r="C10" s="477">
        <f>transport!C54</f>
        <v>0</v>
      </c>
      <c r="D10" s="477">
        <f>transport!D54</f>
        <v>0</v>
      </c>
      <c r="E10" s="477">
        <f>transport!E54</f>
        <v>0</v>
      </c>
      <c r="F10" s="477">
        <f>transport!F54</f>
        <v>0</v>
      </c>
      <c r="G10" s="477">
        <f>transport!G54</f>
        <v>3542.5957254293057</v>
      </c>
      <c r="H10" s="477">
        <f>transport!H54</f>
        <v>0</v>
      </c>
      <c r="I10" s="477">
        <f>transport!I54</f>
        <v>0</v>
      </c>
      <c r="J10" s="477">
        <f>transport!J54</f>
        <v>0</v>
      </c>
      <c r="K10" s="477">
        <f>transport!K54</f>
        <v>0</v>
      </c>
      <c r="L10" s="477">
        <f>transport!L54</f>
        <v>0</v>
      </c>
      <c r="M10" s="477">
        <f>transport!M54</f>
        <v>201.20379814495507</v>
      </c>
      <c r="N10" s="477">
        <f>transport!N54</f>
        <v>0</v>
      </c>
      <c r="O10" s="477">
        <f>transport!O54</f>
        <v>0</v>
      </c>
      <c r="P10" s="478">
        <f>transport!P54</f>
        <v>0</v>
      </c>
      <c r="Q10" s="476">
        <f t="shared" si="0"/>
        <v>3743.799523574261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3277.9636650770699</v>
      </c>
      <c r="C14" s="484"/>
      <c r="D14" s="484">
        <f>'SEAP template'!E25</f>
        <v>9162.5236000372515</v>
      </c>
      <c r="E14" s="484"/>
      <c r="F14" s="484"/>
      <c r="G14" s="484"/>
      <c r="H14" s="484"/>
      <c r="I14" s="484"/>
      <c r="J14" s="484"/>
      <c r="K14" s="484"/>
      <c r="L14" s="484"/>
      <c r="M14" s="484"/>
      <c r="N14" s="484"/>
      <c r="O14" s="484"/>
      <c r="P14" s="485"/>
      <c r="Q14" s="476">
        <f t="shared" si="0"/>
        <v>12440.487265114321</v>
      </c>
    </row>
    <row r="15" spans="1:17" s="486" customFormat="1">
      <c r="A15" s="1039" t="s">
        <v>555</v>
      </c>
      <c r="B15" s="987">
        <f ca="1">SUM(B4:B14)</f>
        <v>130145.87071098936</v>
      </c>
      <c r="C15" s="987">
        <f t="shared" ref="C15:Q15" ca="1" si="1">SUM(C4:C14)</f>
        <v>1245.214285714286</v>
      </c>
      <c r="D15" s="987">
        <f t="shared" ca="1" si="1"/>
        <v>354625.51151516242</v>
      </c>
      <c r="E15" s="987">
        <f t="shared" si="1"/>
        <v>3061.2261775618044</v>
      </c>
      <c r="F15" s="987">
        <f t="shared" ca="1" si="1"/>
        <v>11499.277459381892</v>
      </c>
      <c r="G15" s="987">
        <f t="shared" si="1"/>
        <v>135944.09526860266</v>
      </c>
      <c r="H15" s="987">
        <f t="shared" si="1"/>
        <v>32488.767150559819</v>
      </c>
      <c r="I15" s="987">
        <f t="shared" si="1"/>
        <v>0</v>
      </c>
      <c r="J15" s="987">
        <f t="shared" si="1"/>
        <v>35.327829864834548</v>
      </c>
      <c r="K15" s="987">
        <f t="shared" si="1"/>
        <v>0</v>
      </c>
      <c r="L15" s="987">
        <f t="shared" ca="1" si="1"/>
        <v>0</v>
      </c>
      <c r="M15" s="987">
        <f t="shared" si="1"/>
        <v>8895.2076705629461</v>
      </c>
      <c r="N15" s="987">
        <f t="shared" ca="1" si="1"/>
        <v>24606.044928108786</v>
      </c>
      <c r="O15" s="987">
        <f t="shared" si="1"/>
        <v>282.96333333333337</v>
      </c>
      <c r="P15" s="987">
        <f t="shared" si="1"/>
        <v>1277.4666666666667</v>
      </c>
      <c r="Q15" s="987">
        <f t="shared" ca="1" si="1"/>
        <v>704106.97299650882</v>
      </c>
    </row>
    <row r="17" spans="1:17">
      <c r="A17" s="487" t="s">
        <v>556</v>
      </c>
      <c r="B17" s="786">
        <f ca="1">huishoudens!B10</f>
        <v>0.21306079743610695</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14861.573824898522</v>
      </c>
      <c r="C22" s="477">
        <f t="shared" ref="C22:C32" ca="1" si="3">C4*$C$17</f>
        <v>0</v>
      </c>
      <c r="D22" s="477">
        <f t="shared" ref="D22:D32" si="4">D4*$D$17</f>
        <v>50608.113346954451</v>
      </c>
      <c r="E22" s="477">
        <f t="shared" ref="E22:E32" si="5">E4*$E$17</f>
        <v>335.54186592426009</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65805.22903777723</v>
      </c>
    </row>
    <row r="23" spans="1:17">
      <c r="A23" s="476" t="s">
        <v>156</v>
      </c>
      <c r="B23" s="477">
        <f t="shared" ca="1" si="2"/>
        <v>10881.813830044379</v>
      </c>
      <c r="C23" s="477">
        <f t="shared" ca="1" si="3"/>
        <v>213.88235294117658</v>
      </c>
      <c r="D23" s="477">
        <f t="shared" ca="1" si="4"/>
        <v>18072.232803093</v>
      </c>
      <c r="E23" s="477">
        <f t="shared" si="5"/>
        <v>127.37635671369657</v>
      </c>
      <c r="F23" s="477">
        <f t="shared" ca="1" si="6"/>
        <v>2331.0196180727485</v>
      </c>
      <c r="G23" s="477">
        <f t="shared" si="7"/>
        <v>0</v>
      </c>
      <c r="H23" s="477">
        <f t="shared" si="8"/>
        <v>0</v>
      </c>
      <c r="I23" s="477">
        <f t="shared" si="9"/>
        <v>0</v>
      </c>
      <c r="J23" s="477">
        <f t="shared" si="10"/>
        <v>4.7320971655369519E-2</v>
      </c>
      <c r="K23" s="477">
        <f t="shared" si="11"/>
        <v>0</v>
      </c>
      <c r="L23" s="477">
        <f t="shared" ca="1" si="12"/>
        <v>0</v>
      </c>
      <c r="M23" s="477">
        <f t="shared" si="13"/>
        <v>0</v>
      </c>
      <c r="N23" s="477">
        <f t="shared" ca="1" si="14"/>
        <v>0</v>
      </c>
      <c r="O23" s="477">
        <f t="shared" si="15"/>
        <v>0</v>
      </c>
      <c r="P23" s="478">
        <f t="shared" si="16"/>
        <v>0</v>
      </c>
      <c r="Q23" s="476">
        <f t="shared" ref="Q23:Q32" ca="1" si="17">SUM(B23:P23)</f>
        <v>31626.372281836655</v>
      </c>
    </row>
    <row r="24" spans="1:17">
      <c r="A24" s="476" t="s">
        <v>194</v>
      </c>
      <c r="B24" s="477">
        <f t="shared" ca="1" si="2"/>
        <v>410.36787950978817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410.36787950978817</v>
      </c>
    </row>
    <row r="25" spans="1:17">
      <c r="A25" s="476" t="s">
        <v>112</v>
      </c>
      <c r="B25" s="477">
        <f t="shared" ca="1" si="2"/>
        <v>50.303982010300764</v>
      </c>
      <c r="C25" s="477">
        <f t="shared" ca="1" si="3"/>
        <v>0</v>
      </c>
      <c r="D25" s="477">
        <f t="shared" si="4"/>
        <v>71.098476865013666</v>
      </c>
      <c r="E25" s="477">
        <f t="shared" si="5"/>
        <v>1.5753221934946837</v>
      </c>
      <c r="F25" s="477">
        <f t="shared" si="6"/>
        <v>262.61752874775868</v>
      </c>
      <c r="G25" s="477">
        <f t="shared" si="7"/>
        <v>0</v>
      </c>
      <c r="H25" s="477">
        <f t="shared" si="8"/>
        <v>0</v>
      </c>
      <c r="I25" s="477">
        <f t="shared" si="9"/>
        <v>0</v>
      </c>
      <c r="J25" s="477">
        <f t="shared" si="10"/>
        <v>12.108939062827174</v>
      </c>
      <c r="K25" s="477">
        <f t="shared" si="11"/>
        <v>0</v>
      </c>
      <c r="L25" s="477">
        <f t="shared" si="12"/>
        <v>0</v>
      </c>
      <c r="M25" s="477">
        <f t="shared" si="13"/>
        <v>0</v>
      </c>
      <c r="N25" s="477">
        <f t="shared" si="14"/>
        <v>0</v>
      </c>
      <c r="O25" s="477">
        <f t="shared" si="15"/>
        <v>0</v>
      </c>
      <c r="P25" s="478">
        <f t="shared" si="16"/>
        <v>0</v>
      </c>
      <c r="Q25" s="476">
        <f t="shared" ca="1" si="17"/>
        <v>397.70424887939498</v>
      </c>
    </row>
    <row r="26" spans="1:17">
      <c r="A26" s="476" t="s">
        <v>635</v>
      </c>
      <c r="B26" s="477">
        <f t="shared" ca="1" si="2"/>
        <v>809.64127535790942</v>
      </c>
      <c r="C26" s="477">
        <f t="shared" ca="1" si="3"/>
        <v>82.039159663865576</v>
      </c>
      <c r="D26" s="477">
        <f t="shared" si="4"/>
        <v>974.07138873527242</v>
      </c>
      <c r="E26" s="477">
        <f t="shared" si="5"/>
        <v>141.16663683269852</v>
      </c>
      <c r="F26" s="477">
        <f t="shared" si="6"/>
        <v>476.6699348344585</v>
      </c>
      <c r="G26" s="477">
        <f t="shared" si="7"/>
        <v>0</v>
      </c>
      <c r="H26" s="477">
        <f t="shared" si="8"/>
        <v>0</v>
      </c>
      <c r="I26" s="477">
        <f t="shared" si="9"/>
        <v>0</v>
      </c>
      <c r="J26" s="477">
        <f t="shared" si="10"/>
        <v>0.349791737668884</v>
      </c>
      <c r="K26" s="477">
        <f t="shared" si="11"/>
        <v>0</v>
      </c>
      <c r="L26" s="477">
        <f t="shared" si="12"/>
        <v>0</v>
      </c>
      <c r="M26" s="477">
        <f t="shared" si="13"/>
        <v>0</v>
      </c>
      <c r="N26" s="477">
        <f t="shared" si="14"/>
        <v>0</v>
      </c>
      <c r="O26" s="477">
        <f t="shared" si="15"/>
        <v>0</v>
      </c>
      <c r="P26" s="478">
        <f t="shared" si="16"/>
        <v>0</v>
      </c>
      <c r="Q26" s="476">
        <f t="shared" ca="1" si="17"/>
        <v>2483.9381871618734</v>
      </c>
    </row>
    <row r="27" spans="1:17" s="482" customFormat="1">
      <c r="A27" s="480" t="s">
        <v>561</v>
      </c>
      <c r="B27" s="780">
        <f t="shared" ca="1" si="2"/>
        <v>16.876652431063896</v>
      </c>
      <c r="C27" s="481">
        <f t="shared" ca="1" si="3"/>
        <v>0</v>
      </c>
      <c r="D27" s="481">
        <f t="shared" si="4"/>
        <v>58.00754320754843</v>
      </c>
      <c r="E27" s="481">
        <f t="shared" si="5"/>
        <v>89.238160642379711</v>
      </c>
      <c r="F27" s="481">
        <f t="shared" si="6"/>
        <v>0</v>
      </c>
      <c r="G27" s="481">
        <f t="shared" si="7"/>
        <v>35351.200378027286</v>
      </c>
      <c r="H27" s="481">
        <f t="shared" si="8"/>
        <v>8089.7030204893954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43605.025754797673</v>
      </c>
    </row>
    <row r="28" spans="1:17">
      <c r="A28" s="476" t="s">
        <v>551</v>
      </c>
      <c r="B28" s="477">
        <f t="shared" ca="1" si="2"/>
        <v>0</v>
      </c>
      <c r="C28" s="477">
        <f t="shared" ca="1" si="3"/>
        <v>0</v>
      </c>
      <c r="D28" s="477">
        <f t="shared" si="4"/>
        <v>0</v>
      </c>
      <c r="E28" s="477">
        <f t="shared" si="5"/>
        <v>0</v>
      </c>
      <c r="F28" s="477">
        <f t="shared" si="6"/>
        <v>0</v>
      </c>
      <c r="G28" s="477">
        <f t="shared" si="7"/>
        <v>945.87305868962471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945.87305868962471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698.40555244790437</v>
      </c>
      <c r="C32" s="477">
        <f t="shared" ca="1" si="3"/>
        <v>0</v>
      </c>
      <c r="D32" s="477">
        <f t="shared" si="4"/>
        <v>1850.829767207525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2549.2353196554295</v>
      </c>
    </row>
    <row r="33" spans="1:17" s="486" customFormat="1">
      <c r="A33" s="1039" t="s">
        <v>555</v>
      </c>
      <c r="B33" s="987">
        <f ca="1">SUM(B22:B32)</f>
        <v>27728.982996699866</v>
      </c>
      <c r="C33" s="987">
        <f t="shared" ref="C33:Q33" ca="1" si="18">SUM(C22:C32)</f>
        <v>295.92151260504215</v>
      </c>
      <c r="D33" s="987">
        <f t="shared" ca="1" si="18"/>
        <v>71634.353326062817</v>
      </c>
      <c r="E33" s="987">
        <f t="shared" si="18"/>
        <v>694.89834230652957</v>
      </c>
      <c r="F33" s="987">
        <f t="shared" ca="1" si="18"/>
        <v>3070.3070816549657</v>
      </c>
      <c r="G33" s="987">
        <f t="shared" si="18"/>
        <v>36297.073436716913</v>
      </c>
      <c r="H33" s="987">
        <f t="shared" si="18"/>
        <v>8089.7030204893954</v>
      </c>
      <c r="I33" s="987">
        <f t="shared" si="18"/>
        <v>0</v>
      </c>
      <c r="J33" s="987">
        <f t="shared" si="18"/>
        <v>12.506051772151427</v>
      </c>
      <c r="K33" s="987">
        <f t="shared" si="18"/>
        <v>0</v>
      </c>
      <c r="L33" s="987">
        <f t="shared" ca="1" si="18"/>
        <v>0</v>
      </c>
      <c r="M33" s="987">
        <f t="shared" si="18"/>
        <v>0</v>
      </c>
      <c r="N33" s="987">
        <f t="shared" ca="1" si="18"/>
        <v>0</v>
      </c>
      <c r="O33" s="987">
        <f t="shared" si="18"/>
        <v>0</v>
      </c>
      <c r="P33" s="987">
        <f t="shared" si="18"/>
        <v>0</v>
      </c>
      <c r="Q33" s="987">
        <f t="shared" ca="1" si="18"/>
        <v>147823.74576830765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4741.0173721824003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871.65000000000009</v>
      </c>
      <c r="D8" s="1056">
        <f>'SEAP template'!D76</f>
        <v>1025.4705882352944</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207.14505882352947</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4741.0173721824003</v>
      </c>
      <c r="C10" s="1060">
        <f>SUM(C4:C9)</f>
        <v>871.65000000000009</v>
      </c>
      <c r="D10" s="1060">
        <f t="shared" ref="D10:H10" si="0">SUM(D8:D9)</f>
        <v>1025.4705882352944</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207.14505882352947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0.21306079743610695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1245.214285714286</v>
      </c>
      <c r="D17" s="1057">
        <f>'SEAP template'!D87</f>
        <v>1464.9579831932779</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295.92151260504215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1245.214285714286</v>
      </c>
      <c r="D20" s="1060">
        <f t="shared" ref="D20:H20" si="2">SUM(D17:D19)</f>
        <v>1464.9579831932779</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295.92151260504215</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0.21306079743610695</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2019-08-12T08:31:07Z</dcterms:modified>
</cp:coreProperties>
</file>