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G89" i="14" s="1"/>
  <c r="G19" i="61" s="1"/>
  <c r="E19" i="18"/>
  <c r="F89" i="14" s="1"/>
  <c r="F19" i="61" s="1"/>
  <c r="D19" i="18"/>
  <c r="D20" s="1"/>
  <c r="C19"/>
  <c r="B19"/>
  <c r="N18"/>
  <c r="L88" i="14" s="1"/>
  <c r="M18" i="18"/>
  <c r="L18"/>
  <c r="K18"/>
  <c r="N88" i="14" s="1"/>
  <c r="N18" i="61" s="1"/>
  <c r="N20" s="1"/>
  <c r="J18" i="18"/>
  <c r="I18"/>
  <c r="H18"/>
  <c r="M88" i="14" s="1"/>
  <c r="M18" i="61" s="1"/>
  <c r="G18" i="18"/>
  <c r="F18"/>
  <c r="G88" i="14" s="1"/>
  <c r="G18" i="61" s="1"/>
  <c r="E18" i="18"/>
  <c r="D18"/>
  <c r="C18"/>
  <c r="D88" i="14" s="1"/>
  <c r="D18" i="61" s="1"/>
  <c r="B18" i="18"/>
  <c r="L9"/>
  <c r="L10" s="1"/>
  <c r="K9"/>
  <c r="K10" s="1"/>
  <c r="G9"/>
  <c r="F9"/>
  <c r="F10" s="1"/>
  <c r="E9"/>
  <c r="D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N6" i="17" s="1"/>
  <c r="U61" i="18"/>
  <c r="T61"/>
  <c r="S61"/>
  <c r="R61"/>
  <c r="Q61"/>
  <c r="P61"/>
  <c r="D6" i="17" s="1"/>
  <c r="O61" i="18"/>
  <c r="C6" i="17" s="1"/>
  <c r="N61" i="18"/>
  <c r="M61"/>
  <c r="W60"/>
  <c r="V60"/>
  <c r="U60"/>
  <c r="T60"/>
  <c r="S60"/>
  <c r="F13" i="15" s="1"/>
  <c r="R60" i="18"/>
  <c r="Q60"/>
  <c r="P60"/>
  <c r="D13" i="15" s="1"/>
  <c r="O60" i="18"/>
  <c r="N60"/>
  <c r="M60"/>
  <c r="W59"/>
  <c r="V59"/>
  <c r="U59"/>
  <c r="T59"/>
  <c r="S59"/>
  <c r="R59"/>
  <c r="Q59"/>
  <c r="P59"/>
  <c r="O59"/>
  <c r="N59"/>
  <c r="M59"/>
  <c r="W58"/>
  <c r="V58"/>
  <c r="U58"/>
  <c r="T58"/>
  <c r="S58"/>
  <c r="R58"/>
  <c r="Q58"/>
  <c r="P58"/>
  <c r="O58"/>
  <c r="B98" s="1"/>
  <c r="N58"/>
  <c r="M58"/>
  <c r="G22"/>
  <c r="F22"/>
  <c r="E22"/>
  <c r="D22"/>
  <c r="C22"/>
  <c r="H88" i="14"/>
  <c r="H18" i="61" s="1"/>
  <c r="B17" i="18"/>
  <c r="B20" s="1"/>
  <c r="G12"/>
  <c r="F12"/>
  <c r="E12"/>
  <c r="D12"/>
  <c r="C12"/>
  <c r="G10"/>
  <c r="E77" i="14"/>
  <c r="E9" i="61" s="1"/>
  <c r="B8" i="18"/>
  <c r="B6"/>
  <c r="B5"/>
  <c r="B73" i="14" s="1"/>
  <c r="B5" i="61" s="1"/>
  <c r="B4" i="18"/>
  <c r="B72" i="14" s="1"/>
  <c r="B4" i="61" s="1"/>
  <c r="L6" i="17"/>
  <c r="B19" i="6"/>
  <c r="B18"/>
  <c r="B5"/>
  <c r="B6"/>
  <c r="C64" i="14" s="1"/>
  <c r="B14" i="48"/>
  <c r="P7"/>
  <c r="P25" s="1"/>
  <c r="O7"/>
  <c r="O25" s="1"/>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O32"/>
  <c r="O30"/>
  <c r="O28"/>
  <c r="M89" i="14"/>
  <c r="M19" i="61" s="1"/>
  <c r="L89" i="14"/>
  <c r="L19" i="61" s="1"/>
  <c r="K89" i="14"/>
  <c r="K19" i="61" s="1"/>
  <c r="J89" i="14"/>
  <c r="J19" i="61" s="1"/>
  <c r="H89" i="14"/>
  <c r="H19" i="61" s="1"/>
  <c r="E89" i="14"/>
  <c r="E19" i="61" s="1"/>
  <c r="D89" i="14"/>
  <c r="D19" i="61" s="1"/>
  <c r="K88" i="14"/>
  <c r="K18" i="61" s="1"/>
  <c r="J88" i="14"/>
  <c r="J18" i="61" s="1"/>
  <c r="I88" i="14"/>
  <c r="I18" i="61" s="1"/>
  <c r="F88" i="14"/>
  <c r="F18" i="61" s="1"/>
  <c r="E88" i="14"/>
  <c r="O87"/>
  <c r="O17" i="61" s="1"/>
  <c r="N87" i="14"/>
  <c r="N17" i="61" s="1"/>
  <c r="L87" i="14"/>
  <c r="L17" i="61" s="1"/>
  <c r="K87" i="14"/>
  <c r="K17" i="61" s="1"/>
  <c r="H87" i="14"/>
  <c r="H17" i="61" s="1"/>
  <c r="H20"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P24"/>
  <c r="P26" s="1"/>
  <c r="N24"/>
  <c r="N26" s="1"/>
  <c r="L24"/>
  <c r="L26" s="1"/>
  <c r="J24"/>
  <c r="I24"/>
  <c r="H24"/>
  <c r="Q50"/>
  <c r="P50"/>
  <c r="O50"/>
  <c r="M50"/>
  <c r="L50"/>
  <c r="K50"/>
  <c r="J50"/>
  <c r="G50"/>
  <c r="D50"/>
  <c r="Q49"/>
  <c r="P49"/>
  <c r="Q20"/>
  <c r="P20"/>
  <c r="O20"/>
  <c r="M20"/>
  <c r="L20"/>
  <c r="K20"/>
  <c r="J20"/>
  <c r="G20"/>
  <c r="D20"/>
  <c r="Q19"/>
  <c r="P19"/>
  <c r="P22" s="1"/>
  <c r="O19"/>
  <c r="O22" s="1"/>
  <c r="M19"/>
  <c r="L19"/>
  <c r="K19"/>
  <c r="K22" s="1"/>
  <c r="J19"/>
  <c r="I19"/>
  <c r="G19"/>
  <c r="G22" s="1"/>
  <c r="F19"/>
  <c r="E19"/>
  <c r="D19"/>
  <c r="Q48"/>
  <c r="P48"/>
  <c r="O48"/>
  <c r="M48"/>
  <c r="L48"/>
  <c r="K48"/>
  <c r="J48"/>
  <c r="G48"/>
  <c r="D48"/>
  <c r="Q18"/>
  <c r="P18"/>
  <c r="O18"/>
  <c r="M18"/>
  <c r="L18"/>
  <c r="L22" s="1"/>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P52"/>
  <c r="R44"/>
  <c r="Q26"/>
  <c r="J26"/>
  <c r="I26"/>
  <c r="E25"/>
  <c r="D14" i="48" s="1"/>
  <c r="C25" i="14"/>
  <c r="H26"/>
  <c r="Q22"/>
  <c r="M22"/>
  <c r="D5" i="17"/>
  <c r="Q14" i="48" l="1"/>
  <c r="L78" i="14"/>
  <c r="L8" i="61"/>
  <c r="L10" s="1"/>
  <c r="E90" i="14"/>
  <c r="E18" i="61"/>
  <c r="E20" s="1"/>
  <c r="G77" i="14"/>
  <c r="G9" i="61" s="1"/>
  <c r="I77" i="14"/>
  <c r="I9" i="61" s="1"/>
  <c r="G20"/>
  <c r="K20"/>
  <c r="Q11" i="48"/>
  <c r="N10" i="61"/>
  <c r="L20" i="18"/>
  <c r="C98"/>
  <c r="G101" s="1"/>
  <c r="I8" s="1"/>
  <c r="O77" i="14"/>
  <c r="O9" i="61" s="1"/>
  <c r="O10" s="1"/>
  <c r="C13" i="15"/>
  <c r="K78" i="14"/>
  <c r="K8" i="61"/>
  <c r="K10" s="1"/>
  <c r="N78" i="14"/>
  <c r="N9" i="61"/>
  <c r="L90" i="14"/>
  <c r="L18" i="61"/>
  <c r="L20" s="1"/>
  <c r="K90" i="14"/>
  <c r="Q52"/>
  <c r="F6" i="17"/>
  <c r="I9" i="18"/>
  <c r="P27" i="48"/>
  <c r="B10" i="18"/>
  <c r="M77" i="14"/>
  <c r="M9" i="61" s="1"/>
  <c r="H9" i="18"/>
  <c r="O9" s="1"/>
  <c r="G10" i="61"/>
  <c r="O31" i="48"/>
  <c r="P31"/>
  <c r="L13" i="15"/>
  <c r="B13"/>
  <c r="H90" i="14"/>
  <c r="N13" i="15"/>
  <c r="F77" i="14"/>
  <c r="F9" i="61" s="1"/>
  <c r="I101" i="18"/>
  <c r="H8" s="1"/>
  <c r="E101"/>
  <c r="E8" s="1"/>
  <c r="F101"/>
  <c r="H101"/>
  <c r="D101"/>
  <c r="C10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H78" l="1"/>
  <c r="H9" i="61"/>
  <c r="H10" s="1"/>
  <c r="O90" i="14"/>
  <c r="O18" i="61"/>
  <c r="O20" s="1"/>
  <c r="B101" i="18"/>
  <c r="C8" s="1"/>
  <c r="O78"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78" i="14"/>
  <c r="M8" i="61"/>
  <c r="M1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78" i="14"/>
  <c r="B8" i="61"/>
  <c r="B10" s="1"/>
  <c r="B90" i="14"/>
  <c r="B17" i="61"/>
  <c r="B20" s="1"/>
  <c r="C90" i="14"/>
  <c r="C17" i="61"/>
  <c r="C2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Q11" i="14"/>
  <c r="P4" i="48"/>
  <c r="O4"/>
  <c r="P11" i="14"/>
  <c r="I29" i="48"/>
  <c r="I25"/>
  <c r="I31"/>
  <c r="I27"/>
  <c r="I24"/>
  <c r="I28"/>
  <c r="I30"/>
  <c r="I22"/>
  <c r="I32"/>
  <c r="I26"/>
  <c r="D4"/>
  <c r="D22" s="1"/>
  <c r="E11" i="14"/>
  <c r="H29" i="48"/>
  <c r="H28"/>
  <c r="H32"/>
  <c r="H25"/>
  <c r="H22"/>
  <c r="H26"/>
  <c r="H24"/>
  <c r="H30"/>
  <c r="H23"/>
  <c r="C4"/>
  <c r="D11" i="14"/>
  <c r="G23" i="48"/>
  <c r="G30"/>
  <c r="G32"/>
  <c r="G22"/>
  <c r="G24"/>
  <c r="G25"/>
  <c r="G26"/>
  <c r="G29"/>
  <c r="K32"/>
  <c r="K24"/>
  <c r="K27"/>
  <c r="K31"/>
  <c r="K30"/>
  <c r="K26"/>
  <c r="K25"/>
  <c r="K29"/>
  <c r="K22"/>
  <c r="K28"/>
  <c r="J30"/>
  <c r="J32"/>
  <c r="J29"/>
  <c r="J24"/>
  <c r="J31"/>
  <c r="J27"/>
  <c r="J28"/>
  <c r="C11" i="14"/>
  <c r="B4" i="48"/>
  <c r="F32"/>
  <c r="F24"/>
  <c r="F31"/>
  <c r="F29"/>
  <c r="F30"/>
  <c r="F28"/>
  <c r="F27"/>
  <c r="N30"/>
  <c r="N27"/>
  <c r="N31"/>
  <c r="N32"/>
  <c r="N24"/>
  <c r="N29"/>
  <c r="N28"/>
  <c r="C19" i="14"/>
  <c r="B10" i="48"/>
  <c r="E29"/>
  <c r="E31"/>
  <c r="E32"/>
  <c r="E24"/>
  <c r="E30"/>
  <c r="E28"/>
  <c r="M29"/>
  <c r="M30"/>
  <c r="M25"/>
  <c r="M22"/>
  <c r="M26"/>
  <c r="M24"/>
  <c r="M32"/>
  <c r="M23"/>
  <c r="K5"/>
  <c r="L10" i="14"/>
  <c r="L16" s="1"/>
  <c r="L27" s="1"/>
  <c r="D30" i="48"/>
  <c r="D28"/>
  <c r="D24"/>
  <c r="D29"/>
  <c r="D31"/>
  <c r="D32"/>
  <c r="L29"/>
  <c r="L32"/>
  <c r="L27"/>
  <c r="L31"/>
  <c r="L22"/>
  <c r="L30"/>
  <c r="L28"/>
  <c r="L24"/>
  <c r="Q10" i="14"/>
  <c r="P5" i="48"/>
  <c r="P23" s="1"/>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7" i="48" l="1"/>
  <c r="J25" s="1"/>
  <c r="K24" i="14"/>
  <c r="K26" s="1"/>
  <c r="F4" i="48"/>
  <c r="F22" s="1"/>
  <c r="G11" i="14"/>
  <c r="I5" i="48"/>
  <c r="J10" i="14"/>
  <c r="J16" s="1"/>
  <c r="J27" s="1"/>
  <c r="K23" i="48"/>
  <c r="K33" s="1"/>
  <c r="K15"/>
  <c r="G13"/>
  <c r="G31" s="1"/>
  <c r="H18" i="14"/>
  <c r="Q16"/>
  <c r="Q27" s="1"/>
  <c r="B9" i="48"/>
  <c r="C20" i="14"/>
  <c r="C22" s="1"/>
  <c r="P22" i="48"/>
  <c r="P33" s="1"/>
  <c r="P15"/>
  <c r="E9"/>
  <c r="E27" s="1"/>
  <c r="F20" i="14"/>
  <c r="F22" s="1"/>
  <c r="Q13"/>
  <c r="P8" i="48"/>
  <c r="P26" s="1"/>
  <c r="O22"/>
  <c r="D9"/>
  <c r="D27" s="1"/>
  <c r="E20" i="14"/>
  <c r="E22" s="1"/>
  <c r="P10"/>
  <c r="O5" i="48"/>
  <c r="O23" s="1"/>
  <c r="J61" i="14"/>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E12" s="1"/>
  <c r="F54" i="14" s="1"/>
  <c r="F56" s="1"/>
  <c r="O18" i="16"/>
  <c r="B36" i="13"/>
  <c r="B48" s="1"/>
  <c r="C48" s="1"/>
  <c r="N5" s="1"/>
  <c r="N8" s="1"/>
  <c r="H12" i="22"/>
  <c r="B34" i="13"/>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G10" i="48" l="1"/>
  <c r="H19" i="14"/>
  <c r="K11"/>
  <c r="J4" i="48"/>
  <c r="N4"/>
  <c r="N22" s="1"/>
  <c r="O11" i="14"/>
  <c r="M10" i="48"/>
  <c r="M28" s="1"/>
  <c r="N19" i="14"/>
  <c r="N22" s="1"/>
  <c r="N27" s="1"/>
  <c r="F24"/>
  <c r="F26" s="1"/>
  <c r="E7" i="48"/>
  <c r="E25" s="1"/>
  <c r="E4"/>
  <c r="F11" i="14"/>
  <c r="O8" i="48"/>
  <c r="P13" i="14"/>
  <c r="P16" s="1"/>
  <c r="P27" s="1"/>
  <c r="I23" i="48"/>
  <c r="I33" s="1"/>
  <c r="I15"/>
  <c r="Q63" i="14"/>
  <c r="H14" i="22"/>
  <c r="J63" i="14"/>
  <c r="I20"/>
  <c r="I22" s="1"/>
  <c r="I27" s="1"/>
  <c r="H9" i="48"/>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O26" i="48"/>
  <c r="O33" s="1"/>
  <c r="O15"/>
  <c r="H20" i="14"/>
  <c r="G9" i="48"/>
  <c r="G28"/>
  <c r="Q10"/>
  <c r="J5"/>
  <c r="J23" s="1"/>
  <c r="K10" i="14"/>
  <c r="H22"/>
  <c r="H27" s="1"/>
  <c r="R19"/>
  <c r="F10"/>
  <c r="E5" i="48"/>
  <c r="E23" s="1"/>
  <c r="J22"/>
  <c r="E22"/>
  <c r="Q4"/>
  <c r="R11" i="14"/>
  <c r="M15" i="48"/>
  <c r="M27"/>
  <c r="M33" s="1"/>
  <c r="R22" i="14"/>
  <c r="Q9" i="48"/>
  <c r="H15"/>
  <c r="H27"/>
  <c r="H33" s="1"/>
  <c r="N63" i="14"/>
  <c r="R20"/>
  <c r="R24"/>
  <c r="R26" s="1"/>
  <c r="N18" i="16"/>
  <c r="E20" i="15"/>
  <c r="F40" i="14" s="1"/>
  <c r="F18" i="16"/>
  <c r="J18"/>
  <c r="E18"/>
  <c r="G18" i="22"/>
  <c r="H50" i="14" s="1"/>
  <c r="H18" i="22"/>
  <c r="I50" i="14" s="1"/>
  <c r="I52" s="1"/>
  <c r="I61" s="1"/>
  <c r="I63" s="1"/>
  <c r="J8" i="48" l="1"/>
  <c r="K13" i="14"/>
  <c r="E8" i="48"/>
  <c r="F13" i="14"/>
  <c r="G27" i="48"/>
  <c r="G33" s="1"/>
  <c r="G15"/>
  <c r="K16" i="14"/>
  <c r="K27" s="1"/>
  <c r="K63" s="1"/>
  <c r="F16"/>
  <c r="F27" s="1"/>
  <c r="N8" i="4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<sst xmlns="http://schemas.openxmlformats.org/spreadsheetml/2006/main" count="2464" uniqueCount="913">
  <si>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</si>
  <si>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</si>
  <si>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</si>
  <si>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</si>
  <si>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</si>
  <si>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</si>
  <si>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</si>
  <si>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</si>
  <si>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</si>
  <si>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</si>
  <si>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</si>
  <si>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</si>
  <si>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</si>
  <si>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</si>
  <si>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</si>
  <si>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</si>
  <si>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</si>
  <si>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</si>
  <si>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</si>
  <si>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</si>
  <si>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</si>
  <si>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</si>
  <si>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</si>
  <si>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</si>
  <si>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</si>
  <si>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</si>
  <si>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</si>
  <si>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</si>
  <si>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</si>
  <si>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</si>
  <si>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</si>
  <si>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</si>
  <si>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</si>
  <si>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</si>
  <si>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</si>
  <si>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</si>
  <si>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</si>
  <si>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</si>
  <si>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</si>
  <si>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</si>
  <si>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</si>
  <si>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</si>
  <si>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</si>
  <si>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</si>
  <si>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</si>
  <si>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</si>
  <si>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</si>
  <si>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</si>
  <si>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</si>
  <si>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</si>
  <si>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</si>
  <si>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</si>
  <si>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</si>
  <si>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</si>
  <si>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</si>
  <si>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</si>
  <si>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</si>
  <si>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</si>
  <si>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</si>
  <si>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</si>
  <si>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</si>
  <si>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</si>
  <si>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</si>
  <si>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</si>
  <si>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</si>
  <si>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</si>
  <si>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</si>
  <si>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</si>
  <si>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</si>
  <si>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</si>
  <si>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</si>
  <si>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</si>
  <si>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</si>
  <si>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</si>
  <si>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</si>
  <si>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</si>
  <si>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</si>
  <si>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</si>
  <si>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</si>
  <si>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</si>
  <si>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</si>
  <si>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</si>
  <si>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</si>
  <si>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</si>
  <si>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</si>
  <si>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</si>
  <si>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</si>
  <si>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</si>
  <si>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</si>
  <si>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</si>
  <si>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</si>
  <si>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</si>
  <si>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</si>
  <si>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</si>
  <si>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</si>
  <si>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</si>
  <si>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</si>
  <si>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</si>
  <si>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</si>
  <si>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</si>
  <si>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</si>
  <si>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</si>
  <si>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</si>
  <si>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</si>
  <si>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</si>
  <si>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</si>
  <si>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</si>
  <si>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</si>
  <si>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</si>
  <si>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</si>
  <si>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</si>
  <si>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</si>
  <si>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</si>
  <si>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</si>
  <si>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</si>
  <si>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</si>
  <si>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</si>
  <si>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</si>
  <si>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</si>
  <si>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</si>
  <si>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</si>
  <si>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</si>
  <si>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</si>
  <si>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</si>
  <si>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</si>
  <si>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</si>
  <si>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</si>
  <si>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</si>
  <si>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</si>
  <si>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</si>
  <si>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</si>
  <si>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</si>
  <si>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</si>
  <si>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</si>
  <si>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</si>
  <si>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</si>
  <si>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</si>
  <si>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</si>
  <si>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</si>
  <si>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</si>
  <si>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</si>
  <si>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</si>
  <si>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</si>
  <si>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</si>
  <si>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</si>
  <si>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</si>
  <si>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</si>
  <si>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</si>
  <si>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</si>
  <si>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</si>
  <si>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</si>
  <si>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</si>
  <si>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</si>
  <si>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</si>
  <si>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</si>
  <si>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</si>
  <si>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</si>
  <si>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</si>
  <si>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</si>
  <si>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</si>
  <si>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</si>
  <si>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</si>
  <si>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</si>
  <si>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</si>
  <si>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</si>
  <si>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</si>
  <si>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</si>
  <si>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</si>
  <si>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</si>
  <si>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</si>
  <si>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</si>
  <si>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</si>
  <si>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</si>
  <si>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</si>
  <si>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</si>
  <si>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</si>
  <si>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</si>
  <si>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</si>
  <si>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</si>
  <si>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</si>
  <si>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</si>
  <si>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</si>
  <si>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</si>
  <si>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</si>
  <si>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</si>
  <si>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</si>
  <si>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</si>
  <si>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</si>
  <si>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</si>
  <si>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</si>
  <si>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</si>
  <si>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</si>
  <si>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</si>
  <si>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</si>
  <si>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</si>
  <si>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</si>
  <si>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</si>
  <si>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</si>
  <si>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</si>
  <si>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</si>
  <si>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</si>
  <si>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</si>
  <si>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</si>
  <si>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</si>
  <si>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</si>
  <si>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</si>
  <si>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</si>
  <si>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</si>
  <si>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</si>
  <si>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</si>
  <si>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</si>
  <si>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</si>
  <si>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</si>
  <si>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</si>
  <si>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</si>
  <si>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</si>
  <si>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</si>
  <si>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</si>
  <si>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</si>
  <si>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</si>
  <si>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</si>
  <si>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</si>
  <si>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</si>
  <si>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</si>
  <si>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</si>
  <si>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</si>
  <si>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</si>
  <si>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</si>
  <si>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</si>
  <si>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</si>
  <si>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</si>
  <si>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</si>
  <si>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</si>
  <si>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</si>
  <si>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</si>
  <si>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</si>
  <si>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</si>
  <si>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</si>
  <si>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</si>
  <si>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</si>
  <si>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</si>
  <si>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</si>
  <si>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</si>
  <si>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</si>
  <si>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</si>
  <si>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</si>
  <si>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</si>
  <si>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</si>
  <si>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</si>
  <si>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</si>
  <si>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</si>
  <si>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</si>
  <si>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</si>
  <si>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</si>
  <si>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</si>
  <si>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</si>
  <si>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</si>
  <si>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</si>
  <si>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</si>
  <si>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</si>
  <si>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</si>
  <si>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</si>
  <si>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</si>
  <si>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</si>
  <si>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</si>
  <si>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</si>
  <si>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</si>
  <si>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</si>
  <si>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</si>
  <si>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</si>
  <si>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</si>
  <si>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</si>
  <si>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</si>
  <si>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</si>
  <si>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</si>
  <si>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</si>
  <si>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</si>
  <si>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</si>
  <si>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</si>
  <si>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</si>
  <si>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</si>
  <si>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</si>
  <si>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</si>
  <si>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</si>
  <si>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</si>
  <si>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</si>
  <si>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</si>
  <si>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</si>
  <si>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</si>
  <si>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</si>
  <si>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</si>
  <si>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</si>
  <si>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</si>
  <si>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</si>
  <si>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</si>
  <si>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</si>
  <si>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</si>
  <si>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</si>
  <si>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</si>
  <si>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</si>
  <si>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</si>
  <si>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</si>
  <si>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</si>
  <si>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</si>
  <si>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</si>
  <si>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</si>
  <si>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</si>
  <si>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</si>
  <si>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</si>
  <si>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</si>
  <si>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</si>
  <si>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</si>
  <si>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</si>
  <si>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</si>
  <si>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</si>
  <si>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</si>
  <si>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</si>
  <si>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</si>
  <si>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</si>
  <si>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</si>
  <si>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</si>
  <si>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</si>
  <si>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</si>
  <si>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</si>
  <si>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</si>
  <si>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</si>
  <si>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</si>
  <si>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</si>
  <si>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</si>
  <si>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</si>
  <si>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</si>
  <si>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</si>
  <si>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</si>
  <si>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</si>
  <si>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</si>
  <si>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</si>
  <si>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</si>
  <si>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</si>
  <si>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</si>
  <si>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</si>
  <si>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</si>
  <si>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</si>
  <si>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</si>
  <si>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</si>
  <si>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</si>
  <si>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</si>
  <si>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</si>
  <si>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</si>
  <si>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</si>
  <si>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</si>
  <si>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</si>
  <si>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</si>
  <si>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</si>
  <si>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</si>
  <si>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</si>
  <si>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</si>
  <si>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</si>
  <si>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</si>
  <si>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</si>
  <si>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</si>
  <si>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</si>
  <si>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</si>
  <si>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</si>
  <si>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</si>
  <si>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</si>
  <si>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</si>
  <si>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</si>
  <si>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</si>
  <si>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</si>
  <si>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</si>
  <si>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</si>
  <si>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</si>
  <si>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</si>
  <si>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</si>
  <si>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</si>
  <si>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</si>
  <si>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</si>
  <si>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</si>
  <si>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</si>
  <si>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</si>
  <si>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</si>
  <si>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</si>
  <si>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</si>
  <si>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</si>
  <si>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</si>
  <si>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</si>
  <si>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</si>
  <si>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</si>
  <si>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</si>
  <si>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</si>
  <si>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</si>
  <si>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</si>
  <si>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</si>
  <si>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</si>
  <si>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</si>
  <si>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</si>
  <si>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</si>
  <si>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</si>
  <si>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</si>
  <si>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</si>
  <si>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</si>
  <si>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</si>
  <si>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</si>
  <si>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</si>
  <si>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</si>
  <si>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</si>
  <si>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</si>
  <si>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</si>
  <si>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</si>
  <si>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</si>
  <si>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</si>
  <si>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</si>
  <si>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</si>
  <si>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</si>
  <si>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</si>
  <si>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</si>
  <si>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</si>
  <si>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</si>
  <si>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</si>
  <si>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</si>
  <si>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</si>
  <si>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</si>
  <si>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</si>
  <si>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</si>
  <si>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</si>
  <si>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</si>
  <si>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</si>
  <si>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</si>
  <si>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</si>
  <si>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</si>
  <si>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</si>
  <si>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</si>
  <si>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</si>
  <si>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</si>
  <si>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</si>
  <si>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</si>
  <si>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</si>
  <si>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</si>
  <si>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</si>
  <si>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</si>
  <si>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</si>
  <si>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</si>
  <si>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</si>
  <si>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</si>
  <si>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</si>
  <si>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</si>
  <si>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</si>
  <si>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</si>
  <si>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</si>
  <si>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</si>
  <si>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</si>
  <si>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</si>
  <si>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</si>
  <si>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</si>
  <si>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</si>
  <si>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</si>
  <si>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</si>
  <si>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</si>
  <si>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</si>
  <si>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</si>
  <si>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</si>
  <si>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</si>
  <si>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</si>
  <si>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</si>
  <si>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</si>
  <si>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</si>
  <si>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</si>
  <si>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</si>
  <si>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</si>
  <si>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</si>
  <si>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</si>
  <si>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</si>
  <si>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</si>
  <si>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</si>
  <si>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</si>
  <si>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</si>
  <si>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</si>
  <si>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</si>
  <si>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</si>
  <si>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</si>
  <si>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</si>
  <si>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</si>
  <si>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</si>
  <si>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</si>
  <si>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</si>
  <si>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</si>
  <si>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</si>
  <si>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</si>
  <si>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</si>
  <si>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</si>
  <si>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</si>
  <si>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</si>
  <si>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</si>
  <si>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</si>
  <si>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</si>
  <si>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</si>
  <si>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</si>
  <si>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</si>
  <si>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</si>
  <si>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</si>
  <si>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</si>
  <si>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</si>
  <si>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</si>
  <si>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</si>
  <si>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</si>
  <si>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</si>
  <si>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</si>
  <si>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</si>
  <si>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</si>
  <si>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</si>
  <si>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</si>
  <si>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</si>
  <si>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</si>
  <si>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</si>
  <si>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</si>
  <si>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</si>
  <si>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</si>
  <si>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</si>
  <si>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</si>
  <si>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</si>
  <si>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</si>
  <si>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</si>
  <si>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</si>
  <si>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</si>
  <si>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</si>
  <si>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</si>
  <si>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</si>
  <si>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</si>
  <si>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</si>
  <si>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</si>
  <si>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</si>
  <si>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</si>
  <si>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</si>
  <si>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</si>
  <si>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</si>
  <si>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</si>
  <si>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</si>
  <si>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</si>
  <si>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</si>
  <si>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</si>
  <si>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</si>
  <si>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</si>
  <si>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</si>
  <si>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</si>
  <si>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</si>
  <si>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</si>
  <si>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</si>
  <si>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</si>
  <si>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</si>
  <si>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</si>
  <si>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</si>
  <si>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</si>
  <si>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</si>
  <si>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</si>
  <si>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</si>
  <si>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</si>
  <si>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</si>
  <si>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</si>
  <si>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</si>
  <si>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</si>
  <si>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</si>
  <si>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</si>
  <si>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</si>
  <si>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</si>
  <si>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</si>
  <si>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</si>
  <si>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</si>
  <si>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</si>
  <si>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</si>
  <si>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</si>
  <si>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</si>
  <si>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</si>
  <si>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</si>
  <si>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</si>
  <si>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</si>
  <si>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</si>
  <si>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</si>
  <si>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</si>
  <si>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</si>
  <si>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</si>
  <si>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</si>
  <si>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</si>
  <si>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</si>
  <si>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</si>
  <si>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</si>
  <si>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</si>
  <si>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</si>
  <si>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</si>
  <si>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</si>
  <si>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</si>
  <si>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</si>
  <si>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</si>
  <si>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</si>
  <si>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</si>
  <si>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</si>
  <si>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</si>
  <si>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</si>
  <si>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</si>
  <si>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</si>
  <si>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</si>
  <si>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</si>
  <si>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</si>
  <si>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</si>
  <si>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</si>
  <si>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</si>
  <si>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</si>
  <si>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</si>
  <si>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</si>
  <si>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</si>
  <si>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</si>
  <si>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</si>
  <si>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</si>
  <si>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</si>
  <si>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</si>
  <si>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</si>
  <si>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</si>
  <si>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</si>
  <si>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</si>
  <si>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</si>
  <si>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</si>
  <si>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</si>
  <si>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</si>
  <si>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</si>
  <si>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</si>
  <si>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</si>
  <si>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</si>
  <si>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</si>
  <si>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</si>
  <si>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</si>
  <si>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</si>
  <si>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</si>
  <si>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</si>
  <si>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</si>
  <si>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</si>
  <si>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</si>
  <si>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</si>
  <si>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</si>
  <si>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</si>
  <si>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</si>
  <si>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</si>
  <si>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</si>
  <si>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</si>
  <si>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</si>
  <si>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</si>
  <si>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</si>
  <si>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</si>
  <si>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</si>
  <si>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</si>
  <si>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</si>
  <si>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</si>
  <si>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</si>
  <si>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</si>
  <si>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</si>
  <si>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</si>
  <si>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</si>
  <si>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</si>
  <si>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</si>
  <si>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</si>
  <si>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</si>
  <si>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</si>
  <si>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</si>
  <si>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</si>
  <si>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</si>
  <si>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</si>
  <si>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</si>
  <si>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</si>
  <si>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</si>
  <si>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</si>
  <si>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</si>
  <si>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</si>
  <si>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</si>
  <si>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</si>
  <si>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</si>
  <si>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</si>
  <si>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</si>
  <si>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</si>
  <si>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</si>
  <si>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</si>
  <si>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</si>
  <si>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</si>
  <si>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</si>
  <si>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</si>
  <si>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</si>
  <si>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</si>
  <si>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</si>
  <si>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</si>
  <si>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</si>
  <si>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</si>
  <si>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</si>
  <si>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</si>
  <si>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</si>
  <si>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</si>
  <si>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</si>
  <si>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</si>
  <si>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</si>
  <si>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</si>
  <si>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</si>
  <si>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</si>
  <si>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</si>
  <si>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</si>
  <si>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</si>
  <si>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</si>
  <si>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</si>
  <si>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</si>
  <si>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</si>
  <si>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</si>
  <si>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</si>
  <si>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</si>
  <si>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</si>
  <si>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</si>
  <si>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</si>
  <si>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</si>
  <si>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</si>
  <si>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</si>
  <si>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</si>
  <si>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</si>
  <si>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</si>
  <si>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</si>
  <si>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</si>
  <si>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</si>
  <si>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</si>
  <si>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</si>
  <si>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</si>
  <si>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</si>
  <si>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</si>
  <si>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</si>
  <si>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</si>
  <si>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</si>
  <si>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</si>
  <si>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</si>
  <si>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</si>
  <si>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</si>
  <si>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</si>
  <si>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</si>
  <si>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</si>
  <si>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</si>
  <si>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</si>
  <si>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</si>
  <si>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</si>
  <si>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</si>
  <si>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</si>
  <si>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</si>
  <si>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</si>
  <si>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</si>
  <si>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</si>
  <si>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</si>
  <si>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</si>
  <si>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</si>
  <si>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</si>
  <si>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</si>
  <si>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</si>
  <si>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</si>
  <si>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</si>
  <si>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</si>
  <si>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</si>
  <si>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</si>
  <si>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</si>
  <si>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</si>
  <si>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</si>
  <si>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</si>
  <si>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</si>
  <si>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</si>
  <si>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</si>
  <si>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</si>
  <si>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</si>
  <si>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</si>
  <si>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</si>
  <si>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</si>
  <si>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</si>
  <si>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</si>
  <si>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</si>
  <si>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</si>
  <si>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</si>
  <si>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</si>
  <si>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</si>
  <si>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</si>
  <si>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</si>
  <si>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</si>
  <si>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</si>
  <si>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</si>
  <si>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</si>
  <si>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</si>
  <si>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</si>
  <si>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</si>
  <si>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</si>
  <si>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</si>
  <si>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</si>
  <si>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</si>
  <si>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</si>
  <si>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</si>
  <si>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</si>
  <si>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</si>
  <si>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</si>
  <si>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</si>
  <si>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</si>
  <si>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</si>
  <si>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</si>
  <si>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</si>
  <si>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</si>
  <si>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</si>
  <si>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</si>
  <si>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</si>
  <si>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</si>
  <si>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</si>
  <si>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</si>
  <si>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</si>
  <si>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</si>
  <si>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</si>
  <si>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</si>
  <si>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</si>
  <si>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</si>
  <si>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</si>
  <si>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</si>
  <si>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</si>
  <si>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</si>
  <si>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</si>
  <si>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</si>
  <si>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</si>
  <si>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</si>
  <si>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</si>
  <si>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</si>
  <si>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</si>
  <si>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</si>
  <si>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</si>
  <si>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</si>
  <si>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</si>
  <si>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</si>
  <si>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</si>
  <si>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</si>
  <si>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</si>
  <si>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</si>
  <si>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</si>
  <si>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</si>
  <si>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</si>
  <si>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</si>
  <si>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</si>
  <si>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</si>
  <si>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</si>
  <si>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</si>
  <si>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</si>
  <si>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</si>
  <si>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</si>
  <si>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</si>
  <si>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</si>
  <si>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</si>
  <si>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</si>
  <si>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</si>
  <si>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</si>
  <si>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</si>
  <si>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</si>
  <si>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</si>
  <si>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</si>
  <si>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</si>
  <si>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</si>
  <si>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</si>
  <si>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</si>
  <si>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</si>
  <si>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</si>
  <si>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</si>
  <si>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</si>
  <si>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</si>
  <si>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</si>
  <si>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</si>
  <si>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</si>
  <si>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</si>
  <si>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</si>
  <si>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</si>
  <si>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</si>
  <si>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</si>
  <si>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</si>
  <si>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</si>
  <si>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</si>
  <si>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</si>
  <si>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11004</t>
  </si>
  <si>
    <t>BOECHOUT</t>
  </si>
  <si>
    <t>Eandis (januari 2018); Infrax (juni 2018)</t>
  </si>
  <si>
    <t>MOW (september 2017)</t>
  </si>
  <si>
    <t>referentietaak LNE (2017); Jaarverslag De Lijn (2016)</t>
  </si>
  <si>
    <t>VEA (april 2018)</t>
  </si>
  <si>
    <t>VEA (januari 2017)</t>
  </si>
  <si>
    <t>VEA (juni 2018)</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</si>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</sst>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89360.168838800542</c:v>
                </c:pt>
                <c:pt idx="1">
                  <c:v>34292.4828908809</c:v>
                </c:pt>
                <c:pt idx="2">
                  <c:v>564.21299999999997</c:v>
                </c:pt>
                <c:pt idx="3">
                  <c:v>167402.03138607283</c:v>
                </c:pt>
                <c:pt idx="4">
                  <c:v>33009.17117539687</c:v>
                </c:pt>
                <c:pt idx="5">
                  <c:v>43401.857912766434</c:v>
                </c:pt>
                <c:pt idx="6">
                  <c:v>2146.976805839151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062528"/>
        <c:axId val="183064064"/>
      </c:barChart>
      <c:catAx>
        <c:axId val="183062528"/>
        <c:scaling>
          <c:orientation val="minMax"/>
        </c:scaling>
        <c:axPos val="b"/>
        <c:numFmt formatCode="General" sourceLinked="0"/>
        <c:tickLblPos val="nextTo"/>
        <c:crossAx val="183064064"/>
        <c:crosses val="autoZero"/>
        <c:auto val="1"/>
        <c:lblAlgn val="ctr"/>
        <c:lblOffset val="100"/>
      </c:catAx>
      <c:valAx>
        <c:axId val="183064064"/>
        <c:scaling>
          <c:orientation val="minMax"/>
        </c:scaling>
        <c:axPos val="l"/>
        <c:majorGridlines>
          <c:spPr>
            <a:ln>
              <a:noFill/>
            </a:ln>
          </c:spPr>
        </c:majorGridlines>
        <c:numFmt formatCode="#,##0" sourceLinked="1"/>
        <c:tickLblPos val="nextTo"/>
        <c:crossAx val="18306252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89360.168838800542</c:v>
                </c:pt>
                <c:pt idx="1">
                  <c:v>34292.4828908809</c:v>
                </c:pt>
                <c:pt idx="2">
                  <c:v>564.21299999999997</c:v>
                </c:pt>
                <c:pt idx="3">
                  <c:v>167402.03138607283</c:v>
                </c:pt>
                <c:pt idx="4">
                  <c:v>33009.17117539687</c:v>
                </c:pt>
                <c:pt idx="5">
                  <c:v>43401.857912766434</c:v>
                </c:pt>
                <c:pt idx="6">
                  <c:v>2146.976805839151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16355.086444586221</c:v>
                </c:pt>
                <c:pt idx="2">
                  <c:v>6991.998327045203</c:v>
                </c:pt>
                <c:pt idx="3">
                  <c:v>118.52705435777641</c:v>
                </c:pt>
                <c:pt idx="4">
                  <c:v>36565.314743502</c:v>
                </c:pt>
                <c:pt idx="5">
                  <c:v>2551.3469822192551</c:v>
                </c:pt>
                <c:pt idx="6">
                  <c:v>10864.628866375386</c:v>
                </c:pt>
                <c:pt idx="7">
                  <c:v>510.79483485962766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544064"/>
        <c:axId val="183578624"/>
      </c:barChart>
      <c:catAx>
        <c:axId val="183544064"/>
        <c:scaling>
          <c:orientation val="minMax"/>
        </c:scaling>
        <c:axPos val="b"/>
        <c:numFmt formatCode="General" sourceLinked="0"/>
        <c:tickLblPos val="nextTo"/>
        <c:crossAx val="183578624"/>
        <c:crosses val="autoZero"/>
        <c:auto val="1"/>
        <c:lblAlgn val="ctr"/>
        <c:lblOffset val="100"/>
      </c:catAx>
      <c:valAx>
        <c:axId val="183578624"/>
        <c:scaling>
          <c:orientation val="minMax"/>
        </c:scaling>
        <c:axPos val="l"/>
        <c:majorGridlines>
          <c:spPr>
            <a:ln>
              <a:noFill/>
            </a:ln>
          </c:spPr>
        </c:majorGridlines>
        <c:numFmt formatCode="#,##0" sourceLinked="1"/>
        <c:tickLblPos val="nextTo"/>
        <c:crossAx val="1835440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16355.086444586221</c:v>
                </c:pt>
                <c:pt idx="2">
                  <c:v>6991.998327045203</c:v>
                </c:pt>
                <c:pt idx="3">
                  <c:v>118.52705435777641</c:v>
                </c:pt>
                <c:pt idx="4">
                  <c:v>36565.314743502</c:v>
                </c:pt>
                <c:pt idx="5">
                  <c:v>2551.3469822192551</c:v>
                </c:pt>
                <c:pt idx="6">
                  <c:v>10864.628866375386</c:v>
                </c:pt>
                <c:pt idx="7">
                  <c:v>510.79483485962766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11004</v>
      </c>
      <c r="B6" s="415"/>
      <c r="C6" s="416"/>
    </row>
    <row r="7" spans="1:7" s="413" customFormat="1" ht="15.75" customHeight="1">
      <c r="A7" s="417" t="str">
        <f>txtMunicipality</f>
        <v>BOECHOUT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0.21007501485746768</v>
      </c>
      <c r="C17" s="524">
        <f ca="1">'EF ele_warmte'!B22</f>
        <v>0.21503022675658084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0.21007501485746768</v>
      </c>
      <c r="C29" s="525">
        <f ca="1">'EF ele_warmte'!B22</f>
        <v>0.21503022675658084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5098</v>
      </c>
      <c r="C9" s="342">
        <v>5289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1020.87</v>
      </c>
    </row>
    <row r="15" spans="1:6">
      <c r="A15" s="348" t="s">
        <v>184</v>
      </c>
      <c r="B15" s="334">
        <v>2</v>
      </c>
    </row>
    <row r="16" spans="1:6">
      <c r="A16" s="348" t="s">
        <v>6</v>
      </c>
      <c r="B16" s="334">
        <v>33</v>
      </c>
    </row>
    <row r="17" spans="1:6">
      <c r="A17" s="348" t="s">
        <v>7</v>
      </c>
      <c r="B17" s="334">
        <v>131</v>
      </c>
    </row>
    <row r="18" spans="1:6">
      <c r="A18" s="348" t="s">
        <v>8</v>
      </c>
      <c r="B18" s="334">
        <v>134</v>
      </c>
    </row>
    <row r="19" spans="1:6">
      <c r="A19" s="348" t="s">
        <v>9</v>
      </c>
      <c r="B19" s="334">
        <v>81</v>
      </c>
    </row>
    <row r="20" spans="1:6">
      <c r="A20" s="348" t="s">
        <v>10</v>
      </c>
      <c r="B20" s="334">
        <v>35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50</v>
      </c>
    </row>
    <row r="27" spans="1:6">
      <c r="A27" s="348" t="s">
        <v>17</v>
      </c>
      <c r="B27" s="334">
        <v>0</v>
      </c>
    </row>
    <row r="28" spans="1:6" s="356" customFormat="1">
      <c r="A28" s="355" t="s">
        <v>18</v>
      </c>
      <c r="B28" s="355">
        <v>20</v>
      </c>
    </row>
    <row r="29" spans="1:6">
      <c r="A29" s="355" t="s">
        <v>744</v>
      </c>
      <c r="B29" s="355">
        <v>102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16490456</v>
      </c>
      <c r="E38" s="334">
        <v>3</v>
      </c>
      <c r="F38" s="334">
        <v>129103</v>
      </c>
    </row>
    <row r="39" spans="1:6">
      <c r="A39" s="348" t="s">
        <v>30</v>
      </c>
      <c r="B39" s="348" t="s">
        <v>31</v>
      </c>
      <c r="C39" s="334">
        <v>4091</v>
      </c>
      <c r="D39" s="334">
        <v>64681879.75</v>
      </c>
      <c r="E39" s="334">
        <v>5149</v>
      </c>
      <c r="F39" s="334">
        <v>18398426.949999999</v>
      </c>
    </row>
    <row r="40" spans="1:6">
      <c r="A40" s="348" t="s">
        <v>30</v>
      </c>
      <c r="B40" s="348" t="s">
        <v>29</v>
      </c>
      <c r="C40" s="334">
        <v>0</v>
      </c>
      <c r="D40" s="334">
        <v>0</v>
      </c>
      <c r="E40" s="334">
        <v>0</v>
      </c>
      <c r="F40" s="334">
        <v>0</v>
      </c>
    </row>
    <row r="41" spans="1:6">
      <c r="A41" s="348" t="s">
        <v>32</v>
      </c>
      <c r="B41" s="348" t="s">
        <v>33</v>
      </c>
      <c r="C41" s="334">
        <v>35</v>
      </c>
      <c r="D41" s="334">
        <v>769549</v>
      </c>
      <c r="E41" s="334">
        <v>86</v>
      </c>
      <c r="F41" s="334">
        <v>669555.19999999995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72461.8</v>
      </c>
      <c r="E44" s="334">
        <v>16</v>
      </c>
      <c r="F44" s="334">
        <v>161087.20000000001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12</v>
      </c>
      <c r="D47" s="334">
        <v>1922859</v>
      </c>
      <c r="E47" s="334">
        <v>13</v>
      </c>
      <c r="F47" s="334">
        <v>7131803</v>
      </c>
    </row>
    <row r="48" spans="1:6">
      <c r="A48" s="348" t="s">
        <v>32</v>
      </c>
      <c r="B48" s="348" t="s">
        <v>29</v>
      </c>
      <c r="C48" s="334">
        <v>1</v>
      </c>
      <c r="D48" s="334">
        <v>36397</v>
      </c>
      <c r="E48" s="334">
        <v>4</v>
      </c>
      <c r="F48" s="334">
        <v>8582</v>
      </c>
    </row>
    <row r="49" spans="1:6">
      <c r="A49" s="348" t="s">
        <v>32</v>
      </c>
      <c r="B49" s="348" t="s">
        <v>40</v>
      </c>
      <c r="C49" s="334">
        <v>0</v>
      </c>
      <c r="D49" s="334">
        <v>0</v>
      </c>
      <c r="E49" s="334">
        <v>0</v>
      </c>
      <c r="F49" s="334">
        <v>0</v>
      </c>
    </row>
    <row r="50" spans="1:6">
      <c r="A50" s="348" t="s">
        <v>32</v>
      </c>
      <c r="B50" s="348" t="s">
        <v>41</v>
      </c>
      <c r="C50" s="334">
        <v>7</v>
      </c>
      <c r="D50" s="334">
        <v>290799</v>
      </c>
      <c r="E50" s="334">
        <v>11</v>
      </c>
      <c r="F50" s="334">
        <v>313116</v>
      </c>
    </row>
    <row r="51" spans="1:6">
      <c r="A51" s="348" t="s">
        <v>42</v>
      </c>
      <c r="B51" s="348" t="s">
        <v>43</v>
      </c>
      <c r="C51" s="334">
        <v>23</v>
      </c>
      <c r="D51" s="334">
        <v>276561403</v>
      </c>
      <c r="E51" s="334">
        <v>67</v>
      </c>
      <c r="F51" s="334">
        <v>4873978</v>
      </c>
    </row>
    <row r="52" spans="1:6">
      <c r="A52" s="348" t="s">
        <v>42</v>
      </c>
      <c r="B52" s="348" t="s">
        <v>29</v>
      </c>
      <c r="C52" s="334">
        <v>0</v>
      </c>
      <c r="D52" s="334">
        <v>0</v>
      </c>
      <c r="E52" s="334">
        <v>0</v>
      </c>
      <c r="F52" s="334">
        <v>0</v>
      </c>
    </row>
    <row r="53" spans="1:6">
      <c r="A53" s="348" t="s">
        <v>44</v>
      </c>
      <c r="B53" s="348" t="s">
        <v>45</v>
      </c>
      <c r="C53" s="334">
        <v>99</v>
      </c>
      <c r="D53" s="334">
        <v>1592286.1</v>
      </c>
      <c r="E53" s="334">
        <v>178</v>
      </c>
      <c r="F53" s="334">
        <v>668279.94999999995</v>
      </c>
    </row>
    <row r="54" spans="1:6">
      <c r="A54" s="348" t="s">
        <v>46</v>
      </c>
      <c r="B54" s="348" t="s">
        <v>47</v>
      </c>
      <c r="C54" s="334">
        <v>0</v>
      </c>
      <c r="D54" s="334">
        <v>0</v>
      </c>
      <c r="E54" s="334">
        <v>1</v>
      </c>
      <c r="F54" s="334">
        <v>564213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39</v>
      </c>
      <c r="D57" s="334">
        <v>1265400.8999999999</v>
      </c>
      <c r="E57" s="334">
        <v>67</v>
      </c>
      <c r="F57" s="334">
        <v>812364.26899999997</v>
      </c>
    </row>
    <row r="58" spans="1:6">
      <c r="A58" s="348" t="s">
        <v>49</v>
      </c>
      <c r="B58" s="348" t="s">
        <v>51</v>
      </c>
      <c r="C58" s="334">
        <v>43</v>
      </c>
      <c r="D58" s="334">
        <v>4406872</v>
      </c>
      <c r="E58" s="334">
        <v>53</v>
      </c>
      <c r="F58" s="334">
        <v>1609487.95</v>
      </c>
    </row>
    <row r="59" spans="1:6">
      <c r="A59" s="348" t="s">
        <v>49</v>
      </c>
      <c r="B59" s="348" t="s">
        <v>52</v>
      </c>
      <c r="C59" s="334">
        <v>74</v>
      </c>
      <c r="D59" s="334">
        <v>3147313</v>
      </c>
      <c r="E59" s="334">
        <v>120</v>
      </c>
      <c r="F59" s="334">
        <v>2905406.55</v>
      </c>
    </row>
    <row r="60" spans="1:6">
      <c r="A60" s="348" t="s">
        <v>49</v>
      </c>
      <c r="B60" s="348" t="s">
        <v>53</v>
      </c>
      <c r="C60" s="334">
        <v>32</v>
      </c>
      <c r="D60" s="334">
        <v>6084493.7000000002</v>
      </c>
      <c r="E60" s="334">
        <v>46</v>
      </c>
      <c r="F60" s="334">
        <v>2508923.4500000002</v>
      </c>
    </row>
    <row r="61" spans="1:6">
      <c r="A61" s="348" t="s">
        <v>49</v>
      </c>
      <c r="B61" s="348" t="s">
        <v>54</v>
      </c>
      <c r="C61" s="334">
        <v>163</v>
      </c>
      <c r="D61" s="334">
        <v>6663882.2000000002</v>
      </c>
      <c r="E61" s="334">
        <v>315</v>
      </c>
      <c r="F61" s="334">
        <v>2694860.25</v>
      </c>
    </row>
    <row r="62" spans="1:6">
      <c r="A62" s="348" t="s">
        <v>49</v>
      </c>
      <c r="B62" s="348" t="s">
        <v>55</v>
      </c>
      <c r="C62" s="334">
        <v>10</v>
      </c>
      <c r="D62" s="334">
        <v>1197873</v>
      </c>
      <c r="E62" s="334">
        <v>11</v>
      </c>
      <c r="F62" s="334">
        <v>523948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13265</v>
      </c>
      <c r="E65" s="334">
        <v>0</v>
      </c>
      <c r="F65" s="334">
        <v>0</v>
      </c>
    </row>
    <row r="66" spans="1:6">
      <c r="A66" s="348" t="s">
        <v>56</v>
      </c>
      <c r="B66" s="348" t="s">
        <v>58</v>
      </c>
      <c r="C66" s="334">
        <v>0</v>
      </c>
      <c r="D66" s="334">
        <v>0</v>
      </c>
      <c r="E66" s="334">
        <v>8</v>
      </c>
      <c r="F66" s="334">
        <v>212829</v>
      </c>
    </row>
    <row r="67" spans="1:6">
      <c r="A67" s="355" t="s">
        <v>56</v>
      </c>
      <c r="B67" s="355" t="s">
        <v>59</v>
      </c>
      <c r="C67" s="334">
        <v>0</v>
      </c>
      <c r="D67" s="334">
        <v>0</v>
      </c>
      <c r="E67" s="334">
        <v>0</v>
      </c>
      <c r="F67" s="334">
        <v>0</v>
      </c>
    </row>
    <row r="68" spans="1:6">
      <c r="A68" s="341" t="s">
        <v>56</v>
      </c>
      <c r="B68" s="341" t="s">
        <v>60</v>
      </c>
      <c r="C68" s="334">
        <v>0</v>
      </c>
      <c r="D68" s="334">
        <v>0</v>
      </c>
      <c r="E68" s="334">
        <v>4</v>
      </c>
      <c r="F68" s="334">
        <v>315076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44547992</v>
      </c>
      <c r="E73" s="475">
        <v>39949840.50195118</v>
      </c>
    </row>
    <row r="74" spans="1:6">
      <c r="A74" s="348" t="s">
        <v>64</v>
      </c>
      <c r="B74" s="348" t="s">
        <v>657</v>
      </c>
      <c r="C74" s="1295" t="s">
        <v>659</v>
      </c>
      <c r="D74" s="475">
        <v>4100425.5</v>
      </c>
      <c r="E74" s="475">
        <v>3887585.1978464327</v>
      </c>
    </row>
    <row r="75" spans="1:6">
      <c r="A75" s="348" t="s">
        <v>65</v>
      </c>
      <c r="B75" s="348" t="s">
        <v>656</v>
      </c>
      <c r="C75" s="1295" t="s">
        <v>660</v>
      </c>
      <c r="D75" s="475">
        <v>5527049</v>
      </c>
      <c r="E75" s="475">
        <v>4986047.8472429849</v>
      </c>
    </row>
    <row r="76" spans="1:6">
      <c r="A76" s="348" t="s">
        <v>65</v>
      </c>
      <c r="B76" s="348" t="s">
        <v>657</v>
      </c>
      <c r="C76" s="1295" t="s">
        <v>661</v>
      </c>
      <c r="D76" s="475">
        <v>295820.5</v>
      </c>
      <c r="E76" s="475">
        <v>270670.19900573377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380741</v>
      </c>
      <c r="C83" s="475">
        <v>382417.03528552386</v>
      </c>
    </row>
    <row r="84" spans="1:6">
      <c r="A84" s="341" t="s">
        <v>337</v>
      </c>
      <c r="B84" s="1296">
        <v>210823</v>
      </c>
      <c r="C84" s="1296">
        <v>209136.90490936241</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2136.0797655485485</v>
      </c>
    </row>
    <row r="92" spans="1:6">
      <c r="A92" s="341" t="s">
        <v>69</v>
      </c>
      <c r="B92" s="342">
        <v>376.80159545665776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2831</v>
      </c>
    </row>
    <row r="98" spans="1:6">
      <c r="A98" s="348" t="s">
        <v>72</v>
      </c>
      <c r="B98" s="334">
        <v>2</v>
      </c>
    </row>
    <row r="99" spans="1:6">
      <c r="A99" s="348" t="s">
        <v>73</v>
      </c>
      <c r="B99" s="334">
        <v>22</v>
      </c>
    </row>
    <row r="100" spans="1:6">
      <c r="A100" s="348" t="s">
        <v>74</v>
      </c>
      <c r="B100" s="334">
        <v>329</v>
      </c>
    </row>
    <row r="101" spans="1:6">
      <c r="A101" s="348" t="s">
        <v>75</v>
      </c>
      <c r="B101" s="334">
        <v>48</v>
      </c>
    </row>
    <row r="102" spans="1:6">
      <c r="A102" s="348" t="s">
        <v>76</v>
      </c>
      <c r="B102" s="334">
        <v>62</v>
      </c>
    </row>
    <row r="103" spans="1:6">
      <c r="A103" s="348" t="s">
        <v>77</v>
      </c>
      <c r="B103" s="334">
        <v>79</v>
      </c>
    </row>
    <row r="104" spans="1:6">
      <c r="A104" s="348" t="s">
        <v>78</v>
      </c>
      <c r="B104" s="334">
        <v>886</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30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2</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46742.962296600126</v>
      </c>
      <c r="C3" s="43" t="s">
        <v>170</v>
      </c>
      <c r="D3" s="43"/>
      <c r="E3" s="154"/>
      <c r="F3" s="43"/>
      <c r="G3" s="43"/>
      <c r="H3" s="43"/>
      <c r="I3" s="43"/>
      <c r="J3" s="43"/>
      <c r="K3" s="96"/>
    </row>
    <row r="4" spans="1:11">
      <c r="A4" s="383" t="s">
        <v>171</v>
      </c>
      <c r="B4" s="49">
        <f>IF(ISERROR('SEAP template'!B78+'SEAP template'!C78),0,'SEAP template'!B78+'SEAP template'!C78)</f>
        <v>109045.8813610052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22907.815147058827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0.21007501485746768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32725.450210084044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152190.00000000003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0.21503022675658084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564.21299999999997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564.21299999999997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0.21007501485746768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118.52705435777641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18398.426950000001</v>
      </c>
      <c r="C5" s="17">
        <f>IF(ISERROR('Eigen informatie GS &amp; warmtenet'!B57),0,'Eigen informatie GS &amp; warmtenet'!B57)</f>
        <v>0</v>
      </c>
      <c r="D5" s="30">
        <f>(SUM(HH_hh_gas_kWh,HH_rest_gas_kWh)/1000)*0.902</f>
        <v>58343.055534500003</v>
      </c>
      <c r="E5" s="17">
        <f>B46*B57</f>
        <v>1127.7639791083188</v>
      </c>
      <c r="F5" s="17">
        <f>B51*B62</f>
        <v>0</v>
      </c>
      <c r="G5" s="18"/>
      <c r="H5" s="17"/>
      <c r="I5" s="17"/>
      <c r="J5" s="17">
        <f>B50*B61+C50*C61</f>
        <v>0</v>
      </c>
      <c r="K5" s="17"/>
      <c r="L5" s="17"/>
      <c r="M5" s="17"/>
      <c r="N5" s="17">
        <f>B48*B59+C48*C59</f>
        <v>8385.5092763103276</v>
      </c>
      <c r="O5" s="17">
        <f>B69*B70*B71</f>
        <v>187.6</v>
      </c>
      <c r="P5" s="17">
        <f>B77*B78*B79/1000-B77*B78*B79/1000/B80</f>
        <v>781.73333333333335</v>
      </c>
    </row>
    <row r="6" spans="1:16">
      <c r="A6" s="16" t="s">
        <v>621</v>
      </c>
      <c r="B6" s="788">
        <f>kWh_PV_kleiner_dan_10kW</f>
        <v>2136.0797655485485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20534.506715548549</v>
      </c>
      <c r="C8" s="21">
        <f>C5</f>
        <v>0</v>
      </c>
      <c r="D8" s="21">
        <f>D5</f>
        <v>58343.055534500003</v>
      </c>
      <c r="E8" s="21">
        <f>E5</f>
        <v>1127.7639791083188</v>
      </c>
      <c r="F8" s="21">
        <f>F5</f>
        <v>0</v>
      </c>
      <c r="G8" s="21"/>
      <c r="H8" s="21"/>
      <c r="I8" s="21"/>
      <c r="J8" s="21">
        <f>J5</f>
        <v>0</v>
      </c>
      <c r="K8" s="21"/>
      <c r="L8" s="21">
        <f>L5</f>
        <v>0</v>
      </c>
      <c r="M8" s="21">
        <f>M5</f>
        <v>0</v>
      </c>
      <c r="N8" s="21">
        <f>N5</f>
        <v>8385.5092763103276</v>
      </c>
      <c r="O8" s="21">
        <f>O5</f>
        <v>187.6</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0.21007501485746768</v>
      </c>
      <c r="C10" s="25">
        <f ca="1">'EF ele_warmte'!B22</f>
        <v>0.21503022675658084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4313.7868033596314</v>
      </c>
      <c r="C12" s="23">
        <f ca="1">C10*C8</f>
        <v>0</v>
      </c>
      <c r="D12" s="23">
        <f>D8*D10</f>
        <v>11785.297217969</v>
      </c>
      <c r="E12" s="23">
        <f>E10*E8</f>
        <v>256.00242325758836</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2831</v>
      </c>
      <c r="C18" s="166" t="s">
        <v>111</v>
      </c>
      <c r="D18" s="228"/>
      <c r="E18" s="15"/>
    </row>
    <row r="19" spans="1:7">
      <c r="A19" s="171" t="s">
        <v>72</v>
      </c>
      <c r="B19" s="37">
        <f>aantalw2001_ander</f>
        <v>2</v>
      </c>
      <c r="C19" s="166" t="s">
        <v>111</v>
      </c>
      <c r="D19" s="229"/>
      <c r="E19" s="15"/>
    </row>
    <row r="20" spans="1:7">
      <c r="A20" s="171" t="s">
        <v>73</v>
      </c>
      <c r="B20" s="37">
        <f>aantalw2001_propaan</f>
        <v>22</v>
      </c>
      <c r="C20" s="167">
        <f>IF(ISERROR(B20/SUM($B$20,$B$21,$B$22)*100),0,B20/SUM($B$20,$B$21,$B$22)*100)</f>
        <v>5.5137844611528823</v>
      </c>
      <c r="D20" s="229"/>
      <c r="E20" s="15"/>
    </row>
    <row r="21" spans="1:7">
      <c r="A21" s="171" t="s">
        <v>74</v>
      </c>
      <c r="B21" s="37">
        <f>aantalw2001_elektriciteit</f>
        <v>329</v>
      </c>
      <c r="C21" s="167">
        <f>IF(ISERROR(B21/SUM($B$20,$B$21,$B$22)*100),0,B21/SUM($B$20,$B$21,$B$22)*100)</f>
        <v>82.456140350877192</v>
      </c>
      <c r="D21" s="229"/>
      <c r="E21" s="15"/>
    </row>
    <row r="22" spans="1:7">
      <c r="A22" s="171" t="s">
        <v>75</v>
      </c>
      <c r="B22" s="37">
        <f>aantalw2001_hout</f>
        <v>48</v>
      </c>
      <c r="C22" s="167">
        <f>IF(ISERROR(B22/SUM($B$20,$B$21,$B$22)*100),0,B22/SUM($B$20,$B$21,$B$22)*100)</f>
        <v>12.030075187969924</v>
      </c>
      <c r="D22" s="229"/>
      <c r="E22" s="15"/>
    </row>
    <row r="23" spans="1:7">
      <c r="A23" s="171" t="s">
        <v>76</v>
      </c>
      <c r="B23" s="37">
        <f>aantalw2001_niet_gespec</f>
        <v>62</v>
      </c>
      <c r="C23" s="166" t="s">
        <v>111</v>
      </c>
      <c r="D23" s="228"/>
      <c r="E23" s="15"/>
    </row>
    <row r="24" spans="1:7">
      <c r="A24" s="171" t="s">
        <v>77</v>
      </c>
      <c r="B24" s="37">
        <f>aantalw2001_steenkool</f>
        <v>79</v>
      </c>
      <c r="C24" s="166" t="s">
        <v>111</v>
      </c>
      <c r="D24" s="229"/>
      <c r="E24" s="15"/>
    </row>
    <row r="25" spans="1:7">
      <c r="A25" s="171" t="s">
        <v>78</v>
      </c>
      <c r="B25" s="37">
        <f>aantalw2001_stookolie</f>
        <v>886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5098</v>
      </c>
      <c r="C28" s="36"/>
      <c r="D28" s="228"/>
    </row>
    <row r="29" spans="1:7" s="15" customFormat="1">
      <c r="A29" s="230" t="s">
        <v>794</v>
      </c>
      <c r="B29" s="37">
        <f>SUM(HH_hh_gas_aantal,HH_rest_gas_aantal)</f>
        <v>4091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4091</v>
      </c>
      <c r="C32" s="167">
        <f>IF(ISERROR(B32/SUM($B$32,$B$34,$B$35,$B$36,$B$38,$B$39)*100),0,B32/SUM($B$32,$B$34,$B$35,$B$36,$B$38,$B$39)*100)</f>
        <v>80.89776547360097</v>
      </c>
      <c r="D32" s="233"/>
      <c r="G32" s="15"/>
    </row>
    <row r="33" spans="1:7">
      <c r="A33" s="171" t="s">
        <v>72</v>
      </c>
      <c r="B33" s="34" t="s">
        <v>111</v>
      </c>
      <c r="C33" s="167"/>
      <c r="D33" s="233"/>
      <c r="G33" s="15"/>
    </row>
    <row r="34" spans="1:7">
      <c r="A34" s="171" t="s">
        <v>73</v>
      </c>
      <c r="B34" s="33">
        <f>IF((($B$28-$B$32-$B$39-$B$77-$B$38)*C20/100)&lt;0,0,($B$28-$B$32-$B$39-$B$77-$B$38)*C20/100)</f>
        <v>53.263157894736842</v>
      </c>
      <c r="C34" s="167">
        <f>IF(ISERROR(B34/SUM($B$32,$B$34,$B$35,$B$36,$B$38,$B$39)*100),0,B34/SUM($B$32,$B$34,$B$35,$B$36,$B$38,$B$39)*100)</f>
        <v>1.053256039049572</v>
      </c>
      <c r="D34" s="233"/>
      <c r="G34" s="15"/>
    </row>
    <row r="35" spans="1:7">
      <c r="A35" s="171" t="s">
        <v>74</v>
      </c>
      <c r="B35" s="33">
        <f>IF((($B$28-$B$32-$B$39-$B$77-$B$38)*C21/100)&lt;0,0,($B$28-$B$32-$B$39-$B$77-$B$38)*C21/100)</f>
        <v>796.52631578947376</v>
      </c>
      <c r="C35" s="167">
        <f>IF(ISERROR(B35/SUM($B$32,$B$34,$B$35,$B$36,$B$38,$B$39)*100),0,B35/SUM($B$32,$B$34,$B$35,$B$36,$B$38,$B$39)*100)</f>
        <v>15.750965311241327</v>
      </c>
      <c r="D35" s="233"/>
      <c r="G35" s="15"/>
    </row>
    <row r="36" spans="1:7">
      <c r="A36" s="171" t="s">
        <v>75</v>
      </c>
      <c r="B36" s="33">
        <f>IF((($B$28-$B$32-$B$39-$B$77-$B$38)*C22/100)&lt;0,0,($B$28-$B$32-$B$39-$B$77-$B$38)*C22/100)</f>
        <v>116.21052631578947</v>
      </c>
      <c r="C36" s="167">
        <f>IF(ISERROR(B36/SUM($B$32,$B$34,$B$35,$B$36,$B$38,$B$39)*100),0,B36/SUM($B$32,$B$34,$B$35,$B$36,$B$38,$B$39)*100)</f>
        <v>2.2980131761081566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4091</v>
      </c>
      <c r="C44" s="34" t="s">
        <v>111</v>
      </c>
      <c r="D44" s="174"/>
    </row>
    <row r="45" spans="1:7">
      <c r="A45" s="171" t="s">
        <v>72</v>
      </c>
      <c r="B45" s="33" t="str">
        <f t="shared" si="0"/>
        <v>-</v>
      </c>
      <c r="C45" s="34" t="s">
        <v>111</v>
      </c>
      <c r="D45" s="174"/>
    </row>
    <row r="46" spans="1:7">
      <c r="A46" s="171" t="s">
        <v>73</v>
      </c>
      <c r="B46" s="33">
        <f t="shared" si="0"/>
        <v>53.263157894736842</v>
      </c>
      <c r="C46" s="34" t="s">
        <v>111</v>
      </c>
      <c r="D46" s="174"/>
    </row>
    <row r="47" spans="1:7">
      <c r="A47" s="171" t="s">
        <v>74</v>
      </c>
      <c r="B47" s="33">
        <f t="shared" si="0"/>
        <v>796.52631578947376</v>
      </c>
      <c r="C47" s="34" t="s">
        <v>111</v>
      </c>
      <c r="D47" s="174"/>
    </row>
    <row r="48" spans="1:7">
      <c r="A48" s="171" t="s">
        <v>75</v>
      </c>
      <c r="B48" s="33">
        <f t="shared" si="0"/>
        <v>116.21052631578947</v>
      </c>
      <c r="C48" s="33">
        <f>B48*10</f>
        <v>1162.1052631578946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11054.990469</v>
      </c>
      <c r="C5" s="17">
        <f>IF(ISERROR('Eigen informatie GS &amp; warmtenet'!B58),0,'Eigen informatie GS &amp; warmtenet'!B58)</f>
        <v>0</v>
      </c>
      <c r="D5" s="30">
        <f>SUM(D6:D12)</f>
        <v>20534.782989600004</v>
      </c>
      <c r="E5" s="17">
        <f>SUM(E6:E12)</f>
        <v>150.29760411234378</v>
      </c>
      <c r="F5" s="17">
        <f>SUM(F6:F12)</f>
        <v>1825.7343738570009</v>
      </c>
      <c r="G5" s="18"/>
      <c r="H5" s="17"/>
      <c r="I5" s="17"/>
      <c r="J5" s="17">
        <f>SUM(J6:J12)</f>
        <v>1.7633243899982491E-2</v>
      </c>
      <c r="K5" s="17"/>
      <c r="L5" s="17"/>
      <c r="M5" s="17"/>
      <c r="N5" s="17">
        <f>SUM(N6:N12)</f>
        <v>723.53315440098788</v>
      </c>
      <c r="O5" s="17">
        <f>B38*B39*B40</f>
        <v>3.1266666666666669</v>
      </c>
      <c r="P5" s="17">
        <f>B46*B47*B48/1000-B46*B47*B48/1000/B49</f>
        <v>0</v>
      </c>
      <c r="R5" s="32"/>
    </row>
    <row r="6" spans="1:18">
      <c r="A6" s="32" t="s">
        <v>54</v>
      </c>
      <c r="B6" s="37">
        <f>B26</f>
        <v>2694.8602500000002</v>
      </c>
      <c r="C6" s="33"/>
      <c r="D6" s="37">
        <f>IF(ISERROR(TER_kantoor_gas_kWh/1000),0,TER_kantoor_gas_kWh/1000)*0.902</f>
        <v>6010.8217444000002</v>
      </c>
      <c r="E6" s="33">
        <f>$C$26*'E Balans VL '!I12/100/3.6*1000000</f>
        <v>1.6890487750522598E-2</v>
      </c>
      <c r="F6" s="33">
        <f>$C$26*('E Balans VL '!L12+'E Balans VL '!N12)/100/3.6*1000000</f>
        <v>404.96219399782029</v>
      </c>
      <c r="G6" s="34"/>
      <c r="H6" s="33"/>
      <c r="I6" s="33"/>
      <c r="J6" s="33">
        <f>$C$26*('E Balans VL '!D12+'E Balans VL '!E12)/100/3.6*1000000</f>
        <v>0</v>
      </c>
      <c r="K6" s="33"/>
      <c r="L6" s="33"/>
      <c r="M6" s="33"/>
      <c r="N6" s="33">
        <f>$C$26*'E Balans VL '!Y12/100/3.6*1000000</f>
        <v>2.577234272243901</v>
      </c>
      <c r="O6" s="33"/>
      <c r="P6" s="33"/>
      <c r="R6" s="32"/>
    </row>
    <row r="7" spans="1:18">
      <c r="A7" s="32" t="s">
        <v>53</v>
      </c>
      <c r="B7" s="37">
        <f t="shared" ref="B7:B12" si="0">B27</f>
        <v>2508.9234500000002</v>
      </c>
      <c r="C7" s="33"/>
      <c r="D7" s="37">
        <f>IF(ISERROR(TER_horeca_gas_kWh/1000),0,TER_horeca_gas_kWh/1000)*0.902</f>
        <v>5488.2133174000001</v>
      </c>
      <c r="E7" s="33">
        <f>$C$27*'E Balans VL '!I9/100/3.6*1000000</f>
        <v>35.927365897130869</v>
      </c>
      <c r="F7" s="33">
        <f>$C$27*('E Balans VL '!L9+'E Balans VL '!N9)/100/3.6*1000000</f>
        <v>317.71245625329937</v>
      </c>
      <c r="G7" s="34"/>
      <c r="H7" s="33"/>
      <c r="I7" s="33"/>
      <c r="J7" s="33">
        <f>$C$27*('E Balans VL '!D9+'E Balans VL '!E9)/100/3.6*1000000</f>
        <v>0</v>
      </c>
      <c r="K7" s="33"/>
      <c r="L7" s="33"/>
      <c r="M7" s="33"/>
      <c r="N7" s="33">
        <f>$C$27*'E Balans VL '!Y9/100/3.6*1000000</f>
        <v>0.72126017486132166</v>
      </c>
      <c r="O7" s="33"/>
      <c r="P7" s="33"/>
      <c r="R7" s="32"/>
    </row>
    <row r="8" spans="1:18">
      <c r="A8" s="6" t="s">
        <v>52</v>
      </c>
      <c r="B8" s="37">
        <f t="shared" si="0"/>
        <v>2905.4065499999997</v>
      </c>
      <c r="C8" s="33"/>
      <c r="D8" s="37">
        <f>IF(ISERROR(TER_handel_gas_kWh/1000),0,TER_handel_gas_kWh/1000)*0.902</f>
        <v>2838.8763260000001</v>
      </c>
      <c r="E8" s="33">
        <f>$C$28*'E Balans VL '!I13/100/3.6*1000000</f>
        <v>105.3787372898157</v>
      </c>
      <c r="F8" s="33">
        <f>$C$28*('E Balans VL '!L13+'E Balans VL '!N13)/100/3.6*1000000</f>
        <v>559.61072064172754</v>
      </c>
      <c r="G8" s="34"/>
      <c r="H8" s="33"/>
      <c r="I8" s="33"/>
      <c r="J8" s="33">
        <f>$C$28*('E Balans VL '!D13+'E Balans VL '!E13)/100/3.6*1000000</f>
        <v>0</v>
      </c>
      <c r="K8" s="33"/>
      <c r="L8" s="33"/>
      <c r="M8" s="33"/>
      <c r="N8" s="33">
        <f>$C$28*'E Balans VL '!Y13/100/3.6*1000000</f>
        <v>4.0246565759827604</v>
      </c>
      <c r="O8" s="33"/>
      <c r="P8" s="33"/>
      <c r="R8" s="32"/>
    </row>
    <row r="9" spans="1:18">
      <c r="A9" s="32" t="s">
        <v>51</v>
      </c>
      <c r="B9" s="37">
        <f t="shared" si="0"/>
        <v>1609.48795</v>
      </c>
      <c r="C9" s="33"/>
      <c r="D9" s="37">
        <f>IF(ISERROR(TER_gezond_gas_kWh/1000),0,TER_gezond_gas_kWh/1000)*0.902</f>
        <v>3974.9985440000005</v>
      </c>
      <c r="E9" s="33">
        <f>$C$29*'E Balans VL '!I10/100/3.6*1000000</f>
        <v>0.10076983649266315</v>
      </c>
      <c r="F9" s="33">
        <f>$C$29*('E Balans VL '!L10+'E Balans VL '!N10)/100/3.6*1000000</f>
        <v>239.09433539661603</v>
      </c>
      <c r="G9" s="34"/>
      <c r="H9" s="33"/>
      <c r="I9" s="33"/>
      <c r="J9" s="33">
        <f>$C$29*('E Balans VL '!D10+'E Balans VL '!E10)/100/3.6*1000000</f>
        <v>0</v>
      </c>
      <c r="K9" s="33"/>
      <c r="L9" s="33"/>
      <c r="M9" s="33"/>
      <c r="N9" s="33">
        <f>$C$29*'E Balans VL '!Y10/100/3.6*1000000</f>
        <v>24.89571491291191</v>
      </c>
      <c r="O9" s="33"/>
      <c r="P9" s="33"/>
      <c r="R9" s="32"/>
    </row>
    <row r="10" spans="1:18">
      <c r="A10" s="32" t="s">
        <v>50</v>
      </c>
      <c r="B10" s="37">
        <f t="shared" si="0"/>
        <v>812.36426899999992</v>
      </c>
      <c r="C10" s="33"/>
      <c r="D10" s="37">
        <f>IF(ISERROR(TER_ander_gas_kWh/1000),0,TER_ander_gas_kWh/1000)*0.902</f>
        <v>1141.3916118</v>
      </c>
      <c r="E10" s="33">
        <f>$C$30*'E Balans VL '!I14/100/3.6*1000000</f>
        <v>0.96830917965406382</v>
      </c>
      <c r="F10" s="33">
        <f>$C$30*('E Balans VL '!L14+'E Balans VL '!N14)/100/3.6*1000000</f>
        <v>212.55060764922365</v>
      </c>
      <c r="G10" s="34"/>
      <c r="H10" s="33"/>
      <c r="I10" s="33"/>
      <c r="J10" s="33">
        <f>$C$30*('E Balans VL '!D14+'E Balans VL '!E14)/100/3.6*1000000</f>
        <v>1.7633243899982491E-2</v>
      </c>
      <c r="K10" s="33"/>
      <c r="L10" s="33"/>
      <c r="M10" s="33"/>
      <c r="N10" s="33">
        <f>$C$30*'E Balans VL '!Y14/100/3.6*1000000</f>
        <v>689.83985896094407</v>
      </c>
      <c r="O10" s="33"/>
      <c r="P10" s="33"/>
      <c r="R10" s="32"/>
    </row>
    <row r="11" spans="1:18">
      <c r="A11" s="32" t="s">
        <v>55</v>
      </c>
      <c r="B11" s="37">
        <f t="shared" si="0"/>
        <v>523.94799999999998</v>
      </c>
      <c r="C11" s="33"/>
      <c r="D11" s="37">
        <f>IF(ISERROR(TER_onderwijs_gas_kWh/1000),0,TER_onderwijs_gas_kWh/1000)*0.902</f>
        <v>1080.481446</v>
      </c>
      <c r="E11" s="33">
        <f>$C$31*'E Balans VL '!I11/100/3.6*1000000</f>
        <v>7.9055314214999495</v>
      </c>
      <c r="F11" s="33">
        <f>$C$31*('E Balans VL '!L11+'E Balans VL '!N11)/100/3.6*1000000</f>
        <v>91.804059918314167</v>
      </c>
      <c r="G11" s="34"/>
      <c r="H11" s="33"/>
      <c r="I11" s="33"/>
      <c r="J11" s="33">
        <f>$C$31*('E Balans VL '!D11+'E Balans VL '!E11)/100/3.6*1000000</f>
        <v>0</v>
      </c>
      <c r="K11" s="33"/>
      <c r="L11" s="33"/>
      <c r="M11" s="33"/>
      <c r="N11" s="33">
        <f>$C$31*'E Balans VL '!Y11/100/3.6*1000000</f>
        <v>1.4744295040438389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11054.990469</v>
      </c>
      <c r="C16" s="21">
        <f t="shared" ca="1" si="1"/>
        <v>0</v>
      </c>
      <c r="D16" s="21">
        <f t="shared" ca="1" si="1"/>
        <v>20534.782989600004</v>
      </c>
      <c r="E16" s="21">
        <f t="shared" si="1"/>
        <v>150.29760411234378</v>
      </c>
      <c r="F16" s="21">
        <f t="shared" ca="1" si="1"/>
        <v>1825.7343738570009</v>
      </c>
      <c r="G16" s="21">
        <f t="shared" si="1"/>
        <v>0</v>
      </c>
      <c r="H16" s="21">
        <f t="shared" si="1"/>
        <v>0</v>
      </c>
      <c r="I16" s="21">
        <f t="shared" si="1"/>
        <v>0</v>
      </c>
      <c r="J16" s="21">
        <f t="shared" si="1"/>
        <v>1.7633243899982491E-2</v>
      </c>
      <c r="K16" s="21">
        <f t="shared" si="1"/>
        <v>0</v>
      </c>
      <c r="L16" s="21">
        <f t="shared" ca="1" si="1"/>
        <v>0</v>
      </c>
      <c r="M16" s="21">
        <f t="shared" si="1"/>
        <v>0</v>
      </c>
      <c r="N16" s="21">
        <f t="shared" ca="1" si="1"/>
        <v>723.53315440098788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0.21007501485746768</v>
      </c>
      <c r="C18" s="25">
        <f ca="1">'EF ele_warmte'!B22</f>
        <v>0.21503022675658084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2322.3772870243388</v>
      </c>
      <c r="C20" s="23">
        <f t="shared" ref="C20:P20" ca="1" si="2">C16*C18</f>
        <v>0</v>
      </c>
      <c r="D20" s="23">
        <f t="shared" ca="1" si="2"/>
        <v>4148.0261638992015</v>
      </c>
      <c r="E20" s="23">
        <f t="shared" si="2"/>
        <v>34.117556133502042</v>
      </c>
      <c r="F20" s="23">
        <f t="shared" ca="1" si="2"/>
        <v>487.4710778198193</v>
      </c>
      <c r="G20" s="23">
        <f t="shared" si="2"/>
        <v>0</v>
      </c>
      <c r="H20" s="23">
        <f t="shared" si="2"/>
        <v>0</v>
      </c>
      <c r="I20" s="23">
        <f t="shared" si="2"/>
        <v>0</v>
      </c>
      <c r="J20" s="23">
        <f t="shared" si="2"/>
        <v>6.2421683405938016E-3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2694.8602500000002</v>
      </c>
      <c r="C26" s="39">
        <f>IF(ISERROR(B26*3.6/1000000/'E Balans VL '!Z12*100),0,B26*3.6/1000000/'E Balans VL '!Z12*100)</f>
        <v>5.696507668153495E-2</v>
      </c>
      <c r="D26" s="237" t="s">
        <v>754</v>
      </c>
      <c r="F26" s="6"/>
    </row>
    <row r="27" spans="1:18">
      <c r="A27" s="231" t="s">
        <v>53</v>
      </c>
      <c r="B27" s="33">
        <f>IF(ISERROR(TER_horeca_ele_kWh/1000),0,TER_horeca_ele_kWh/1000)</f>
        <v>2508.9234500000002</v>
      </c>
      <c r="C27" s="39">
        <f>IF(ISERROR(B27*3.6/1000000/'E Balans VL '!Z9*100),0,B27*3.6/1000000/'E Balans VL '!Z9*100)</f>
        <v>0.19777750043999046</v>
      </c>
      <c r="D27" s="237" t="s">
        <v>754</v>
      </c>
      <c r="F27" s="6"/>
    </row>
    <row r="28" spans="1:18">
      <c r="A28" s="171" t="s">
        <v>52</v>
      </c>
      <c r="B28" s="33">
        <f>IF(ISERROR(TER_handel_ele_kWh/1000),0,TER_handel_ele_kWh/1000)</f>
        <v>2905.4065499999997</v>
      </c>
      <c r="C28" s="39">
        <f>IF(ISERROR(B28*3.6/1000000/'E Balans VL '!Z13*100),0,B28*3.6/1000000/'E Balans VL '!Z13*100)</f>
        <v>8.4326637238906307E-2</v>
      </c>
      <c r="D28" s="237" t="s">
        <v>754</v>
      </c>
      <c r="F28" s="6"/>
    </row>
    <row r="29" spans="1:18">
      <c r="A29" s="231" t="s">
        <v>51</v>
      </c>
      <c r="B29" s="33">
        <f>IF(ISERROR(TER_gezond_ele_kWh/1000),0,TER_gezond_ele_kWh/1000)</f>
        <v>1609.48795</v>
      </c>
      <c r="C29" s="39">
        <f>IF(ISERROR(B29*3.6/1000000/'E Balans VL '!Z10*100),0,B29*3.6/1000000/'E Balans VL '!Z10*100)</f>
        <v>0.16950550962474897</v>
      </c>
      <c r="D29" s="237" t="s">
        <v>754</v>
      </c>
      <c r="F29" s="6"/>
    </row>
    <row r="30" spans="1:18">
      <c r="A30" s="231" t="s">
        <v>50</v>
      </c>
      <c r="B30" s="33">
        <f>IF(ISERROR(TER_ander_ele_kWh/1000),0,TER_ander_ele_kWh/1000)</f>
        <v>812.36426899999992</v>
      </c>
      <c r="C30" s="39">
        <f>IF(ISERROR(B30*3.6/1000000/'E Balans VL '!Z14*100),0,B30*3.6/1000000/'E Balans VL '!Z14*100)</f>
        <v>5.9920164926081522E-2</v>
      </c>
      <c r="D30" s="237" t="s">
        <v>754</v>
      </c>
      <c r="F30" s="6"/>
    </row>
    <row r="31" spans="1:18">
      <c r="A31" s="231" t="s">
        <v>55</v>
      </c>
      <c r="B31" s="33">
        <f>IF(ISERROR(TER_onderwijs_ele_kWh/1000),0,TER_onderwijs_ele_kWh/1000)</f>
        <v>523.94799999999998</v>
      </c>
      <c r="C31" s="39">
        <f>IF(ISERROR(B31*3.6/1000000/'E Balans VL '!Z11*100),0,B31*3.6/1000000/'E Balans VL '!Z11*100)</f>
        <v>0.13012083156971782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8284.1434000000008</v>
      </c>
      <c r="C5" s="17">
        <f>IF(ISERROR('Eigen informatie GS &amp; warmtenet'!B59),0,'Eigen informatie GS &amp; warmtenet'!B59)</f>
        <v>0</v>
      </c>
      <c r="D5" s="30">
        <f>SUM(D6:D15)</f>
        <v>2789.0433515999998</v>
      </c>
      <c r="E5" s="17">
        <f>SUM(E6:E15)</f>
        <v>208.45972327397459</v>
      </c>
      <c r="F5" s="17">
        <f>SUM(F6:F15)</f>
        <v>748.86510108930895</v>
      </c>
      <c r="G5" s="18"/>
      <c r="H5" s="17"/>
      <c r="I5" s="17"/>
      <c r="J5" s="17">
        <f>SUM(J6:J15)</f>
        <v>1.1337236882046628</v>
      </c>
      <c r="K5" s="17"/>
      <c r="L5" s="17"/>
      <c r="M5" s="17"/>
      <c r="N5" s="17">
        <f>SUM(N6:N15)</f>
        <v>20977.525875745381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161.08720000000002</v>
      </c>
      <c r="C8" s="33"/>
      <c r="D8" s="37">
        <f>IF( ISERROR(IND_metaal_Gas_kWH/1000),0,IND_metaal_Gas_kWH/1000)*0.902</f>
        <v>65.3605436</v>
      </c>
      <c r="E8" s="33">
        <f>C30*'E Balans VL '!I18/100/3.6*1000000</f>
        <v>1.4810412245026747</v>
      </c>
      <c r="F8" s="33">
        <f>C30*'E Balans VL '!L18/100/3.6*1000000+C30*'E Balans VL '!N18/100/3.6*1000000</f>
        <v>15.104616224230812</v>
      </c>
      <c r="G8" s="34"/>
      <c r="H8" s="33"/>
      <c r="I8" s="33"/>
      <c r="J8" s="40">
        <f>C30*'E Balans VL '!D18/100/3.6*1000000+C30*'E Balans VL '!E18/100/3.6*1000000</f>
        <v>0</v>
      </c>
      <c r="K8" s="33"/>
      <c r="L8" s="33"/>
      <c r="M8" s="33"/>
      <c r="N8" s="33">
        <f>C30*'E Balans VL '!Y18/100/3.6*1000000</f>
        <v>2.2981751158082906</v>
      </c>
      <c r="O8" s="33"/>
      <c r="P8" s="33"/>
      <c r="R8" s="32"/>
    </row>
    <row r="9" spans="1:18">
      <c r="A9" s="6" t="s">
        <v>33</v>
      </c>
      <c r="B9" s="37">
        <f t="shared" si="0"/>
        <v>669.5551999999999</v>
      </c>
      <c r="C9" s="33"/>
      <c r="D9" s="37">
        <f>IF( ISERROR(IND_andere_gas_kWh/1000),0,IND_andere_gas_kWh/1000)*0.902</f>
        <v>694.13319799999999</v>
      </c>
      <c r="E9" s="33">
        <f>C31*'E Balans VL '!I19/100/3.6*1000000</f>
        <v>195.7240196623097</v>
      </c>
      <c r="F9" s="33">
        <f>C31*'E Balans VL '!L19/100/3.6*1000000+C31*'E Balans VL '!N19/100/3.6*1000000</f>
        <v>538.03828387179965</v>
      </c>
      <c r="G9" s="34"/>
      <c r="H9" s="33"/>
      <c r="I9" s="33"/>
      <c r="J9" s="40">
        <f>C31*'E Balans VL '!D19/100/3.6*1000000+C31*'E Balans VL '!E19/100/3.6*1000000</f>
        <v>0</v>
      </c>
      <c r="K9" s="33"/>
      <c r="L9" s="33"/>
      <c r="M9" s="33"/>
      <c r="N9" s="33">
        <f>C31*'E Balans VL '!Y19/100/3.6*1000000</f>
        <v>221.23142214492117</v>
      </c>
      <c r="O9" s="33"/>
      <c r="P9" s="33"/>
      <c r="R9" s="32"/>
    </row>
    <row r="10" spans="1:18">
      <c r="A10" s="6" t="s">
        <v>41</v>
      </c>
      <c r="B10" s="37">
        <f t="shared" si="0"/>
        <v>313.11599999999999</v>
      </c>
      <c r="C10" s="33"/>
      <c r="D10" s="37">
        <f>IF( ISERROR(IND_voed_gas_kWh/1000),0,IND_voed_gas_kWh/1000)*0.902</f>
        <v>262.30069800000001</v>
      </c>
      <c r="E10" s="33">
        <f>C32*'E Balans VL '!I20/100/3.6*1000000</f>
        <v>0.66240175292108106</v>
      </c>
      <c r="F10" s="33">
        <f>C32*'E Balans VL '!L20/100/3.6*1000000+C32*'E Balans VL '!N20/100/3.6*1000000</f>
        <v>19.908235118614879</v>
      </c>
      <c r="G10" s="34"/>
      <c r="H10" s="33"/>
      <c r="I10" s="33"/>
      <c r="J10" s="40">
        <f>C32*'E Balans VL '!D20/100/3.6*1000000+C32*'E Balans VL '!E20/100/3.6*1000000</f>
        <v>0</v>
      </c>
      <c r="K10" s="33"/>
      <c r="L10" s="33"/>
      <c r="M10" s="33"/>
      <c r="N10" s="33">
        <f>C32*'E Balans VL '!Y20/100/3.6*1000000</f>
        <v>21.608093904188515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7131.8029999999999</v>
      </c>
      <c r="C13" s="33"/>
      <c r="D13" s="37">
        <f>IF( ISERROR(IND_papier_gas_kWh/1000),0,IND_papier_gas_kWh/1000)*0.902</f>
        <v>1734.4188179999999</v>
      </c>
      <c r="E13" s="33">
        <f>C35*'E Balans VL '!I23/100/3.6*1000000</f>
        <v>10.118397426315557</v>
      </c>
      <c r="F13" s="33">
        <f>C35*'E Balans VL '!L23/100/3.6*1000000+C35*'E Balans VL '!N23/100/3.6*1000000</f>
        <v>174.1141285383101</v>
      </c>
      <c r="G13" s="34"/>
      <c r="H13" s="33"/>
      <c r="I13" s="33"/>
      <c r="J13" s="40">
        <f>C35*'E Balans VL '!D23/100/3.6*1000000+C35*'E Balans VL '!E23/100/3.6*1000000</f>
        <v>1.1030002913967802</v>
      </c>
      <c r="K13" s="33"/>
      <c r="L13" s="33"/>
      <c r="M13" s="33"/>
      <c r="N13" s="33">
        <f>C35*'E Balans VL '!Y23/100/3.6*1000000</f>
        <v>20730.463107272306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8.5820000000000007</v>
      </c>
      <c r="C15" s="33"/>
      <c r="D15" s="37">
        <f>IF( ISERROR(IND_rest_gas_kWh/1000),0,IND_rest_gas_kWh/1000)*0.902</f>
        <v>32.830094000000003</v>
      </c>
      <c r="E15" s="33">
        <f>C37*'E Balans VL '!I15/100/3.6*1000000</f>
        <v>0.4738632079255769</v>
      </c>
      <c r="F15" s="33">
        <f>C37*'E Balans VL '!L15/100/3.6*1000000+C37*'E Balans VL '!N15/100/3.6*1000000</f>
        <v>1.6998373363534924</v>
      </c>
      <c r="G15" s="34"/>
      <c r="H15" s="33"/>
      <c r="I15" s="33"/>
      <c r="J15" s="40">
        <f>C37*'E Balans VL '!D15/100/3.6*1000000+C37*'E Balans VL '!E15/100/3.6*1000000</f>
        <v>3.0723396807882525E-2</v>
      </c>
      <c r="K15" s="33"/>
      <c r="L15" s="33"/>
      <c r="M15" s="33"/>
      <c r="N15" s="33">
        <f>C37*'E Balans VL '!Y15/100/3.6*1000000</f>
        <v>1.9250773081595109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8284.1434000000008</v>
      </c>
      <c r="C18" s="21">
        <f>C5+C16</f>
        <v>0</v>
      </c>
      <c r="D18" s="21">
        <f>MAX((D5+D16),0)</f>
        <v>2789.0433515999998</v>
      </c>
      <c r="E18" s="21">
        <f>MAX((E5+E16),0)</f>
        <v>208.45972327397459</v>
      </c>
      <c r="F18" s="21">
        <f>MAX((F5+F16),0)</f>
        <v>748.86510108930895</v>
      </c>
      <c r="G18" s="21"/>
      <c r="H18" s="21"/>
      <c r="I18" s="21"/>
      <c r="J18" s="21">
        <f>MAX((J5+J16),0)</f>
        <v>1.1337236882046628</v>
      </c>
      <c r="K18" s="21"/>
      <c r="L18" s="21">
        <f>MAX((L5+L16),0)</f>
        <v>0</v>
      </c>
      <c r="M18" s="21"/>
      <c r="N18" s="21">
        <f>MAX((N5+N16),0)</f>
        <v>20977.525875745381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0.21007501485746768</v>
      </c>
      <c r="C20" s="25">
        <f ca="1">'EF ele_warmte'!B22</f>
        <v>0.21503022675658084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1740.291547836393</v>
      </c>
      <c r="C22" s="23">
        <f ca="1">C18*C20</f>
        <v>0</v>
      </c>
      <c r="D22" s="23">
        <f>D18*D20</f>
        <v>563.38675702319995</v>
      </c>
      <c r="E22" s="23">
        <f>E18*E20</f>
        <v>47.320357183192236</v>
      </c>
      <c r="F22" s="23">
        <f>F18*F20</f>
        <v>199.9469819908455</v>
      </c>
      <c r="G22" s="23"/>
      <c r="H22" s="23"/>
      <c r="I22" s="23"/>
      <c r="J22" s="23">
        <f>J18*J20</f>
        <v>0.40133818562445062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161.08720000000002</v>
      </c>
      <c r="C30" s="39">
        <f>IF(ISERROR(B30*3.6/1000000/'E Balans VL '!Z18*100),0,B30*3.6/1000000/'E Balans VL '!Z18*100)</f>
        <v>9.1292246785965713E-3</v>
      </c>
      <c r="D30" s="237" t="s">
        <v>754</v>
      </c>
    </row>
    <row r="31" spans="1:18">
      <c r="A31" s="6" t="s">
        <v>33</v>
      </c>
      <c r="B31" s="37">
        <f>IF( ISERROR(IND_ander_ele_kWh/1000),0,IND_ander_ele_kWh/1000)</f>
        <v>669.5551999999999</v>
      </c>
      <c r="C31" s="39">
        <f>IF(ISERROR(B31*3.6/1000000/'E Balans VL '!Z19*100),0,B31*3.6/1000000/'E Balans VL '!Z19*100)</f>
        <v>3.0368235892671121E-2</v>
      </c>
      <c r="D31" s="237" t="s">
        <v>754</v>
      </c>
    </row>
    <row r="32" spans="1:18">
      <c r="A32" s="171" t="s">
        <v>41</v>
      </c>
      <c r="B32" s="37">
        <f>IF( ISERROR(IND_voed_ele_kWh/1000),0,IND_voed_ele_kWh/1000)</f>
        <v>313.11599999999999</v>
      </c>
      <c r="C32" s="39">
        <f>IF(ISERROR(B32*3.6/1000000/'E Balans VL '!Z20*100),0,B32*3.6/1000000/'E Balans VL '!Z20*100)</f>
        <v>9.6860993066211418E-3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7131.8029999999999</v>
      </c>
      <c r="C35" s="39">
        <f>IF(ISERROR(B35*3.6/1000000/'E Balans VL '!Z22*100),0,B35*3.6/1000000/'E Balans VL '!Z22*100)</f>
        <v>1.2827888500090252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8.5820000000000007</v>
      </c>
      <c r="C37" s="39">
        <f>IF(ISERROR(B37*3.6/1000000/'E Balans VL '!Z15*100),0,B37*3.6/1000000/'E Balans VL '!Z15*100)</f>
        <v>6.8022889698376055E-5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4873.9780000000001</v>
      </c>
      <c r="C5" s="17">
        <f>'Eigen informatie GS &amp; warmtenet'!B60</f>
        <v>0</v>
      </c>
      <c r="D5" s="30">
        <f>IF(ISERROR(SUM(LB_lb_gas_kWh,LB_rest_gas_kWh)/1000),0,SUM(LB_lb_gas_kWh,LB_rest_gas_kWh)/1000)*0.902</f>
        <v>249458.38550599999</v>
      </c>
      <c r="E5" s="17">
        <f>B17*'E Balans VL '!I25/3.6*1000000/100</f>
        <v>143.2611002670742</v>
      </c>
      <c r="F5" s="17">
        <f>B17*('E Balans VL '!L25/3.6*1000000+'E Balans VL '!N25/3.6*1000000)/100</f>
        <v>20304.728972052868</v>
      </c>
      <c r="G5" s="18"/>
      <c r="H5" s="17"/>
      <c r="I5" s="17"/>
      <c r="J5" s="17">
        <f>('E Balans VL '!D25+'E Balans VL '!E25)/3.6*1000000*landbouw!B17/100</f>
        <v>706.13474232430565</v>
      </c>
      <c r="K5" s="17"/>
      <c r="L5" s="17">
        <f>L6*(-1)</f>
        <v>32448.214285714294</v>
      </c>
      <c r="M5" s="17"/>
      <c r="N5" s="17">
        <f>N6*(-1)</f>
        <v>0</v>
      </c>
      <c r="O5" s="17"/>
      <c r="P5" s="17"/>
      <c r="R5" s="32"/>
    </row>
    <row r="6" spans="1:18">
      <c r="A6" s="16" t="s">
        <v>488</v>
      </c>
      <c r="B6" s="17" t="s">
        <v>211</v>
      </c>
      <c r="C6" s="17">
        <f>'lokale energieproductie'!O92+'lokale energieproductie'!O61</f>
        <v>152190.00000000003</v>
      </c>
      <c r="D6" s="310">
        <f>('lokale energieproductie'!P61+'lokale energieproductie'!P92)*(-1)</f>
        <v>-261115.71428571432</v>
      </c>
      <c r="E6" s="248"/>
      <c r="F6" s="310">
        <f>('lokale energieproductie'!S61+'lokale energieproductie'!S92)*(-1)</f>
        <v>-10816.071428571431</v>
      </c>
      <c r="G6" s="249"/>
      <c r="H6" s="248"/>
      <c r="I6" s="248"/>
      <c r="J6" s="248"/>
      <c r="K6" s="248"/>
      <c r="L6" s="310">
        <f>('lokale energieproductie'!T61+'lokale energieproductie'!U61+'lokale energieproductie'!T92+'lokale energieproductie'!U92)*(-1)</f>
        <v>-32448.214285714294</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4873.9780000000001</v>
      </c>
      <c r="C8" s="21">
        <f>C5+C6</f>
        <v>152190.00000000003</v>
      </c>
      <c r="D8" s="21">
        <f>MAX((D5+D6),0)</f>
        <v>0</v>
      </c>
      <c r="E8" s="21">
        <f>MAX((E5+E6),0)</f>
        <v>143.2611002670742</v>
      </c>
      <c r="F8" s="21">
        <f>MAX((F5+F6),0)</f>
        <v>9488.6575434814367</v>
      </c>
      <c r="G8" s="21"/>
      <c r="H8" s="21"/>
      <c r="I8" s="21"/>
      <c r="J8" s="21">
        <f>MAX((J5+J6),0)</f>
        <v>706.13474232430565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0.21007501485746768</v>
      </c>
      <c r="C10" s="31">
        <f ca="1">'EF ele_warmte'!B22</f>
        <v>0.21503022675658084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1023.9010007649706</v>
      </c>
      <c r="C12" s="23">
        <f ca="1">C8*C10</f>
        <v>32725.450210084044</v>
      </c>
      <c r="D12" s="23">
        <f>D8*D10</f>
        <v>0</v>
      </c>
      <c r="E12" s="23">
        <f>E8*E10</f>
        <v>32.520269760625844</v>
      </c>
      <c r="F12" s="23">
        <f>F8*F10</f>
        <v>2533.4715641095436</v>
      </c>
      <c r="G12" s="23"/>
      <c r="H12" s="23"/>
      <c r="I12" s="23"/>
      <c r="J12" s="23">
        <f>J8*J10</f>
        <v>249.9716987828042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0.69163276983962751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29.527218603467681</v>
      </c>
      <c r="C26" s="247">
        <f>B26*'GWP N2O_CH4'!B5</f>
        <v>620.07159067282134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2.4702149038573875</v>
      </c>
      <c r="C27" s="247">
        <f>B27*'GWP N2O_CH4'!B5</f>
        <v>51.87451298100514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0.38212328349286778</v>
      </c>
      <c r="C28" s="247">
        <f>B28*'GWP N2O_CH4'!B4</f>
        <v>118.45821788278901</v>
      </c>
      <c r="D28" s="50"/>
    </row>
    <row r="29" spans="1:4">
      <c r="A29" s="41" t="s">
        <v>277</v>
      </c>
      <c r="B29" s="247">
        <f>B34*'ha_N2O bodem landbouw'!B4</f>
        <v>6.6420256218546028</v>
      </c>
      <c r="C29" s="247">
        <f>B29*'GWP N2O_CH4'!B4</f>
        <v>2059.0279427749269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1.5156873574686432E-3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7.0918873385696855E-5</v>
      </c>
      <c r="C5" s="463" t="s">
        <v>211</v>
      </c>
      <c r="D5" s="448">
        <f>SUM(D6:D11)</f>
        <v>2.309825214720514E-4</v>
      </c>
      <c r="E5" s="448">
        <f>SUM(E6:E11)</f>
        <v>3.1134155983840022E-4</v>
      </c>
      <c r="F5" s="461" t="s">
        <v>211</v>
      </c>
      <c r="G5" s="448">
        <f>SUM(G6:G11)</f>
        <v>0.12160670799610064</v>
      </c>
      <c r="H5" s="448">
        <f>SUM(H6:H11)</f>
        <v>2.6150367860207507E-2</v>
      </c>
      <c r="I5" s="463" t="s">
        <v>211</v>
      </c>
      <c r="J5" s="463" t="s">
        <v>211</v>
      </c>
      <c r="K5" s="463" t="s">
        <v>211</v>
      </c>
      <c r="L5" s="463" t="s">
        <v>211</v>
      </c>
      <c r="M5" s="448">
        <f>SUM(M6:M11)</f>
        <v>7.8763696749548848E-3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6.3091179580562629E-5</v>
      </c>
      <c r="C6" s="449"/>
      <c r="D6" s="892">
        <f>vkm_2011_GW_PW*SUMIFS(TableVerdeelsleutelVkm[CNG],TableVerdeelsleutelVkm[Voertuigtype],"Lichte voertuigen")*SUMIFS(TableECFTransport[EnergieConsumptieFactor (PJ per km)],TableECFTransport[Index],CONCATENATE($A6,"_CNG_CNG"))</f>
        <v>1.8923732769840084E-4</v>
      </c>
      <c r="E6" s="892">
        <f>vkm_2011_GW_PW*SUMIFS(TableVerdeelsleutelVkm[LPG],TableVerdeelsleutelVkm[Voertuigtype],"Lichte voertuigen")*SUMIFS(TableECFTransport[EnergieConsumptieFactor (PJ per km)],TableECFTransport[Index],CONCATENATE($A6,"_LPG_LPG"))</f>
        <v>2.5852537223851948E-4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6.6842810273621558E-2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2.1523568559606091E-2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4.5401997026235028E-3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3.8478594171983495E-2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1.1727493614614079E-5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2.2485592240027276E-3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7.8276938051342258E-6</v>
      </c>
      <c r="C8" s="449"/>
      <c r="D8" s="451">
        <f>vkm_2011_NGW_PW*SUMIFS(TableVerdeelsleutelVkm[CNG],TableVerdeelsleutelVkm[Voertuigtype],"Lichte voertuigen")*SUMIFS(TableECFTransport[EnergieConsumptieFactor (PJ per km)],TableECFTransport[Index],CONCATENATE($A8,"_CNG_CNG"))</f>
        <v>4.1745193773650562E-5</v>
      </c>
      <c r="E8" s="451">
        <f>vkm_2011_NGW_PW*SUMIFS(TableVerdeelsleutelVkm[LPG],TableVerdeelsleutelVkm[Voertuigtype],"Lichte voertuigen")*SUMIFS(TableECFTransport[EnergieConsumptieFactor (PJ per km)],TableECFTransport[Index],CONCATENATE($A8,"_LPG_LPG"))</f>
        <v>5.2816187599880743E-5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1.2725802616985603E-2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4.6140505017199292E-3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8.7960739718903884E-4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3.5595009335099735E-3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1.0213052668755715E-6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2.0800335113961601E-4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19.699687051582462</v>
      </c>
      <c r="C14" s="21"/>
      <c r="D14" s="21">
        <f t="shared" ref="D14:M14" si="0">((D5)*10^9/3600)+D12</f>
        <v>64.161811520014268</v>
      </c>
      <c r="E14" s="21">
        <f t="shared" si="0"/>
        <v>86.483766621777846</v>
      </c>
      <c r="F14" s="21"/>
      <c r="G14" s="21">
        <f t="shared" si="0"/>
        <v>33779.641110027951</v>
      </c>
      <c r="H14" s="21">
        <f t="shared" si="0"/>
        <v>7263.9910722798622</v>
      </c>
      <c r="I14" s="21"/>
      <c r="J14" s="21"/>
      <c r="K14" s="21"/>
      <c r="L14" s="21"/>
      <c r="M14" s="21">
        <f t="shared" si="0"/>
        <v>2187.8804652652457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0.21007501485746768</v>
      </c>
      <c r="C16" s="56">
        <f ca="1">'EF ele_warmte'!B22</f>
        <v>0.21503022675658084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4.1384120500486494</v>
      </c>
      <c r="C18" s="23"/>
      <c r="D18" s="23">
        <f t="shared" ref="D18:M18" si="1">D14*D16</f>
        <v>12.960685927042883</v>
      </c>
      <c r="E18" s="23">
        <f t="shared" si="1"/>
        <v>19.63181502314357</v>
      </c>
      <c r="F18" s="23"/>
      <c r="G18" s="23">
        <f t="shared" si="1"/>
        <v>9019.1641763774642</v>
      </c>
      <c r="H18" s="23">
        <f t="shared" si="1"/>
        <v>1808.7337769976857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2.6753438700000002E-3</v>
      </c>
      <c r="C50" s="321">
        <f t="shared" ref="C50:P50" si="2">SUM(C51:C52)</f>
        <v>0</v>
      </c>
      <c r="D50" s="321">
        <f t="shared" si="2"/>
        <v>0</v>
      </c>
      <c r="E50" s="321">
        <f t="shared" si="2"/>
        <v>0</v>
      </c>
      <c r="F50" s="321">
        <f t="shared" si="2"/>
        <v>0</v>
      </c>
      <c r="G50" s="321">
        <f t="shared" si="2"/>
        <v>4.7821666751145103E-3</v>
      </c>
      <c r="H50" s="321">
        <f t="shared" si="2"/>
        <v>0</v>
      </c>
      <c r="I50" s="321">
        <f t="shared" si="2"/>
        <v>0</v>
      </c>
      <c r="J50" s="321">
        <f t="shared" si="2"/>
        <v>0</v>
      </c>
      <c r="K50" s="321">
        <f t="shared" si="2"/>
        <v>0</v>
      </c>
      <c r="L50" s="321">
        <f t="shared" si="2"/>
        <v>0</v>
      </c>
      <c r="M50" s="321">
        <f t="shared" si="2"/>
        <v>2.7160595590643312E-4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4.7821666751145103E-3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2.7160595590643312E-4</v>
      </c>
      <c r="N51" s="323"/>
      <c r="O51" s="323"/>
      <c r="P51" s="326"/>
    </row>
    <row r="52" spans="1:18">
      <c r="A52" s="4" t="s">
        <v>330</v>
      </c>
      <c r="B52" s="893">
        <f>vkm_2011_tram*SUMIFS(TableECFTransport[EnergieConsumptieFactor (PJ per km)],TableECFTransport[Index],"Tram_gemiddeld_Electric_Electric")</f>
        <v>2.6753438700000002E-3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743.15107499999999</v>
      </c>
      <c r="C54" s="21">
        <f t="shared" ref="C54:P54" si="3">(C50)*10^9/3600</f>
        <v>0</v>
      </c>
      <c r="D54" s="21">
        <f t="shared" si="3"/>
        <v>0</v>
      </c>
      <c r="E54" s="21">
        <f t="shared" si="3"/>
        <v>0</v>
      </c>
      <c r="F54" s="21">
        <f t="shared" si="3"/>
        <v>0</v>
      </c>
      <c r="G54" s="21">
        <f t="shared" si="3"/>
        <v>1328.379631976253</v>
      </c>
      <c r="H54" s="21">
        <f t="shared" si="3"/>
        <v>0</v>
      </c>
      <c r="I54" s="21">
        <f t="shared" si="3"/>
        <v>0</v>
      </c>
      <c r="J54" s="21">
        <f t="shared" si="3"/>
        <v>0</v>
      </c>
      <c r="K54" s="21">
        <f t="shared" si="3"/>
        <v>0</v>
      </c>
      <c r="L54" s="21">
        <f t="shared" si="3"/>
        <v>0</v>
      </c>
      <c r="M54" s="21">
        <f t="shared" si="3"/>
        <v>75.446098862898083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0.21007501485746768</v>
      </c>
      <c r="C56" s="56">
        <f ca="1">'EF ele_warmte'!B22</f>
        <v>0.21503022675658084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156.11747312196809</v>
      </c>
      <c r="C58" s="23">
        <f t="shared" ref="C58:P58" ca="1" si="4">C54*C56</f>
        <v>0</v>
      </c>
      <c r="D58" s="23">
        <f t="shared" si="4"/>
        <v>0</v>
      </c>
      <c r="E58" s="23">
        <f t="shared" si="4"/>
        <v>0</v>
      </c>
      <c r="F58" s="23">
        <f t="shared" si="4"/>
        <v>0</v>
      </c>
      <c r="G58" s="23">
        <f t="shared" si="4"/>
        <v>354.67736173765957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11619.203469</v>
      </c>
      <c r="D10" s="1013">
        <f ca="1">tertiair!C16</f>
        <v>0</v>
      </c>
      <c r="E10" s="1013">
        <f ca="1">tertiair!D16</f>
        <v>20534.782989600004</v>
      </c>
      <c r="F10" s="1013">
        <f>tertiair!E16</f>
        <v>150.29760411234378</v>
      </c>
      <c r="G10" s="1013">
        <f ca="1">tertiair!F16</f>
        <v>1825.7343738570009</v>
      </c>
      <c r="H10" s="1013">
        <f>tertiair!G16</f>
        <v>0</v>
      </c>
      <c r="I10" s="1013">
        <f>tertiair!H16</f>
        <v>0</v>
      </c>
      <c r="J10" s="1013">
        <f>tertiair!I16</f>
        <v>0</v>
      </c>
      <c r="K10" s="1013">
        <f>tertiair!J16</f>
        <v>1.7633243899982491E-2</v>
      </c>
      <c r="L10" s="1013">
        <f>tertiair!K16</f>
        <v>0</v>
      </c>
      <c r="M10" s="1013">
        <f ca="1">tertiair!L16</f>
        <v>0</v>
      </c>
      <c r="N10" s="1013">
        <f>tertiair!M16</f>
        <v>0</v>
      </c>
      <c r="O10" s="1013">
        <f ca="1">tertiair!N16</f>
        <v>723.53315440098788</v>
      </c>
      <c r="P10" s="1013">
        <f>tertiair!O16</f>
        <v>3.1266666666666669</v>
      </c>
      <c r="Q10" s="1014">
        <f>tertiair!P16</f>
        <v>0</v>
      </c>
      <c r="R10" s="700">
        <f ca="1">SUM(C10:Q10)</f>
        <v>34856.695890880903</v>
      </c>
      <c r="S10" s="67"/>
    </row>
    <row r="11" spans="1:19" s="473" customFormat="1">
      <c r="A11" s="809" t="s">
        <v>225</v>
      </c>
      <c r="B11" s="814"/>
      <c r="C11" s="1013">
        <f>huishoudens!B8</f>
        <v>20534.506715548549</v>
      </c>
      <c r="D11" s="1013">
        <f>huishoudens!C8</f>
        <v>0</v>
      </c>
      <c r="E11" s="1013">
        <f>huishoudens!D8</f>
        <v>58343.055534500003</v>
      </c>
      <c r="F11" s="1013">
        <f>huishoudens!E8</f>
        <v>1127.7639791083188</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8385.5092763103276</v>
      </c>
      <c r="P11" s="1013">
        <f>huishoudens!O8</f>
        <v>187.6</v>
      </c>
      <c r="Q11" s="1014">
        <f>huishoudens!P8</f>
        <v>781.73333333333335</v>
      </c>
      <c r="R11" s="700">
        <f>SUM(C11:Q11)</f>
        <v>89360.168838800542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8284.1434000000008</v>
      </c>
      <c r="D13" s="1013">
        <f>industrie!C18</f>
        <v>0</v>
      </c>
      <c r="E13" s="1013">
        <f>industrie!D18</f>
        <v>2789.0433515999998</v>
      </c>
      <c r="F13" s="1013">
        <f>industrie!E18</f>
        <v>208.45972327397459</v>
      </c>
      <c r="G13" s="1013">
        <f>industrie!F18</f>
        <v>748.86510108930895</v>
      </c>
      <c r="H13" s="1013">
        <f>industrie!G18</f>
        <v>0</v>
      </c>
      <c r="I13" s="1013">
        <f>industrie!H18</f>
        <v>0</v>
      </c>
      <c r="J13" s="1013">
        <f>industrie!I18</f>
        <v>0</v>
      </c>
      <c r="K13" s="1013">
        <f>industrie!J18</f>
        <v>1.1337236882046628</v>
      </c>
      <c r="L13" s="1013">
        <f>industrie!K18</f>
        <v>0</v>
      </c>
      <c r="M13" s="1013">
        <f>industrie!L18</f>
        <v>0</v>
      </c>
      <c r="N13" s="1013">
        <f>industrie!M18</f>
        <v>0</v>
      </c>
      <c r="O13" s="1013">
        <f>industrie!N18</f>
        <v>20977.525875745381</v>
      </c>
      <c r="P13" s="1013">
        <f>industrie!O18</f>
        <v>0</v>
      </c>
      <c r="Q13" s="1014">
        <f>industrie!P18</f>
        <v>0</v>
      </c>
      <c r="R13" s="700">
        <f>SUM(C13:Q13)</f>
        <v>33009.17117539687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40437.853584548546</v>
      </c>
      <c r="D16" s="732">
        <f t="shared" ref="D16:R16" ca="1" si="0">SUM(D9:D15)</f>
        <v>0</v>
      </c>
      <c r="E16" s="732">
        <f t="shared" ca="1" si="0"/>
        <v>81666.881875700012</v>
      </c>
      <c r="F16" s="732">
        <f t="shared" si="0"/>
        <v>1486.5213064946372</v>
      </c>
      <c r="G16" s="732">
        <f t="shared" ca="1" si="0"/>
        <v>2574.5994749463098</v>
      </c>
      <c r="H16" s="732">
        <f t="shared" si="0"/>
        <v>0</v>
      </c>
      <c r="I16" s="732">
        <f t="shared" si="0"/>
        <v>0</v>
      </c>
      <c r="J16" s="732">
        <f t="shared" si="0"/>
        <v>0</v>
      </c>
      <c r="K16" s="732">
        <f t="shared" si="0"/>
        <v>1.1513569321046453</v>
      </c>
      <c r="L16" s="732">
        <f t="shared" si="0"/>
        <v>0</v>
      </c>
      <c r="M16" s="732">
        <f t="shared" ca="1" si="0"/>
        <v>0</v>
      </c>
      <c r="N16" s="732">
        <f t="shared" si="0"/>
        <v>0</v>
      </c>
      <c r="O16" s="732">
        <f t="shared" ca="1" si="0"/>
        <v>30086.568306456698</v>
      </c>
      <c r="P16" s="732">
        <f t="shared" si="0"/>
        <v>190.72666666666666</v>
      </c>
      <c r="Q16" s="732">
        <f t="shared" si="0"/>
        <v>781.73333333333335</v>
      </c>
      <c r="R16" s="732">
        <f t="shared" ca="1" si="0"/>
        <v>157226.03590507832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743.15107499999999</v>
      </c>
      <c r="D19" s="1013">
        <f>transport!C54</f>
        <v>0</v>
      </c>
      <c r="E19" s="1013">
        <f>transport!D54</f>
        <v>0</v>
      </c>
      <c r="F19" s="1013">
        <f>transport!E54</f>
        <v>0</v>
      </c>
      <c r="G19" s="1013">
        <f>transport!F54</f>
        <v>0</v>
      </c>
      <c r="H19" s="1013">
        <f>transport!G54</f>
        <v>1328.379631976253</v>
      </c>
      <c r="I19" s="1013">
        <f>transport!H54</f>
        <v>0</v>
      </c>
      <c r="J19" s="1013">
        <f>transport!I54</f>
        <v>0</v>
      </c>
      <c r="K19" s="1013">
        <f>transport!J54</f>
        <v>0</v>
      </c>
      <c r="L19" s="1013">
        <f>transport!K54</f>
        <v>0</v>
      </c>
      <c r="M19" s="1013">
        <f>transport!L54</f>
        <v>0</v>
      </c>
      <c r="N19" s="1013">
        <f>transport!M54</f>
        <v>75.446098862898083</v>
      </c>
      <c r="O19" s="1013">
        <f>transport!N54</f>
        <v>0</v>
      </c>
      <c r="P19" s="1013">
        <f>transport!O54</f>
        <v>0</v>
      </c>
      <c r="Q19" s="1014">
        <f>transport!P54</f>
        <v>0</v>
      </c>
      <c r="R19" s="700">
        <f>SUM(C19:Q19)</f>
        <v>2146.976805839151</v>
      </c>
      <c r="S19" s="67"/>
    </row>
    <row r="20" spans="1:19" s="473" customFormat="1">
      <c r="A20" s="809" t="s">
        <v>307</v>
      </c>
      <c r="B20" s="814"/>
      <c r="C20" s="1013">
        <f>transport!B14</f>
        <v>19.699687051582462</v>
      </c>
      <c r="D20" s="1013">
        <f>transport!C14</f>
        <v>0</v>
      </c>
      <c r="E20" s="1013">
        <f>transport!D14</f>
        <v>64.161811520014268</v>
      </c>
      <c r="F20" s="1013">
        <f>transport!E14</f>
        <v>86.483766621777846</v>
      </c>
      <c r="G20" s="1013">
        <f>transport!F14</f>
        <v>0</v>
      </c>
      <c r="H20" s="1013">
        <f>transport!G14</f>
        <v>33779.641110027951</v>
      </c>
      <c r="I20" s="1013">
        <f>transport!H14</f>
        <v>7263.9910722798622</v>
      </c>
      <c r="J20" s="1013">
        <f>transport!I14</f>
        <v>0</v>
      </c>
      <c r="K20" s="1013">
        <f>transport!J14</f>
        <v>0</v>
      </c>
      <c r="L20" s="1013">
        <f>transport!K14</f>
        <v>0</v>
      </c>
      <c r="M20" s="1013">
        <f>transport!L14</f>
        <v>0</v>
      </c>
      <c r="N20" s="1013">
        <f>transport!M14</f>
        <v>2187.8804652652457</v>
      </c>
      <c r="O20" s="1013">
        <f>transport!N14</f>
        <v>0</v>
      </c>
      <c r="P20" s="1013">
        <f>transport!O14</f>
        <v>0</v>
      </c>
      <c r="Q20" s="1014">
        <f>transport!P14</f>
        <v>0</v>
      </c>
      <c r="R20" s="700">
        <f>SUM(C20:Q20)</f>
        <v>43401.857912766434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762.85076205158248</v>
      </c>
      <c r="D22" s="812">
        <f t="shared" ref="D22:R22" si="1">SUM(D18:D21)</f>
        <v>0</v>
      </c>
      <c r="E22" s="812">
        <f t="shared" si="1"/>
        <v>64.161811520014268</v>
      </c>
      <c r="F22" s="812">
        <f t="shared" si="1"/>
        <v>86.483766621777846</v>
      </c>
      <c r="G22" s="812">
        <f t="shared" si="1"/>
        <v>0</v>
      </c>
      <c r="H22" s="812">
        <f t="shared" si="1"/>
        <v>35108.020742004206</v>
      </c>
      <c r="I22" s="812">
        <f t="shared" si="1"/>
        <v>7263.9910722798622</v>
      </c>
      <c r="J22" s="812">
        <f t="shared" si="1"/>
        <v>0</v>
      </c>
      <c r="K22" s="812">
        <f t="shared" si="1"/>
        <v>0</v>
      </c>
      <c r="L22" s="812">
        <f t="shared" si="1"/>
        <v>0</v>
      </c>
      <c r="M22" s="812">
        <f t="shared" si="1"/>
        <v>0</v>
      </c>
      <c r="N22" s="812">
        <f t="shared" si="1"/>
        <v>2263.3265641281437</v>
      </c>
      <c r="O22" s="812">
        <f t="shared" si="1"/>
        <v>0</v>
      </c>
      <c r="P22" s="812">
        <f t="shared" si="1"/>
        <v>0</v>
      </c>
      <c r="Q22" s="812">
        <f t="shared" si="1"/>
        <v>0</v>
      </c>
      <c r="R22" s="812">
        <f t="shared" si="1"/>
        <v>45548.834718605583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4873.9780000000001</v>
      </c>
      <c r="D24" s="1013">
        <f>+landbouw!C8</f>
        <v>152190.00000000003</v>
      </c>
      <c r="E24" s="1013">
        <f>+landbouw!D8</f>
        <v>0</v>
      </c>
      <c r="F24" s="1013">
        <f>+landbouw!E8</f>
        <v>143.2611002670742</v>
      </c>
      <c r="G24" s="1013">
        <f>+landbouw!F8</f>
        <v>9488.6575434814367</v>
      </c>
      <c r="H24" s="1013">
        <f>+landbouw!G8</f>
        <v>0</v>
      </c>
      <c r="I24" s="1013">
        <f>+landbouw!H8</f>
        <v>0</v>
      </c>
      <c r="J24" s="1013">
        <f>+landbouw!I8</f>
        <v>0</v>
      </c>
      <c r="K24" s="1013">
        <f>+landbouw!J8</f>
        <v>706.13474232430565</v>
      </c>
      <c r="L24" s="1013">
        <f>+landbouw!K8</f>
        <v>0</v>
      </c>
      <c r="M24" s="1013">
        <f>+landbouw!L8</f>
        <v>0</v>
      </c>
      <c r="N24" s="1013">
        <f>+landbouw!M8</f>
        <v>0</v>
      </c>
      <c r="O24" s="1013">
        <f>+landbouw!N8</f>
        <v>0</v>
      </c>
      <c r="P24" s="1013">
        <f>+landbouw!O8</f>
        <v>0</v>
      </c>
      <c r="Q24" s="1014">
        <f>+landbouw!P8</f>
        <v>0</v>
      </c>
      <c r="R24" s="700">
        <f>SUM(C24:Q24)</f>
        <v>167402.03138607283</v>
      </c>
      <c r="S24" s="67"/>
    </row>
    <row r="25" spans="1:19" s="473" customFormat="1" ht="15" thickBot="1">
      <c r="A25" s="831" t="s">
        <v>836</v>
      </c>
      <c r="B25" s="1016"/>
      <c r="C25" s="1017">
        <f>IF(Onbekend_ele_kWh="---",0,Onbekend_ele_kWh)/1000+IF(REST_rest_ele_kWh="---",0,REST_rest_ele_kWh)/1000</f>
        <v>668.27994999999999</v>
      </c>
      <c r="D25" s="1017"/>
      <c r="E25" s="1017">
        <f>IF(onbekend_gas_kWh="---",0,onbekend_gas_kWh)/1000+IF(REST_rest_gas_kWh="---",0,REST_rest_gas_kWh)/1000</f>
        <v>1592.2861</v>
      </c>
      <c r="F25" s="1017"/>
      <c r="G25" s="1017"/>
      <c r="H25" s="1017"/>
      <c r="I25" s="1017"/>
      <c r="J25" s="1017"/>
      <c r="K25" s="1017"/>
      <c r="L25" s="1017"/>
      <c r="M25" s="1017"/>
      <c r="N25" s="1017"/>
      <c r="O25" s="1017"/>
      <c r="P25" s="1017"/>
      <c r="Q25" s="1018"/>
      <c r="R25" s="700">
        <f>SUM(C25:Q25)</f>
        <v>2260.5660499999999</v>
      </c>
      <c r="S25" s="67"/>
    </row>
    <row r="26" spans="1:19" s="473" customFormat="1" ht="15.75" thickBot="1">
      <c r="A26" s="705" t="s">
        <v>837</v>
      </c>
      <c r="B26" s="817"/>
      <c r="C26" s="812">
        <f>SUM(C24:C25)</f>
        <v>5542.2579500000002</v>
      </c>
      <c r="D26" s="812">
        <f t="shared" ref="D26:R26" si="2">SUM(D24:D25)</f>
        <v>152190.00000000003</v>
      </c>
      <c r="E26" s="812">
        <f t="shared" si="2"/>
        <v>1592.2861</v>
      </c>
      <c r="F26" s="812">
        <f t="shared" si="2"/>
        <v>143.2611002670742</v>
      </c>
      <c r="G26" s="812">
        <f t="shared" si="2"/>
        <v>9488.6575434814367</v>
      </c>
      <c r="H26" s="812">
        <f t="shared" si="2"/>
        <v>0</v>
      </c>
      <c r="I26" s="812">
        <f t="shared" si="2"/>
        <v>0</v>
      </c>
      <c r="J26" s="812">
        <f t="shared" si="2"/>
        <v>0</v>
      </c>
      <c r="K26" s="812">
        <f t="shared" si="2"/>
        <v>706.13474232430565</v>
      </c>
      <c r="L26" s="812">
        <f t="shared" si="2"/>
        <v>0</v>
      </c>
      <c r="M26" s="812">
        <f t="shared" si="2"/>
        <v>0</v>
      </c>
      <c r="N26" s="812">
        <f t="shared" si="2"/>
        <v>0</v>
      </c>
      <c r="O26" s="812">
        <f t="shared" si="2"/>
        <v>0</v>
      </c>
      <c r="P26" s="812">
        <f t="shared" si="2"/>
        <v>0</v>
      </c>
      <c r="Q26" s="812">
        <f t="shared" si="2"/>
        <v>0</v>
      </c>
      <c r="R26" s="812">
        <f t="shared" si="2"/>
        <v>169662.59743607283</v>
      </c>
      <c r="S26" s="67"/>
    </row>
    <row r="27" spans="1:19" s="473" customFormat="1" ht="17.25" thickTop="1" thickBot="1">
      <c r="A27" s="706" t="s">
        <v>116</v>
      </c>
      <c r="B27" s="805"/>
      <c r="C27" s="707">
        <f ca="1">C22+C16+C26</f>
        <v>46742.962296600126</v>
      </c>
      <c r="D27" s="707">
        <f t="shared" ref="D27:R27" ca="1" si="3">D22+D16+D26</f>
        <v>152190.00000000003</v>
      </c>
      <c r="E27" s="707">
        <f t="shared" ca="1" si="3"/>
        <v>83323.32978722002</v>
      </c>
      <c r="F27" s="707">
        <f t="shared" si="3"/>
        <v>1716.2661733834893</v>
      </c>
      <c r="G27" s="707">
        <f t="shared" ca="1" si="3"/>
        <v>12063.257018427747</v>
      </c>
      <c r="H27" s="707">
        <f t="shared" si="3"/>
        <v>35108.020742004206</v>
      </c>
      <c r="I27" s="707">
        <f t="shared" si="3"/>
        <v>7263.9910722798622</v>
      </c>
      <c r="J27" s="707">
        <f t="shared" si="3"/>
        <v>0</v>
      </c>
      <c r="K27" s="707">
        <f t="shared" si="3"/>
        <v>707.28609925641024</v>
      </c>
      <c r="L27" s="707">
        <f t="shared" si="3"/>
        <v>0</v>
      </c>
      <c r="M27" s="707">
        <f t="shared" ca="1" si="3"/>
        <v>0</v>
      </c>
      <c r="N27" s="707">
        <f t="shared" si="3"/>
        <v>2263.3265641281437</v>
      </c>
      <c r="O27" s="707">
        <f t="shared" ca="1" si="3"/>
        <v>30086.568306456698</v>
      </c>
      <c r="P27" s="707">
        <f t="shared" si="3"/>
        <v>190.72666666666666</v>
      </c>
      <c r="Q27" s="707">
        <f t="shared" si="3"/>
        <v>781.73333333333335</v>
      </c>
      <c r="R27" s="707">
        <f t="shared" ca="1" si="3"/>
        <v>372437.46805975673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2440.904341382115</v>
      </c>
      <c r="D40" s="1013">
        <f ca="1">tertiair!C20</f>
        <v>0</v>
      </c>
      <c r="E40" s="1013">
        <f ca="1">tertiair!D20</f>
        <v>4148.0261638992015</v>
      </c>
      <c r="F40" s="1013">
        <f>tertiair!E20</f>
        <v>34.117556133502042</v>
      </c>
      <c r="G40" s="1013">
        <f ca="1">tertiair!F20</f>
        <v>487.4710778198193</v>
      </c>
      <c r="H40" s="1013">
        <f>tertiair!G20</f>
        <v>0</v>
      </c>
      <c r="I40" s="1013">
        <f>tertiair!H20</f>
        <v>0</v>
      </c>
      <c r="J40" s="1013">
        <f>tertiair!I20</f>
        <v>0</v>
      </c>
      <c r="K40" s="1013">
        <f>tertiair!J20</f>
        <v>6.2421683405938016E-3</v>
      </c>
      <c r="L40" s="1013">
        <f>tertiair!K20</f>
        <v>0</v>
      </c>
      <c r="M40" s="1013">
        <f ca="1">tertiair!L20</f>
        <v>0</v>
      </c>
      <c r="N40" s="1013">
        <f>tertiair!M20</f>
        <v>0</v>
      </c>
      <c r="O40" s="1013">
        <f ca="1">tertiair!N20</f>
        <v>0</v>
      </c>
      <c r="P40" s="1013">
        <f>tertiair!O20</f>
        <v>0</v>
      </c>
      <c r="Q40" s="774">
        <f>tertiair!P20</f>
        <v>0</v>
      </c>
      <c r="R40" s="850">
        <f t="shared" ca="1" si="4"/>
        <v>7110.5253814029784</v>
      </c>
    </row>
    <row r="41" spans="1:18">
      <c r="A41" s="822" t="s">
        <v>225</v>
      </c>
      <c r="B41" s="829"/>
      <c r="C41" s="1013">
        <f ca="1">huishoudens!B12</f>
        <v>4313.7868033596314</v>
      </c>
      <c r="D41" s="1013">
        <f ca="1">huishoudens!C12</f>
        <v>0</v>
      </c>
      <c r="E41" s="1013">
        <f>huishoudens!D12</f>
        <v>11785.297217969</v>
      </c>
      <c r="F41" s="1013">
        <f>huishoudens!E12</f>
        <v>256.00242325758836</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16355.086444586221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1740.291547836393</v>
      </c>
      <c r="D43" s="1013">
        <f ca="1">industrie!C22</f>
        <v>0</v>
      </c>
      <c r="E43" s="1013">
        <f>industrie!D22</f>
        <v>563.38675702319995</v>
      </c>
      <c r="F43" s="1013">
        <f>industrie!E22</f>
        <v>47.320357183192236</v>
      </c>
      <c r="G43" s="1013">
        <f>industrie!F22</f>
        <v>199.9469819908455</v>
      </c>
      <c r="H43" s="1013">
        <f>industrie!G22</f>
        <v>0</v>
      </c>
      <c r="I43" s="1013">
        <f>industrie!H22</f>
        <v>0</v>
      </c>
      <c r="J43" s="1013">
        <f>industrie!I22</f>
        <v>0</v>
      </c>
      <c r="K43" s="1013">
        <f>industrie!J22</f>
        <v>0.40133818562445062</v>
      </c>
      <c r="L43" s="1013">
        <f>industrie!K22</f>
        <v>0</v>
      </c>
      <c r="M43" s="1013">
        <f>industrie!L22</f>
        <v>0</v>
      </c>
      <c r="N43" s="1013">
        <f>industrie!M22</f>
        <v>0</v>
      </c>
      <c r="O43" s="1013">
        <f>industrie!N22</f>
        <v>0</v>
      </c>
      <c r="P43" s="1013">
        <f>industrie!O22</f>
        <v>0</v>
      </c>
      <c r="Q43" s="774">
        <f>industrie!P22</f>
        <v>0</v>
      </c>
      <c r="R43" s="849">
        <f t="shared" ca="1" si="4"/>
        <v>2551.3469822192551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8494.9826925781381</v>
      </c>
      <c r="D46" s="732">
        <f t="shared" ref="D46:Q46" ca="1" si="5">SUM(D39:D45)</f>
        <v>0</v>
      </c>
      <c r="E46" s="732">
        <f t="shared" ca="1" si="5"/>
        <v>16496.710138891402</v>
      </c>
      <c r="F46" s="732">
        <f t="shared" si="5"/>
        <v>337.44033657428264</v>
      </c>
      <c r="G46" s="732">
        <f t="shared" ca="1" si="5"/>
        <v>687.41805981066477</v>
      </c>
      <c r="H46" s="732">
        <f t="shared" si="5"/>
        <v>0</v>
      </c>
      <c r="I46" s="732">
        <f t="shared" si="5"/>
        <v>0</v>
      </c>
      <c r="J46" s="732">
        <f t="shared" si="5"/>
        <v>0</v>
      </c>
      <c r="K46" s="732">
        <f t="shared" si="5"/>
        <v>0.40758035396504444</v>
      </c>
      <c r="L46" s="732">
        <f t="shared" si="5"/>
        <v>0</v>
      </c>
      <c r="M46" s="732">
        <f t="shared" ca="1" si="5"/>
        <v>0</v>
      </c>
      <c r="N46" s="732">
        <f t="shared" si="5"/>
        <v>0</v>
      </c>
      <c r="O46" s="732">
        <f t="shared" ca="1" si="5"/>
        <v>0</v>
      </c>
      <c r="P46" s="732">
        <f t="shared" si="5"/>
        <v>0</v>
      </c>
      <c r="Q46" s="732">
        <f t="shared" si="5"/>
        <v>0</v>
      </c>
      <c r="R46" s="732">
        <f ca="1">SUM(R39:R45)</f>
        <v>26016.958808208456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156.11747312196809</v>
      </c>
      <c r="D49" s="1013">
        <f ca="1">transport!C58</f>
        <v>0</v>
      </c>
      <c r="E49" s="1013">
        <f>transport!D58</f>
        <v>0</v>
      </c>
      <c r="F49" s="1013">
        <f>transport!E58</f>
        <v>0</v>
      </c>
      <c r="G49" s="1013">
        <f>transport!F58</f>
        <v>0</v>
      </c>
      <c r="H49" s="1013">
        <f>transport!G58</f>
        <v>354.67736173765957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510.79483485962766</v>
      </c>
    </row>
    <row r="50" spans="1:18">
      <c r="A50" s="825" t="s">
        <v>307</v>
      </c>
      <c r="B50" s="835"/>
      <c r="C50" s="703">
        <f ca="1">transport!B18</f>
        <v>4.1384120500486494</v>
      </c>
      <c r="D50" s="703">
        <f>transport!C18</f>
        <v>0</v>
      </c>
      <c r="E50" s="703">
        <f>transport!D18</f>
        <v>12.960685927042883</v>
      </c>
      <c r="F50" s="703">
        <f>transport!E18</f>
        <v>19.63181502314357</v>
      </c>
      <c r="G50" s="703">
        <f>transport!F18</f>
        <v>0</v>
      </c>
      <c r="H50" s="703">
        <f>transport!G18</f>
        <v>9019.1641763774642</v>
      </c>
      <c r="I50" s="703">
        <f>transport!H18</f>
        <v>1808.7337769976857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10864.628866375386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160.25588517201675</v>
      </c>
      <c r="D52" s="732">
        <f t="shared" ref="D52:Q52" ca="1" si="6">SUM(D48:D51)</f>
        <v>0</v>
      </c>
      <c r="E52" s="732">
        <f t="shared" si="6"/>
        <v>12.960685927042883</v>
      </c>
      <c r="F52" s="732">
        <f t="shared" si="6"/>
        <v>19.63181502314357</v>
      </c>
      <c r="G52" s="732">
        <f t="shared" si="6"/>
        <v>0</v>
      </c>
      <c r="H52" s="732">
        <f t="shared" si="6"/>
        <v>9373.8415381151244</v>
      </c>
      <c r="I52" s="732">
        <f t="shared" si="6"/>
        <v>1808.7337769976857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11375.423701235013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1023.9010007649706</v>
      </c>
      <c r="D54" s="703">
        <f ca="1">+landbouw!C12</f>
        <v>32725.450210084044</v>
      </c>
      <c r="E54" s="703">
        <f>+landbouw!D12</f>
        <v>0</v>
      </c>
      <c r="F54" s="703">
        <f>+landbouw!E12</f>
        <v>32.520269760625844</v>
      </c>
      <c r="G54" s="703">
        <f>+landbouw!F12</f>
        <v>2533.4715641095436</v>
      </c>
      <c r="H54" s="703">
        <f>+landbouw!G12</f>
        <v>0</v>
      </c>
      <c r="I54" s="703">
        <f>+landbouw!H12</f>
        <v>0</v>
      </c>
      <c r="J54" s="703">
        <f>+landbouw!I12</f>
        <v>0</v>
      </c>
      <c r="K54" s="703">
        <f>+landbouw!J12</f>
        <v>249.9716987828042</v>
      </c>
      <c r="L54" s="703">
        <f>+landbouw!K12</f>
        <v>0</v>
      </c>
      <c r="M54" s="703">
        <f>+landbouw!L12</f>
        <v>0</v>
      </c>
      <c r="N54" s="703">
        <f>+landbouw!M12</f>
        <v>0</v>
      </c>
      <c r="O54" s="703">
        <f>+landbouw!N12</f>
        <v>0</v>
      </c>
      <c r="P54" s="703">
        <f>+landbouw!O12</f>
        <v>0</v>
      </c>
      <c r="Q54" s="704">
        <f>+landbouw!P12</f>
        <v>0</v>
      </c>
      <c r="R54" s="731">
        <f ca="1">SUM(C54:Q54)</f>
        <v>36565.314743502</v>
      </c>
    </row>
    <row r="55" spans="1:18" ht="15" thickBot="1">
      <c r="A55" s="825" t="s">
        <v>836</v>
      </c>
      <c r="B55" s="835"/>
      <c r="C55" s="703">
        <f ca="1">C25*'EF ele_warmte'!B12</f>
        <v>140.38892042519777</v>
      </c>
      <c r="D55" s="703"/>
      <c r="E55" s="703">
        <f>E25*EF_CO2_aardgas</f>
        <v>321.64179220000005</v>
      </c>
      <c r="F55" s="703"/>
      <c r="G55" s="703"/>
      <c r="H55" s="703"/>
      <c r="I55" s="703"/>
      <c r="J55" s="703"/>
      <c r="K55" s="703"/>
      <c r="L55" s="703"/>
      <c r="M55" s="703"/>
      <c r="N55" s="703"/>
      <c r="O55" s="703"/>
      <c r="P55" s="703"/>
      <c r="Q55" s="704"/>
      <c r="R55" s="731">
        <f ca="1">SUM(C55:Q55)</f>
        <v>462.03071262519779</v>
      </c>
    </row>
    <row r="56" spans="1:18" ht="15.75" thickBot="1">
      <c r="A56" s="823" t="s">
        <v>837</v>
      </c>
      <c r="B56" s="836"/>
      <c r="C56" s="732">
        <f ca="1">SUM(C54:C55)</f>
        <v>1164.2899211901683</v>
      </c>
      <c r="D56" s="732">
        <f t="shared" ref="D56:Q56" ca="1" si="7">SUM(D54:D55)</f>
        <v>32725.450210084044</v>
      </c>
      <c r="E56" s="732">
        <f t="shared" si="7"/>
        <v>321.64179220000005</v>
      </c>
      <c r="F56" s="732">
        <f t="shared" si="7"/>
        <v>32.520269760625844</v>
      </c>
      <c r="G56" s="732">
        <f t="shared" si="7"/>
        <v>2533.4715641095436</v>
      </c>
      <c r="H56" s="732">
        <f t="shared" si="7"/>
        <v>0</v>
      </c>
      <c r="I56" s="732">
        <f t="shared" si="7"/>
        <v>0</v>
      </c>
      <c r="J56" s="732">
        <f t="shared" si="7"/>
        <v>0</v>
      </c>
      <c r="K56" s="732">
        <f t="shared" si="7"/>
        <v>249.9716987828042</v>
      </c>
      <c r="L56" s="732">
        <f t="shared" si="7"/>
        <v>0</v>
      </c>
      <c r="M56" s="732">
        <f t="shared" si="7"/>
        <v>0</v>
      </c>
      <c r="N56" s="732">
        <f t="shared" si="7"/>
        <v>0</v>
      </c>
      <c r="O56" s="732">
        <f t="shared" si="7"/>
        <v>0</v>
      </c>
      <c r="P56" s="732">
        <f t="shared" si="7"/>
        <v>0</v>
      </c>
      <c r="Q56" s="733">
        <f t="shared" si="7"/>
        <v>0</v>
      </c>
      <c r="R56" s="734">
        <f ca="1">SUM(R54:R55)</f>
        <v>37027.345456127201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9819.5284989403226</v>
      </c>
      <c r="D61" s="740">
        <f t="shared" ref="D61:Q61" ca="1" si="8">D46+D52+D56</f>
        <v>32725.450210084044</v>
      </c>
      <c r="E61" s="740">
        <f t="shared" ca="1" si="8"/>
        <v>16831.312617018444</v>
      </c>
      <c r="F61" s="740">
        <f t="shared" si="8"/>
        <v>389.59242135805209</v>
      </c>
      <c r="G61" s="740">
        <f t="shared" ca="1" si="8"/>
        <v>3220.8896239202086</v>
      </c>
      <c r="H61" s="740">
        <f t="shared" si="8"/>
        <v>9373.8415381151244</v>
      </c>
      <c r="I61" s="740">
        <f t="shared" si="8"/>
        <v>1808.7337769976857</v>
      </c>
      <c r="J61" s="740">
        <f t="shared" si="8"/>
        <v>0</v>
      </c>
      <c r="K61" s="740">
        <f t="shared" si="8"/>
        <v>250.37927913676924</v>
      </c>
      <c r="L61" s="740">
        <f t="shared" si="8"/>
        <v>0</v>
      </c>
      <c r="M61" s="740">
        <f t="shared" ca="1" si="8"/>
        <v>0</v>
      </c>
      <c r="N61" s="740">
        <f t="shared" si="8"/>
        <v>0</v>
      </c>
      <c r="O61" s="740">
        <f t="shared" ca="1" si="8"/>
        <v>0</v>
      </c>
      <c r="P61" s="740">
        <f t="shared" si="8"/>
        <v>0</v>
      </c>
      <c r="Q61" s="740">
        <f t="shared" si="8"/>
        <v>0</v>
      </c>
      <c r="R61" s="740">
        <f ca="1">R46+R52+R56</f>
        <v>74419.727965570666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0.21007501485746766</v>
      </c>
      <c r="D63" s="781">
        <f t="shared" ca="1" si="9"/>
        <v>0.21503022675658084</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2512.8813610052061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11356.875000000002</v>
      </c>
      <c r="C76" s="750">
        <f>'lokale energieproductie'!B8*IFERROR(SUM(D76:H76)/SUM(D76:O76),0)</f>
        <v>95176.125</v>
      </c>
      <c r="D76" s="1034">
        <f>'lokale energieproductie'!C8</f>
        <v>107518.23529411765</v>
      </c>
      <c r="E76" s="1035">
        <f>'lokale energieproductie'!D8</f>
        <v>0</v>
      </c>
      <c r="F76" s="1035">
        <f>'lokale energieproductie'!E8</f>
        <v>4453.676470588236</v>
      </c>
      <c r="G76" s="1035">
        <f>'lokale energieproductie'!F8</f>
        <v>0</v>
      </c>
      <c r="H76" s="1035">
        <f>'lokale energieproductie'!G8</f>
        <v>0</v>
      </c>
      <c r="I76" s="1035">
        <f>'lokale energieproductie'!I8</f>
        <v>13361.029411764708</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22907.815147058827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13869.756361005208</v>
      </c>
      <c r="C78" s="755">
        <f>SUM(C72:C77)</f>
        <v>95176.125</v>
      </c>
      <c r="D78" s="756">
        <f t="shared" ref="D78:H78" si="10">SUM(D76:D77)</f>
        <v>107518.23529411765</v>
      </c>
      <c r="E78" s="756">
        <f t="shared" si="10"/>
        <v>0</v>
      </c>
      <c r="F78" s="756">
        <f t="shared" si="10"/>
        <v>4453.676470588236</v>
      </c>
      <c r="G78" s="756">
        <f t="shared" si="10"/>
        <v>0</v>
      </c>
      <c r="H78" s="756">
        <f t="shared" si="10"/>
        <v>0</v>
      </c>
      <c r="I78" s="756">
        <f>SUM(I76:I77)</f>
        <v>13361.029411764708</v>
      </c>
      <c r="J78" s="756">
        <f>SUM(J76:J77)</f>
        <v>0</v>
      </c>
      <c r="K78" s="756">
        <f t="shared" ref="K78:L78" si="11">SUM(K76:K77)</f>
        <v>0</v>
      </c>
      <c r="L78" s="756">
        <f t="shared" si="11"/>
        <v>0</v>
      </c>
      <c r="M78" s="756">
        <f>SUM(M76:M77)</f>
        <v>0</v>
      </c>
      <c r="N78" s="756">
        <f>SUM(N76:N77)</f>
        <v>0</v>
      </c>
      <c r="O78" s="860">
        <f>SUM(O76:O77)</f>
        <v>0</v>
      </c>
      <c r="P78" s="757">
        <v>0</v>
      </c>
      <c r="Q78" s="757">
        <f>SUM(Q76:Q77)</f>
        <v>22907.815147058827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16224.107142857145</v>
      </c>
      <c r="C87" s="766">
        <f>'lokale energieproductie'!B17*IFERROR(SUM(D87:H87)/SUM(D87:O87),0)</f>
        <v>135965.89285714287</v>
      </c>
      <c r="D87" s="777">
        <f>'lokale energieproductie'!C17</f>
        <v>153597.47899159667</v>
      </c>
      <c r="E87" s="777">
        <f>'lokale energieproductie'!D17</f>
        <v>0</v>
      </c>
      <c r="F87" s="777">
        <f>'lokale energieproductie'!E17</f>
        <v>6362.3949579831951</v>
      </c>
      <c r="G87" s="777">
        <f>'lokale energieproductie'!F17</f>
        <v>0</v>
      </c>
      <c r="H87" s="777">
        <f>'lokale energieproductie'!G17</f>
        <v>0</v>
      </c>
      <c r="I87" s="777">
        <f>'lokale energieproductie'!I17</f>
        <v>19087.184873949584</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32725.450210084044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16224.107142857145</v>
      </c>
      <c r="C90" s="755">
        <f>SUM(C87:C89)</f>
        <v>135965.89285714287</v>
      </c>
      <c r="D90" s="755">
        <f t="shared" ref="D90:H90" si="12">SUM(D87:D89)</f>
        <v>153597.47899159667</v>
      </c>
      <c r="E90" s="755">
        <f t="shared" si="12"/>
        <v>0</v>
      </c>
      <c r="F90" s="755">
        <f t="shared" si="12"/>
        <v>6362.3949579831951</v>
      </c>
      <c r="G90" s="755">
        <f t="shared" si="12"/>
        <v>0</v>
      </c>
      <c r="H90" s="755">
        <f t="shared" si="12"/>
        <v>0</v>
      </c>
      <c r="I90" s="755">
        <f>SUM(I87:I89)</f>
        <v>19087.184873949584</v>
      </c>
      <c r="J90" s="755">
        <f>SUM(J87:J89)</f>
        <v>0</v>
      </c>
      <c r="K90" s="755">
        <f t="shared" ref="K90:L90" si="13">SUM(K87:K89)</f>
        <v>0</v>
      </c>
      <c r="L90" s="755">
        <f t="shared" si="13"/>
        <v>0</v>
      </c>
      <c r="M90" s="755">
        <f>SUM(M87:M89)</f>
        <v>0</v>
      </c>
      <c r="N90" s="755">
        <f>SUM(N87:N89)</f>
        <v>0</v>
      </c>
      <c r="O90" s="755">
        <f>SUM(O87:O89)</f>
        <v>0</v>
      </c>
      <c r="P90" s="755">
        <v>0</v>
      </c>
      <c r="Q90" s="755">
        <f>SUM(Q87:Q89)</f>
        <v>32725.450210084044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2512.8813610052061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106533</v>
      </c>
      <c r="C8" s="570">
        <f>B101</f>
        <v>107518.23529411765</v>
      </c>
      <c r="D8" s="1044"/>
      <c r="E8" s="1044">
        <f>E101</f>
        <v>4453.676470588236</v>
      </c>
      <c r="F8" s="1045"/>
      <c r="G8" s="571"/>
      <c r="H8" s="1044">
        <f>I101</f>
        <v>0</v>
      </c>
      <c r="I8" s="1044">
        <f>G101+F101</f>
        <v>13361.029411764708</v>
      </c>
      <c r="J8" s="1044">
        <f>H101+D101+C101</f>
        <v>0</v>
      </c>
      <c r="K8" s="1044"/>
      <c r="L8" s="1044"/>
      <c r="M8" s="1044"/>
      <c r="N8" s="572"/>
      <c r="O8" s="573">
        <f>C8*$C$12+D8*$D$12+E8*$E$12+F8*$F$12+G8*$G$12+H8*$H$12+I8*$I$12+J8*$J$12</f>
        <v>22907.815147058827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109045.8813610052</v>
      </c>
      <c r="C10" s="583">
        <f t="shared" ref="C10:L10" si="0">SUM(C8:C9)</f>
        <v>107518.23529411765</v>
      </c>
      <c r="D10" s="583">
        <f t="shared" si="0"/>
        <v>0</v>
      </c>
      <c r="E10" s="583">
        <f t="shared" si="0"/>
        <v>4453.676470588236</v>
      </c>
      <c r="F10" s="583">
        <f t="shared" si="0"/>
        <v>0</v>
      </c>
      <c r="G10" s="583">
        <f t="shared" si="0"/>
        <v>0</v>
      </c>
      <c r="H10" s="583">
        <f t="shared" si="0"/>
        <v>0</v>
      </c>
      <c r="I10" s="583">
        <f t="shared" si="0"/>
        <v>13361.029411764708</v>
      </c>
      <c r="J10" s="583">
        <f t="shared" si="0"/>
        <v>0</v>
      </c>
      <c r="K10" s="583">
        <f t="shared" si="0"/>
        <v>0</v>
      </c>
      <c r="L10" s="583">
        <f t="shared" si="0"/>
        <v>0</v>
      </c>
      <c r="M10" s="1047"/>
      <c r="N10" s="1047"/>
      <c r="O10" s="584">
        <f>SUM(O4:O9)</f>
        <v>22907.815147058827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152190.00000000003</v>
      </c>
      <c r="C17" s="595">
        <f>B102</f>
        <v>153597.47899159667</v>
      </c>
      <c r="D17" s="596"/>
      <c r="E17" s="596">
        <f>E102</f>
        <v>6362.3949579831951</v>
      </c>
      <c r="F17" s="1050"/>
      <c r="G17" s="597"/>
      <c r="H17" s="595">
        <f>I102</f>
        <v>0</v>
      </c>
      <c r="I17" s="596">
        <f>G102+F102</f>
        <v>19087.184873949584</v>
      </c>
      <c r="J17" s="596">
        <f>H102+D102+C102</f>
        <v>0</v>
      </c>
      <c r="K17" s="596"/>
      <c r="L17" s="596"/>
      <c r="M17" s="596"/>
      <c r="N17" s="1051"/>
      <c r="O17" s="598">
        <f>C17*$C$22+E17*$E$22+H17*$H$22+I17*$I$22+J17*$J$22+D17*$D$22+F17*$F$22+G17*$G$22+K17*$K$22+L17*$L$22</f>
        <v>32725.450210084044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152190.00000000003</v>
      </c>
      <c r="C20" s="582">
        <f>SUM(C17:C19)</f>
        <v>153597.47899159667</v>
      </c>
      <c r="D20" s="582">
        <f t="shared" ref="D20:L20" si="1">SUM(D17:D19)</f>
        <v>0</v>
      </c>
      <c r="E20" s="582">
        <f t="shared" si="1"/>
        <v>6362.3949579831951</v>
      </c>
      <c r="F20" s="582">
        <f t="shared" si="1"/>
        <v>0</v>
      </c>
      <c r="G20" s="582">
        <f t="shared" si="1"/>
        <v>0</v>
      </c>
      <c r="H20" s="582">
        <f t="shared" si="1"/>
        <v>0</v>
      </c>
      <c r="I20" s="582">
        <f t="shared" si="1"/>
        <v>19087.184873949584</v>
      </c>
      <c r="J20" s="582">
        <f t="shared" si="1"/>
        <v>0</v>
      </c>
      <c r="K20" s="582">
        <f t="shared" si="1"/>
        <v>0</v>
      </c>
      <c r="L20" s="582">
        <f t="shared" si="1"/>
        <v>0</v>
      </c>
      <c r="M20" s="582"/>
      <c r="N20" s="582"/>
      <c r="O20" s="601">
        <f>SUM(O17:O19)</f>
        <v>32725.450210084044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11004</v>
      </c>
      <c r="C28" s="796">
        <v>2530</v>
      </c>
      <c r="D28" s="653" t="s">
        <v>881</v>
      </c>
      <c r="E28" s="652" t="s">
        <v>882</v>
      </c>
      <c r="F28" s="652" t="s">
        <v>883</v>
      </c>
      <c r="G28" s="652" t="s">
        <v>884</v>
      </c>
      <c r="H28" s="652" t="s">
        <v>885</v>
      </c>
      <c r="I28" s="652" t="s">
        <v>886</v>
      </c>
      <c r="J28" s="795">
        <v>41262</v>
      </c>
      <c r="K28" s="795">
        <v>38991</v>
      </c>
      <c r="L28" s="652" t="s">
        <v>887</v>
      </c>
      <c r="M28" s="652">
        <v>1560</v>
      </c>
      <c r="N28" s="652">
        <v>7020</v>
      </c>
      <c r="O28" s="652">
        <v>10028.571428571429</v>
      </c>
      <c r="P28" s="652">
        <v>20057.142857142859</v>
      </c>
      <c r="Q28" s="652">
        <v>0</v>
      </c>
      <c r="R28" s="652">
        <v>0</v>
      </c>
      <c r="S28" s="652">
        <v>0</v>
      </c>
      <c r="T28" s="652">
        <v>0</v>
      </c>
      <c r="U28" s="652">
        <v>0</v>
      </c>
      <c r="V28" s="652">
        <v>0</v>
      </c>
      <c r="W28" s="652">
        <v>0</v>
      </c>
      <c r="X28" s="652">
        <v>10</v>
      </c>
      <c r="Y28" s="652" t="s">
        <v>112</v>
      </c>
      <c r="Z28" s="654" t="s">
        <v>112</v>
      </c>
    </row>
    <row r="29" spans="1:26" s="606" customFormat="1" ht="38.25">
      <c r="A29" s="605"/>
      <c r="B29" s="796">
        <v>11004</v>
      </c>
      <c r="C29" s="796">
        <v>2530</v>
      </c>
      <c r="D29" s="653" t="s">
        <v>888</v>
      </c>
      <c r="E29" s="652" t="s">
        <v>889</v>
      </c>
      <c r="F29" s="652" t="s">
        <v>890</v>
      </c>
      <c r="G29" s="652" t="s">
        <v>884</v>
      </c>
      <c r="H29" s="652" t="s">
        <v>885</v>
      </c>
      <c r="I29" s="652" t="s">
        <v>889</v>
      </c>
      <c r="J29" s="795">
        <v>41285</v>
      </c>
      <c r="K29" s="795">
        <v>39083</v>
      </c>
      <c r="L29" s="652" t="s">
        <v>887</v>
      </c>
      <c r="M29" s="652">
        <v>4090</v>
      </c>
      <c r="N29" s="652">
        <v>18405</v>
      </c>
      <c r="O29" s="652">
        <v>26292.857142857145</v>
      </c>
      <c r="P29" s="652">
        <v>52585.71428571429</v>
      </c>
      <c r="Q29" s="652">
        <v>0</v>
      </c>
      <c r="R29" s="652">
        <v>0</v>
      </c>
      <c r="S29" s="652">
        <v>0</v>
      </c>
      <c r="T29" s="652">
        <v>0</v>
      </c>
      <c r="U29" s="652">
        <v>0</v>
      </c>
      <c r="V29" s="652">
        <v>0</v>
      </c>
      <c r="W29" s="652">
        <v>0</v>
      </c>
      <c r="X29" s="652">
        <v>10</v>
      </c>
      <c r="Y29" s="652" t="s">
        <v>112</v>
      </c>
      <c r="Z29" s="654" t="s">
        <v>112</v>
      </c>
    </row>
    <row r="30" spans="1:26" s="606" customFormat="1" ht="25.5">
      <c r="A30" s="605"/>
      <c r="B30" s="796">
        <v>11004</v>
      </c>
      <c r="C30" s="796">
        <v>2530</v>
      </c>
      <c r="D30" s="653" t="s">
        <v>891</v>
      </c>
      <c r="E30" s="652" t="s">
        <v>892</v>
      </c>
      <c r="F30" s="652" t="s">
        <v>893</v>
      </c>
      <c r="G30" s="652" t="s">
        <v>884</v>
      </c>
      <c r="H30" s="652" t="s">
        <v>885</v>
      </c>
      <c r="I30" s="652" t="s">
        <v>892</v>
      </c>
      <c r="J30" s="795">
        <v>38777</v>
      </c>
      <c r="K30" s="795">
        <v>39134</v>
      </c>
      <c r="L30" s="652" t="s">
        <v>887</v>
      </c>
      <c r="M30" s="652">
        <v>3365</v>
      </c>
      <c r="N30" s="652">
        <v>15142.500000000002</v>
      </c>
      <c r="O30" s="652">
        <v>21632.142857142859</v>
      </c>
      <c r="P30" s="652">
        <v>0</v>
      </c>
      <c r="Q30" s="652">
        <v>0</v>
      </c>
      <c r="R30" s="652">
        <v>0</v>
      </c>
      <c r="S30" s="652">
        <v>10816.071428571431</v>
      </c>
      <c r="T30" s="652">
        <v>0</v>
      </c>
      <c r="U30" s="652">
        <v>32448.214285714294</v>
      </c>
      <c r="V30" s="652">
        <v>0</v>
      </c>
      <c r="W30" s="652">
        <v>0</v>
      </c>
      <c r="X30" s="652">
        <v>10</v>
      </c>
      <c r="Y30" s="652" t="s">
        <v>112</v>
      </c>
      <c r="Z30" s="654" t="s">
        <v>112</v>
      </c>
    </row>
    <row r="31" spans="1:26" s="606" customFormat="1" ht="25.5">
      <c r="A31" s="605"/>
      <c r="B31" s="796">
        <v>11004</v>
      </c>
      <c r="C31" s="796">
        <v>2531</v>
      </c>
      <c r="D31" s="653" t="s">
        <v>894</v>
      </c>
      <c r="E31" s="652" t="s">
        <v>895</v>
      </c>
      <c r="F31" s="652" t="s">
        <v>896</v>
      </c>
      <c r="G31" s="652" t="s">
        <v>884</v>
      </c>
      <c r="H31" s="652" t="s">
        <v>885</v>
      </c>
      <c r="I31" s="652" t="s">
        <v>895</v>
      </c>
      <c r="J31" s="795">
        <v>39212</v>
      </c>
      <c r="K31" s="795">
        <v>39226</v>
      </c>
      <c r="L31" s="652" t="s">
        <v>887</v>
      </c>
      <c r="M31" s="652">
        <v>1125</v>
      </c>
      <c r="N31" s="652">
        <v>5062.5</v>
      </c>
      <c r="O31" s="652">
        <v>7232.1428571428569</v>
      </c>
      <c r="P31" s="652">
        <v>14464.285714285716</v>
      </c>
      <c r="Q31" s="652">
        <v>0</v>
      </c>
      <c r="R31" s="652">
        <v>0</v>
      </c>
      <c r="S31" s="652">
        <v>0</v>
      </c>
      <c r="T31" s="652">
        <v>0</v>
      </c>
      <c r="U31" s="652">
        <v>0</v>
      </c>
      <c r="V31" s="652">
        <v>0</v>
      </c>
      <c r="W31" s="652">
        <v>0</v>
      </c>
      <c r="X31" s="652">
        <v>10</v>
      </c>
      <c r="Y31" s="652" t="s">
        <v>112</v>
      </c>
      <c r="Z31" s="654" t="s">
        <v>112</v>
      </c>
    </row>
    <row r="32" spans="1:26" s="606" customFormat="1" ht="25.5">
      <c r="A32" s="605"/>
      <c r="B32" s="796">
        <v>11004</v>
      </c>
      <c r="C32" s="796">
        <v>2531</v>
      </c>
      <c r="D32" s="653" t="s">
        <v>897</v>
      </c>
      <c r="E32" s="652" t="s">
        <v>898</v>
      </c>
      <c r="F32" s="652" t="s">
        <v>899</v>
      </c>
      <c r="G32" s="652" t="s">
        <v>884</v>
      </c>
      <c r="H32" s="652" t="s">
        <v>885</v>
      </c>
      <c r="I32" s="652" t="s">
        <v>898</v>
      </c>
      <c r="J32" s="795">
        <v>40603</v>
      </c>
      <c r="K32" s="795">
        <v>39497</v>
      </c>
      <c r="L32" s="652" t="s">
        <v>887</v>
      </c>
      <c r="M32" s="652">
        <v>6390</v>
      </c>
      <c r="N32" s="652">
        <v>28755</v>
      </c>
      <c r="O32" s="652">
        <v>41078.571428571428</v>
      </c>
      <c r="P32" s="652">
        <v>82157.14285714287</v>
      </c>
      <c r="Q32" s="652">
        <v>0</v>
      </c>
      <c r="R32" s="652">
        <v>0</v>
      </c>
      <c r="S32" s="652">
        <v>0</v>
      </c>
      <c r="T32" s="652">
        <v>0</v>
      </c>
      <c r="U32" s="652">
        <v>0</v>
      </c>
      <c r="V32" s="652">
        <v>0</v>
      </c>
      <c r="W32" s="652">
        <v>0</v>
      </c>
      <c r="X32" s="652">
        <v>10</v>
      </c>
      <c r="Y32" s="652" t="s">
        <v>112</v>
      </c>
      <c r="Z32" s="654" t="s">
        <v>112</v>
      </c>
    </row>
    <row r="33" spans="1:26" s="606" customFormat="1" ht="38.25">
      <c r="A33" s="605"/>
      <c r="B33" s="796">
        <v>11004</v>
      </c>
      <c r="C33" s="796">
        <v>2531</v>
      </c>
      <c r="D33" s="653" t="s">
        <v>900</v>
      </c>
      <c r="E33" s="652" t="s">
        <v>901</v>
      </c>
      <c r="F33" s="652" t="s">
        <v>902</v>
      </c>
      <c r="G33" s="652" t="s">
        <v>884</v>
      </c>
      <c r="H33" s="652" t="s">
        <v>885</v>
      </c>
      <c r="I33" s="652" t="s">
        <v>901</v>
      </c>
      <c r="J33" s="795">
        <v>39604</v>
      </c>
      <c r="K33" s="795">
        <v>39618</v>
      </c>
      <c r="L33" s="652" t="s">
        <v>887</v>
      </c>
      <c r="M33" s="652">
        <v>4141</v>
      </c>
      <c r="N33" s="652">
        <v>18634.5</v>
      </c>
      <c r="O33" s="652">
        <v>26620.714285714286</v>
      </c>
      <c r="P33" s="652">
        <v>53241.428571428572</v>
      </c>
      <c r="Q33" s="652">
        <v>0</v>
      </c>
      <c r="R33" s="652">
        <v>0</v>
      </c>
      <c r="S33" s="652">
        <v>0</v>
      </c>
      <c r="T33" s="652">
        <v>0</v>
      </c>
      <c r="U33" s="652">
        <v>0</v>
      </c>
      <c r="V33" s="652">
        <v>0</v>
      </c>
      <c r="W33" s="652">
        <v>0</v>
      </c>
      <c r="X33" s="652">
        <v>10</v>
      </c>
      <c r="Y33" s="652" t="s">
        <v>112</v>
      </c>
      <c r="Z33" s="654" t="s">
        <v>112</v>
      </c>
    </row>
    <row r="34" spans="1:26" s="606" customFormat="1" ht="25.5">
      <c r="A34" s="605"/>
      <c r="B34" s="796">
        <v>11004</v>
      </c>
      <c r="C34" s="796">
        <v>2530</v>
      </c>
      <c r="D34" s="653" t="s">
        <v>903</v>
      </c>
      <c r="E34" s="652" t="s">
        <v>904</v>
      </c>
      <c r="F34" s="652" t="s">
        <v>905</v>
      </c>
      <c r="G34" s="652" t="s">
        <v>884</v>
      </c>
      <c r="H34" s="652" t="s">
        <v>885</v>
      </c>
      <c r="I34" s="652" t="s">
        <v>904</v>
      </c>
      <c r="J34" s="795">
        <v>40360</v>
      </c>
      <c r="K34" s="795">
        <v>40513</v>
      </c>
      <c r="L34" s="652" t="s">
        <v>906</v>
      </c>
      <c r="M34" s="652">
        <v>173</v>
      </c>
      <c r="N34" s="652">
        <v>778.49999999999989</v>
      </c>
      <c r="O34" s="652">
        <v>1112.1428571428571</v>
      </c>
      <c r="P34" s="652">
        <v>2224.2857142857142</v>
      </c>
      <c r="Q34" s="652">
        <v>0</v>
      </c>
      <c r="R34" s="652">
        <v>0</v>
      </c>
      <c r="S34" s="652">
        <v>0</v>
      </c>
      <c r="T34" s="652">
        <v>0</v>
      </c>
      <c r="U34" s="652">
        <v>0</v>
      </c>
      <c r="V34" s="652">
        <v>0</v>
      </c>
      <c r="W34" s="652">
        <v>0</v>
      </c>
      <c r="X34" s="652">
        <v>10</v>
      </c>
      <c r="Y34" s="652" t="s">
        <v>112</v>
      </c>
      <c r="Z34" s="654" t="s">
        <v>112</v>
      </c>
    </row>
    <row r="35" spans="1:26" s="606" customFormat="1" ht="25.5">
      <c r="A35" s="605"/>
      <c r="B35" s="796">
        <v>11004</v>
      </c>
      <c r="C35" s="796">
        <v>2531</v>
      </c>
      <c r="D35" s="653" t="s">
        <v>907</v>
      </c>
      <c r="E35" s="652" t="s">
        <v>908</v>
      </c>
      <c r="F35" s="652" t="s">
        <v>909</v>
      </c>
      <c r="G35" s="652" t="s">
        <v>884</v>
      </c>
      <c r="H35" s="652" t="s">
        <v>885</v>
      </c>
      <c r="I35" s="652" t="s">
        <v>908</v>
      </c>
      <c r="J35" s="795">
        <v>40525</v>
      </c>
      <c r="K35" s="795">
        <v>40525</v>
      </c>
      <c r="L35" s="652" t="s">
        <v>887</v>
      </c>
      <c r="M35" s="652">
        <v>1415</v>
      </c>
      <c r="N35" s="652">
        <v>6367.5</v>
      </c>
      <c r="O35" s="652">
        <v>9096.4285714285725</v>
      </c>
      <c r="P35" s="652">
        <v>18192.857142857145</v>
      </c>
      <c r="Q35" s="652">
        <v>0</v>
      </c>
      <c r="R35" s="652">
        <v>0</v>
      </c>
      <c r="S35" s="652">
        <v>0</v>
      </c>
      <c r="T35" s="652">
        <v>0</v>
      </c>
      <c r="U35" s="652">
        <v>0</v>
      </c>
      <c r="V35" s="652">
        <v>0</v>
      </c>
      <c r="W35" s="652">
        <v>0</v>
      </c>
      <c r="X35" s="652">
        <v>10</v>
      </c>
      <c r="Y35" s="652" t="s">
        <v>112</v>
      </c>
      <c r="Z35" s="654" t="s">
        <v>112</v>
      </c>
    </row>
    <row r="36" spans="1:26" s="606" customFormat="1" ht="25.5">
      <c r="A36" s="605"/>
      <c r="B36" s="796">
        <v>11004</v>
      </c>
      <c r="C36" s="796">
        <v>2531</v>
      </c>
      <c r="D36" s="653" t="s">
        <v>910</v>
      </c>
      <c r="E36" s="652" t="s">
        <v>911</v>
      </c>
      <c r="F36" s="652" t="s">
        <v>912</v>
      </c>
      <c r="G36" s="652" t="s">
        <v>884</v>
      </c>
      <c r="H36" s="652" t="s">
        <v>885</v>
      </c>
      <c r="I36" s="652" t="s">
        <v>911</v>
      </c>
      <c r="J36" s="795">
        <v>40588</v>
      </c>
      <c r="K36" s="795">
        <v>40588</v>
      </c>
      <c r="L36" s="652" t="s">
        <v>887</v>
      </c>
      <c r="M36" s="652">
        <v>1415</v>
      </c>
      <c r="N36" s="652">
        <v>6367.5</v>
      </c>
      <c r="O36" s="652">
        <v>9096.4285714285725</v>
      </c>
      <c r="P36" s="652">
        <v>18192.857142857145</v>
      </c>
      <c r="Q36" s="652">
        <v>0</v>
      </c>
      <c r="R36" s="652">
        <v>0</v>
      </c>
      <c r="S36" s="652">
        <v>0</v>
      </c>
      <c r="T36" s="652">
        <v>0</v>
      </c>
      <c r="U36" s="652">
        <v>0</v>
      </c>
      <c r="V36" s="652">
        <v>0</v>
      </c>
      <c r="W36" s="652">
        <v>0</v>
      </c>
      <c r="X36" s="652">
        <v>10</v>
      </c>
      <c r="Y36" s="652" t="s">
        <v>112</v>
      </c>
      <c r="Z36" s="654" t="s">
        <v>112</v>
      </c>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23674</v>
      </c>
      <c r="N58" s="610">
        <f>SUM(N28:N57)</f>
        <v>106533</v>
      </c>
      <c r="O58" s="610">
        <f t="shared" ref="O58:W58" si="2">SUM(O28:O57)</f>
        <v>152190.00000000003</v>
      </c>
      <c r="P58" s="610">
        <f t="shared" si="2"/>
        <v>261115.71428571432</v>
      </c>
      <c r="Q58" s="610">
        <f t="shared" si="2"/>
        <v>0</v>
      </c>
      <c r="R58" s="610">
        <f t="shared" si="2"/>
        <v>0</v>
      </c>
      <c r="S58" s="610">
        <f t="shared" si="2"/>
        <v>10816.071428571431</v>
      </c>
      <c r="T58" s="610">
        <f t="shared" si="2"/>
        <v>0</v>
      </c>
      <c r="U58" s="610">
        <f t="shared" si="2"/>
        <v>32448.214285714294</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23674</v>
      </c>
      <c r="N61" s="615">
        <f t="shared" si="4"/>
        <v>106533</v>
      </c>
      <c r="O61" s="615">
        <f t="shared" si="4"/>
        <v>152190.00000000003</v>
      </c>
      <c r="P61" s="615">
        <f t="shared" si="4"/>
        <v>261115.71428571432</v>
      </c>
      <c r="Q61" s="615">
        <f t="shared" si="4"/>
        <v>0</v>
      </c>
      <c r="R61" s="615">
        <f t="shared" si="4"/>
        <v>0</v>
      </c>
      <c r="S61" s="615">
        <f t="shared" si="4"/>
        <v>10816.071428571431</v>
      </c>
      <c r="T61" s="615">
        <f t="shared" si="4"/>
        <v>0</v>
      </c>
      <c r="U61" s="615">
        <f t="shared" si="4"/>
        <v>32448.214285714294</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107518.23529411765</v>
      </c>
      <c r="C101" s="644">
        <f t="shared" si="9"/>
        <v>0</v>
      </c>
      <c r="D101" s="644">
        <f t="shared" si="9"/>
        <v>0</v>
      </c>
      <c r="E101" s="644">
        <f t="shared" si="9"/>
        <v>4453.676470588236</v>
      </c>
      <c r="F101" s="644">
        <f t="shared" si="9"/>
        <v>0</v>
      </c>
      <c r="G101" s="644">
        <f t="shared" si="9"/>
        <v>13361.029411764708</v>
      </c>
      <c r="H101" s="644">
        <f t="shared" si="9"/>
        <v>0</v>
      </c>
      <c r="I101" s="645">
        <f t="shared" si="9"/>
        <v>0</v>
      </c>
      <c r="J101" s="602"/>
      <c r="K101" s="602"/>
      <c r="L101" s="640"/>
      <c r="M101" s="640"/>
      <c r="N101" s="640"/>
      <c r="O101" s="627"/>
      <c r="P101" s="627"/>
    </row>
    <row r="102" spans="1:16" ht="15.75" thickBot="1">
      <c r="A102" s="646" t="s">
        <v>286</v>
      </c>
      <c r="B102" s="647">
        <f t="shared" ref="B102:I102" si="10">$B$98*P58</f>
        <v>153597.47899159667</v>
      </c>
      <c r="C102" s="647">
        <f t="shared" si="10"/>
        <v>0</v>
      </c>
      <c r="D102" s="647">
        <f t="shared" si="10"/>
        <v>0</v>
      </c>
      <c r="E102" s="647">
        <f t="shared" si="10"/>
        <v>6362.3949579831951</v>
      </c>
      <c r="F102" s="647">
        <f t="shared" si="10"/>
        <v>0</v>
      </c>
      <c r="G102" s="647">
        <f t="shared" si="10"/>
        <v>19087.184873949584</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20534.506715548549</v>
      </c>
      <c r="C4" s="477">
        <f>huishoudens!C8</f>
        <v>0</v>
      </c>
      <c r="D4" s="477">
        <f>huishoudens!D8</f>
        <v>58343.055534500003</v>
      </c>
      <c r="E4" s="477">
        <f>huishoudens!E8</f>
        <v>1127.7639791083188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8385.5092763103276</v>
      </c>
      <c r="O4" s="477">
        <f>huishoudens!O8</f>
        <v>187.6</v>
      </c>
      <c r="P4" s="478">
        <f>huishoudens!P8</f>
        <v>781.73333333333335</v>
      </c>
      <c r="Q4" s="479">
        <f>SUM(B4:P4)</f>
        <v>89360.168838800542</v>
      </c>
    </row>
    <row r="5" spans="1:17">
      <c r="A5" s="476" t="s">
        <v>156</v>
      </c>
      <c r="B5" s="477">
        <f ca="1">tertiair!B16</f>
        <v>11054.990469</v>
      </c>
      <c r="C5" s="477">
        <f ca="1">tertiair!C16</f>
        <v>0</v>
      </c>
      <c r="D5" s="477">
        <f ca="1">tertiair!D16</f>
        <v>20534.782989600004</v>
      </c>
      <c r="E5" s="477">
        <f>tertiair!E16</f>
        <v>150.29760411234378</v>
      </c>
      <c r="F5" s="477">
        <f ca="1">tertiair!F16</f>
        <v>1825.7343738570009</v>
      </c>
      <c r="G5" s="477">
        <f>tertiair!G16</f>
        <v>0</v>
      </c>
      <c r="H5" s="477">
        <f>tertiair!H16</f>
        <v>0</v>
      </c>
      <c r="I5" s="477">
        <f>tertiair!I16</f>
        <v>0</v>
      </c>
      <c r="J5" s="477">
        <f>tertiair!J16</f>
        <v>1.7633243899982491E-2</v>
      </c>
      <c r="K5" s="477">
        <f>tertiair!K16</f>
        <v>0</v>
      </c>
      <c r="L5" s="477">
        <f ca="1">tertiair!L16</f>
        <v>0</v>
      </c>
      <c r="M5" s="477">
        <f>tertiair!M16</f>
        <v>0</v>
      </c>
      <c r="N5" s="477">
        <f ca="1">tertiair!N16</f>
        <v>723.53315440098788</v>
      </c>
      <c r="O5" s="477">
        <f>tertiair!O16</f>
        <v>3.1266666666666669</v>
      </c>
      <c r="P5" s="478">
        <f>tertiair!P16</f>
        <v>0</v>
      </c>
      <c r="Q5" s="476">
        <f t="shared" ref="Q5:Q14" ca="1" si="0">SUM(B5:P5)</f>
        <v>34292.4828908809</v>
      </c>
    </row>
    <row r="6" spans="1:17">
      <c r="A6" s="476" t="s">
        <v>194</v>
      </c>
      <c r="B6" s="477">
        <f>'openbare verlichting'!B8</f>
        <v>564.21299999999997</v>
      </c>
      <c r="C6" s="477"/>
      <c r="D6" s="477"/>
      <c r="E6" s="477"/>
      <c r="F6" s="477"/>
      <c r="G6" s="477"/>
      <c r="H6" s="477"/>
      <c r="I6" s="477"/>
      <c r="J6" s="477"/>
      <c r="K6" s="477"/>
      <c r="L6" s="477"/>
      <c r="M6" s="477"/>
      <c r="N6" s="477"/>
      <c r="O6" s="477"/>
      <c r="P6" s="478"/>
      <c r="Q6" s="476">
        <f t="shared" si="0"/>
        <v>564.21299999999997</v>
      </c>
    </row>
    <row r="7" spans="1:17">
      <c r="A7" s="476" t="s">
        <v>112</v>
      </c>
      <c r="B7" s="477">
        <f>landbouw!B8</f>
        <v>4873.9780000000001</v>
      </c>
      <c r="C7" s="477">
        <f>landbouw!C8</f>
        <v>152190.00000000003</v>
      </c>
      <c r="D7" s="477">
        <f>landbouw!D8</f>
        <v>0</v>
      </c>
      <c r="E7" s="477">
        <f>landbouw!E8</f>
        <v>143.2611002670742</v>
      </c>
      <c r="F7" s="477">
        <f>landbouw!F8</f>
        <v>9488.6575434814367</v>
      </c>
      <c r="G7" s="477">
        <f>landbouw!G8</f>
        <v>0</v>
      </c>
      <c r="H7" s="477">
        <f>landbouw!H8</f>
        <v>0</v>
      </c>
      <c r="I7" s="477">
        <f>landbouw!I8</f>
        <v>0</v>
      </c>
      <c r="J7" s="477">
        <f>landbouw!J8</f>
        <v>706.13474232430565</v>
      </c>
      <c r="K7" s="477">
        <f>landbouw!K8</f>
        <v>0</v>
      </c>
      <c r="L7" s="477">
        <f>landbouw!L8</f>
        <v>0</v>
      </c>
      <c r="M7" s="477">
        <f>landbouw!M8</f>
        <v>0</v>
      </c>
      <c r="N7" s="477">
        <f>landbouw!N8</f>
        <v>0</v>
      </c>
      <c r="O7" s="477">
        <f>landbouw!O8</f>
        <v>0</v>
      </c>
      <c r="P7" s="478">
        <f>landbouw!P8</f>
        <v>0</v>
      </c>
      <c r="Q7" s="476">
        <f t="shared" si="0"/>
        <v>167402.03138607283</v>
      </c>
    </row>
    <row r="8" spans="1:17">
      <c r="A8" s="476" t="s">
        <v>635</v>
      </c>
      <c r="B8" s="477">
        <f>industrie!B18</f>
        <v>8284.1434000000008</v>
      </c>
      <c r="C8" s="477">
        <f>industrie!C18</f>
        <v>0</v>
      </c>
      <c r="D8" s="477">
        <f>industrie!D18</f>
        <v>2789.0433515999998</v>
      </c>
      <c r="E8" s="477">
        <f>industrie!E18</f>
        <v>208.45972327397459</v>
      </c>
      <c r="F8" s="477">
        <f>industrie!F18</f>
        <v>748.86510108930895</v>
      </c>
      <c r="G8" s="477">
        <f>industrie!G18</f>
        <v>0</v>
      </c>
      <c r="H8" s="477">
        <f>industrie!H18</f>
        <v>0</v>
      </c>
      <c r="I8" s="477">
        <f>industrie!I18</f>
        <v>0</v>
      </c>
      <c r="J8" s="477">
        <f>industrie!J18</f>
        <v>1.1337236882046628</v>
      </c>
      <c r="K8" s="477">
        <f>industrie!K18</f>
        <v>0</v>
      </c>
      <c r="L8" s="477">
        <f>industrie!L18</f>
        <v>0</v>
      </c>
      <c r="M8" s="477">
        <f>industrie!M18</f>
        <v>0</v>
      </c>
      <c r="N8" s="477">
        <f>industrie!N18</f>
        <v>20977.525875745381</v>
      </c>
      <c r="O8" s="477">
        <f>industrie!O18</f>
        <v>0</v>
      </c>
      <c r="P8" s="478">
        <f>industrie!P18</f>
        <v>0</v>
      </c>
      <c r="Q8" s="476">
        <f t="shared" si="0"/>
        <v>33009.17117539687</v>
      </c>
    </row>
    <row r="9" spans="1:17" s="482" customFormat="1">
      <c r="A9" s="480" t="s">
        <v>561</v>
      </c>
      <c r="B9" s="481">
        <f>transport!B14</f>
        <v>19.699687051582462</v>
      </c>
      <c r="C9" s="481">
        <f>transport!C14</f>
        <v>0</v>
      </c>
      <c r="D9" s="481">
        <f>transport!D14</f>
        <v>64.161811520014268</v>
      </c>
      <c r="E9" s="481">
        <f>transport!E14</f>
        <v>86.483766621777846</v>
      </c>
      <c r="F9" s="481">
        <f>transport!F14</f>
        <v>0</v>
      </c>
      <c r="G9" s="481">
        <f>transport!G14</f>
        <v>33779.641110027951</v>
      </c>
      <c r="H9" s="481">
        <f>transport!H14</f>
        <v>7263.9910722798622</v>
      </c>
      <c r="I9" s="481">
        <f>transport!I14</f>
        <v>0</v>
      </c>
      <c r="J9" s="481">
        <f>transport!J14</f>
        <v>0</v>
      </c>
      <c r="K9" s="481">
        <f>transport!K14</f>
        <v>0</v>
      </c>
      <c r="L9" s="481">
        <f>transport!L14</f>
        <v>0</v>
      </c>
      <c r="M9" s="481">
        <f>transport!M14</f>
        <v>2187.8804652652457</v>
      </c>
      <c r="N9" s="481">
        <f>transport!N14</f>
        <v>0</v>
      </c>
      <c r="O9" s="481">
        <f>transport!O14</f>
        <v>0</v>
      </c>
      <c r="P9" s="481">
        <f>transport!P14</f>
        <v>0</v>
      </c>
      <c r="Q9" s="480">
        <f>SUM(B9:P9)</f>
        <v>43401.857912766434</v>
      </c>
    </row>
    <row r="10" spans="1:17">
      <c r="A10" s="476" t="s">
        <v>551</v>
      </c>
      <c r="B10" s="477">
        <f>transport!B54</f>
        <v>743.15107499999999</v>
      </c>
      <c r="C10" s="477">
        <f>transport!C54</f>
        <v>0</v>
      </c>
      <c r="D10" s="477">
        <f>transport!D54</f>
        <v>0</v>
      </c>
      <c r="E10" s="477">
        <f>transport!E54</f>
        <v>0</v>
      </c>
      <c r="F10" s="477">
        <f>transport!F54</f>
        <v>0</v>
      </c>
      <c r="G10" s="477">
        <f>transport!G54</f>
        <v>1328.379631976253</v>
      </c>
      <c r="H10" s="477">
        <f>transport!H54</f>
        <v>0</v>
      </c>
      <c r="I10" s="477">
        <f>transport!I54</f>
        <v>0</v>
      </c>
      <c r="J10" s="477">
        <f>transport!J54</f>
        <v>0</v>
      </c>
      <c r="K10" s="477">
        <f>transport!K54</f>
        <v>0</v>
      </c>
      <c r="L10" s="477">
        <f>transport!L54</f>
        <v>0</v>
      </c>
      <c r="M10" s="477">
        <f>transport!M54</f>
        <v>75.446098862898083</v>
      </c>
      <c r="N10" s="477">
        <f>transport!N54</f>
        <v>0</v>
      </c>
      <c r="O10" s="477">
        <f>transport!O54</f>
        <v>0</v>
      </c>
      <c r="P10" s="478">
        <f>transport!P54</f>
        <v>0</v>
      </c>
      <c r="Q10" s="476">
        <f t="shared" si="0"/>
        <v>2146.976805839151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668.27994999999999</v>
      </c>
      <c r="C14" s="484"/>
      <c r="D14" s="484">
        <f>'SEAP template'!E25</f>
        <v>1592.2861</v>
      </c>
      <c r="E14" s="484"/>
      <c r="F14" s="484"/>
      <c r="G14" s="484"/>
      <c r="H14" s="484"/>
      <c r="I14" s="484"/>
      <c r="J14" s="484"/>
      <c r="K14" s="484"/>
      <c r="L14" s="484"/>
      <c r="M14" s="484"/>
      <c r="N14" s="484"/>
      <c r="O14" s="484"/>
      <c r="P14" s="485"/>
      <c r="Q14" s="476">
        <f t="shared" si="0"/>
        <v>2260.5660499999999</v>
      </c>
    </row>
    <row r="15" spans="1:17" s="486" customFormat="1">
      <c r="A15" s="1039" t="s">
        <v>555</v>
      </c>
      <c r="B15" s="987">
        <f ca="1">SUM(B4:B14)</f>
        <v>46742.962296600126</v>
      </c>
      <c r="C15" s="987">
        <f t="shared" ref="C15:Q15" ca="1" si="1">SUM(C4:C14)</f>
        <v>152190.00000000003</v>
      </c>
      <c r="D15" s="987">
        <f t="shared" ca="1" si="1"/>
        <v>83323.32978722002</v>
      </c>
      <c r="E15" s="987">
        <f t="shared" si="1"/>
        <v>1716.2661733834893</v>
      </c>
      <c r="F15" s="987">
        <f t="shared" ca="1" si="1"/>
        <v>12063.257018427747</v>
      </c>
      <c r="G15" s="987">
        <f t="shared" si="1"/>
        <v>35108.020742004206</v>
      </c>
      <c r="H15" s="987">
        <f t="shared" si="1"/>
        <v>7263.9910722798622</v>
      </c>
      <c r="I15" s="987">
        <f t="shared" si="1"/>
        <v>0</v>
      </c>
      <c r="J15" s="987">
        <f t="shared" si="1"/>
        <v>707.28609925641035</v>
      </c>
      <c r="K15" s="987">
        <f t="shared" si="1"/>
        <v>0</v>
      </c>
      <c r="L15" s="987">
        <f t="shared" ca="1" si="1"/>
        <v>0</v>
      </c>
      <c r="M15" s="987">
        <f t="shared" si="1"/>
        <v>2263.3265641281437</v>
      </c>
      <c r="N15" s="987">
        <f t="shared" ca="1" si="1"/>
        <v>30086.568306456698</v>
      </c>
      <c r="O15" s="987">
        <f t="shared" si="1"/>
        <v>190.72666666666666</v>
      </c>
      <c r="P15" s="987">
        <f t="shared" si="1"/>
        <v>781.73333333333335</v>
      </c>
      <c r="Q15" s="987">
        <f t="shared" ca="1" si="1"/>
        <v>372437.46805975679</v>
      </c>
    </row>
    <row r="17" spans="1:17">
      <c r="A17" s="487" t="s">
        <v>556</v>
      </c>
      <c r="B17" s="786">
        <f ca="1">huishoudens!B10</f>
        <v>0.21007501485746768</v>
      </c>
      <c r="C17" s="786">
        <f ca="1">huishoudens!C10</f>
        <v>0.21503022675658084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4313.7868033596314</v>
      </c>
      <c r="C22" s="477">
        <f t="shared" ref="C22:C32" ca="1" si="3">C4*$C$17</f>
        <v>0</v>
      </c>
      <c r="D22" s="477">
        <f t="shared" ref="D22:D32" si="4">D4*$D$17</f>
        <v>11785.297217969</v>
      </c>
      <c r="E22" s="477">
        <f t="shared" ref="E22:E32" si="5">E4*$E$17</f>
        <v>256.00242325758836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16355.086444586221</v>
      </c>
    </row>
    <row r="23" spans="1:17">
      <c r="A23" s="476" t="s">
        <v>156</v>
      </c>
      <c r="B23" s="477">
        <f t="shared" ca="1" si="2"/>
        <v>2322.3772870243388</v>
      </c>
      <c r="C23" s="477">
        <f t="shared" ca="1" si="3"/>
        <v>0</v>
      </c>
      <c r="D23" s="477">
        <f t="shared" ca="1" si="4"/>
        <v>4148.0261638992015</v>
      </c>
      <c r="E23" s="477">
        <f t="shared" si="5"/>
        <v>34.117556133502042</v>
      </c>
      <c r="F23" s="477">
        <f t="shared" ca="1" si="6"/>
        <v>487.4710778198193</v>
      </c>
      <c r="G23" s="477">
        <f t="shared" si="7"/>
        <v>0</v>
      </c>
      <c r="H23" s="477">
        <f t="shared" si="8"/>
        <v>0</v>
      </c>
      <c r="I23" s="477">
        <f t="shared" si="9"/>
        <v>0</v>
      </c>
      <c r="J23" s="477">
        <f t="shared" si="10"/>
        <v>6.2421683405938016E-3</v>
      </c>
      <c r="K23" s="477">
        <f t="shared" si="11"/>
        <v>0</v>
      </c>
      <c r="L23" s="477">
        <f t="shared" ca="1" si="12"/>
        <v>0</v>
      </c>
      <c r="M23" s="477">
        <f t="shared" si="13"/>
        <v>0</v>
      </c>
      <c r="N23" s="477">
        <f t="shared" ca="1" si="14"/>
        <v>0</v>
      </c>
      <c r="O23" s="477">
        <f t="shared" si="15"/>
        <v>0</v>
      </c>
      <c r="P23" s="478">
        <f t="shared" si="16"/>
        <v>0</v>
      </c>
      <c r="Q23" s="476">
        <f t="shared" ref="Q23:Q32" ca="1" si="17">SUM(B23:P23)</f>
        <v>6991.998327045203</v>
      </c>
    </row>
    <row r="24" spans="1:17">
      <c r="A24" s="476" t="s">
        <v>194</v>
      </c>
      <c r="B24" s="477">
        <f t="shared" ca="1" si="2"/>
        <v>118.52705435777641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118.52705435777641</v>
      </c>
    </row>
    <row r="25" spans="1:17">
      <c r="A25" s="476" t="s">
        <v>112</v>
      </c>
      <c r="B25" s="477">
        <f t="shared" ca="1" si="2"/>
        <v>1023.9010007649706</v>
      </c>
      <c r="C25" s="477">
        <f t="shared" ca="1" si="3"/>
        <v>32725.450210084044</v>
      </c>
      <c r="D25" s="477">
        <f t="shared" si="4"/>
        <v>0</v>
      </c>
      <c r="E25" s="477">
        <f t="shared" si="5"/>
        <v>32.520269760625844</v>
      </c>
      <c r="F25" s="477">
        <f t="shared" si="6"/>
        <v>2533.4715641095436</v>
      </c>
      <c r="G25" s="477">
        <f t="shared" si="7"/>
        <v>0</v>
      </c>
      <c r="H25" s="477">
        <f t="shared" si="8"/>
        <v>0</v>
      </c>
      <c r="I25" s="477">
        <f t="shared" si="9"/>
        <v>0</v>
      </c>
      <c r="J25" s="477">
        <f t="shared" si="10"/>
        <v>249.9716987828042</v>
      </c>
      <c r="K25" s="477">
        <f t="shared" si="11"/>
        <v>0</v>
      </c>
      <c r="L25" s="477">
        <f t="shared" si="12"/>
        <v>0</v>
      </c>
      <c r="M25" s="477">
        <f t="shared" si="13"/>
        <v>0</v>
      </c>
      <c r="N25" s="477">
        <f t="shared" si="14"/>
        <v>0</v>
      </c>
      <c r="O25" s="477">
        <f t="shared" si="15"/>
        <v>0</v>
      </c>
      <c r="P25" s="478">
        <f t="shared" si="16"/>
        <v>0</v>
      </c>
      <c r="Q25" s="476">
        <f t="shared" ca="1" si="17"/>
        <v>36565.314743502</v>
      </c>
    </row>
    <row r="26" spans="1:17">
      <c r="A26" s="476" t="s">
        <v>635</v>
      </c>
      <c r="B26" s="477">
        <f t="shared" ca="1" si="2"/>
        <v>1740.291547836393</v>
      </c>
      <c r="C26" s="477">
        <f t="shared" ca="1" si="3"/>
        <v>0</v>
      </c>
      <c r="D26" s="477">
        <f t="shared" si="4"/>
        <v>563.38675702319995</v>
      </c>
      <c r="E26" s="477">
        <f t="shared" si="5"/>
        <v>47.320357183192236</v>
      </c>
      <c r="F26" s="477">
        <f t="shared" si="6"/>
        <v>199.9469819908455</v>
      </c>
      <c r="G26" s="477">
        <f t="shared" si="7"/>
        <v>0</v>
      </c>
      <c r="H26" s="477">
        <f t="shared" si="8"/>
        <v>0</v>
      </c>
      <c r="I26" s="477">
        <f t="shared" si="9"/>
        <v>0</v>
      </c>
      <c r="J26" s="477">
        <f t="shared" si="10"/>
        <v>0.40133818562445062</v>
      </c>
      <c r="K26" s="477">
        <f t="shared" si="11"/>
        <v>0</v>
      </c>
      <c r="L26" s="477">
        <f t="shared" si="12"/>
        <v>0</v>
      </c>
      <c r="M26" s="477">
        <f t="shared" si="13"/>
        <v>0</v>
      </c>
      <c r="N26" s="477">
        <f t="shared" si="14"/>
        <v>0</v>
      </c>
      <c r="O26" s="477">
        <f t="shared" si="15"/>
        <v>0</v>
      </c>
      <c r="P26" s="478">
        <f t="shared" si="16"/>
        <v>0</v>
      </c>
      <c r="Q26" s="476">
        <f t="shared" ca="1" si="17"/>
        <v>2551.3469822192551</v>
      </c>
    </row>
    <row r="27" spans="1:17" s="482" customFormat="1">
      <c r="A27" s="480" t="s">
        <v>561</v>
      </c>
      <c r="B27" s="780">
        <f t="shared" ca="1" si="2"/>
        <v>4.1384120500486494</v>
      </c>
      <c r="C27" s="481">
        <f t="shared" ca="1" si="3"/>
        <v>0</v>
      </c>
      <c r="D27" s="481">
        <f t="shared" si="4"/>
        <v>12.960685927042883</v>
      </c>
      <c r="E27" s="481">
        <f t="shared" si="5"/>
        <v>19.63181502314357</v>
      </c>
      <c r="F27" s="481">
        <f t="shared" si="6"/>
        <v>0</v>
      </c>
      <c r="G27" s="481">
        <f t="shared" si="7"/>
        <v>9019.1641763774642</v>
      </c>
      <c r="H27" s="481">
        <f t="shared" si="8"/>
        <v>1808.7337769976857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10864.628866375386</v>
      </c>
    </row>
    <row r="28" spans="1:17">
      <c r="A28" s="476" t="s">
        <v>551</v>
      </c>
      <c r="B28" s="477">
        <f t="shared" ca="1" si="2"/>
        <v>156.11747312196809</v>
      </c>
      <c r="C28" s="477">
        <f t="shared" ca="1" si="3"/>
        <v>0</v>
      </c>
      <c r="D28" s="477">
        <f t="shared" si="4"/>
        <v>0</v>
      </c>
      <c r="E28" s="477">
        <f t="shared" si="5"/>
        <v>0</v>
      </c>
      <c r="F28" s="477">
        <f t="shared" si="6"/>
        <v>0</v>
      </c>
      <c r="G28" s="477">
        <f t="shared" si="7"/>
        <v>354.67736173765957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510.79483485962766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140.38892042519777</v>
      </c>
      <c r="C32" s="477">
        <f t="shared" ca="1" si="3"/>
        <v>0</v>
      </c>
      <c r="D32" s="477">
        <f t="shared" si="4"/>
        <v>321.64179220000005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462.03071262519779</v>
      </c>
    </row>
    <row r="33" spans="1:17" s="486" customFormat="1">
      <c r="A33" s="1039" t="s">
        <v>555</v>
      </c>
      <c r="B33" s="987">
        <f ca="1">SUM(B22:B32)</f>
        <v>9819.5284989403244</v>
      </c>
      <c r="C33" s="987">
        <f t="shared" ref="C33:Q33" ca="1" si="18">SUM(C22:C32)</f>
        <v>32725.450210084044</v>
      </c>
      <c r="D33" s="987">
        <f t="shared" ca="1" si="18"/>
        <v>16831.312617018444</v>
      </c>
      <c r="E33" s="987">
        <f t="shared" si="18"/>
        <v>389.59242135805209</v>
      </c>
      <c r="F33" s="987">
        <f t="shared" ca="1" si="18"/>
        <v>3220.8896239202081</v>
      </c>
      <c r="G33" s="987">
        <f t="shared" si="18"/>
        <v>9373.8415381151244</v>
      </c>
      <c r="H33" s="987">
        <f t="shared" si="18"/>
        <v>1808.7337769976857</v>
      </c>
      <c r="I33" s="987">
        <f t="shared" si="18"/>
        <v>0</v>
      </c>
      <c r="J33" s="987">
        <f t="shared" si="18"/>
        <v>250.37927913676924</v>
      </c>
      <c r="K33" s="987">
        <f t="shared" si="18"/>
        <v>0</v>
      </c>
      <c r="L33" s="987">
        <f t="shared" ca="1" si="18"/>
        <v>0</v>
      </c>
      <c r="M33" s="987">
        <f t="shared" si="18"/>
        <v>0</v>
      </c>
      <c r="N33" s="987">
        <f t="shared" ca="1" si="18"/>
        <v>0</v>
      </c>
      <c r="O33" s="987">
        <f t="shared" si="18"/>
        <v>0</v>
      </c>
      <c r="P33" s="987">
        <f t="shared" si="18"/>
        <v>0</v>
      </c>
      <c r="Q33" s="987">
        <f t="shared" ca="1" si="18"/>
        <v>74419.727965570666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2512.8813610052061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11356.875000000002</v>
      </c>
      <c r="C8" s="1056">
        <f>'SEAP template'!C76</f>
        <v>95176.125</v>
      </c>
      <c r="D8" s="1056">
        <f>'SEAP template'!D76</f>
        <v>107518.23529411765</v>
      </c>
      <c r="E8" s="1056">
        <f>'SEAP template'!E76</f>
        <v>0</v>
      </c>
      <c r="F8" s="1056">
        <f>'SEAP template'!F76</f>
        <v>4453.676470588236</v>
      </c>
      <c r="G8" s="1056">
        <f>'SEAP template'!G76</f>
        <v>0</v>
      </c>
      <c r="H8" s="1056">
        <f>'SEAP template'!H76</f>
        <v>0</v>
      </c>
      <c r="I8" s="1056">
        <f>'SEAP template'!I76</f>
        <v>13361.029411764708</v>
      </c>
      <c r="J8" s="1056">
        <f>'SEAP template'!J76</f>
        <v>0</v>
      </c>
      <c r="K8" s="1056">
        <f>'SEAP template'!K76</f>
        <v>0</v>
      </c>
      <c r="L8" s="1056">
        <f>'SEAP template'!L76</f>
        <v>0</v>
      </c>
      <c r="M8" s="1056">
        <f>'SEAP template'!M76</f>
        <v>0</v>
      </c>
      <c r="N8" s="1056">
        <f>'SEAP template'!N76</f>
        <v>0</v>
      </c>
      <c r="O8" s="1056">
        <f>'SEAP template'!O76</f>
        <v>0</v>
      </c>
      <c r="P8" s="1057">
        <f>'SEAP template'!Q76</f>
        <v>22907.815147058827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13869.756361005208</v>
      </c>
      <c r="C10" s="1060">
        <f>SUM(C4:C9)</f>
        <v>95176.125</v>
      </c>
      <c r="D10" s="1060">
        <f t="shared" ref="D10:H10" si="0">SUM(D8:D9)</f>
        <v>107518.23529411765</v>
      </c>
      <c r="E10" s="1060">
        <f t="shared" si="0"/>
        <v>0</v>
      </c>
      <c r="F10" s="1060">
        <f t="shared" si="0"/>
        <v>4453.676470588236</v>
      </c>
      <c r="G10" s="1060">
        <f t="shared" si="0"/>
        <v>0</v>
      </c>
      <c r="H10" s="1060">
        <f t="shared" si="0"/>
        <v>0</v>
      </c>
      <c r="I10" s="1060">
        <f>SUM(I8:I9)</f>
        <v>13361.029411764708</v>
      </c>
      <c r="J10" s="1060">
        <f>SUM(J8:J9)</f>
        <v>0</v>
      </c>
      <c r="K10" s="1060">
        <f t="shared" ref="K10:L10" si="1">SUM(K8:K9)</f>
        <v>0</v>
      </c>
      <c r="L10" s="1060">
        <f t="shared" si="1"/>
        <v>0</v>
      </c>
      <c r="M10" s="1060">
        <f>SUM(M8:M9)</f>
        <v>0</v>
      </c>
      <c r="N10" s="1060">
        <f>SUM(N8:N9)</f>
        <v>0</v>
      </c>
      <c r="O10" s="1060">
        <f>SUM(O8:O9)</f>
        <v>0</v>
      </c>
      <c r="P10" s="1060">
        <f>SUM(P8:P9)</f>
        <v>22907.815147058827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0.21007501485746768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16224.107142857145</v>
      </c>
      <c r="C17" s="1062">
        <f>'SEAP template'!C87</f>
        <v>135965.89285714287</v>
      </c>
      <c r="D17" s="1057">
        <f>'SEAP template'!D87</f>
        <v>153597.47899159667</v>
      </c>
      <c r="E17" s="1057">
        <f>'SEAP template'!E87</f>
        <v>0</v>
      </c>
      <c r="F17" s="1057">
        <f>'SEAP template'!F87</f>
        <v>6362.3949579831951</v>
      </c>
      <c r="G17" s="1057">
        <f>'SEAP template'!G87</f>
        <v>0</v>
      </c>
      <c r="H17" s="1057">
        <f>'SEAP template'!H87</f>
        <v>0</v>
      </c>
      <c r="I17" s="1057">
        <f>'SEAP template'!I87</f>
        <v>19087.184873949584</v>
      </c>
      <c r="J17" s="1057">
        <f>'SEAP template'!J87</f>
        <v>0</v>
      </c>
      <c r="K17" s="1057">
        <f>'SEAP template'!K87</f>
        <v>0</v>
      </c>
      <c r="L17" s="1057">
        <f>'SEAP template'!L87</f>
        <v>0</v>
      </c>
      <c r="M17" s="1057">
        <f>'SEAP template'!M87</f>
        <v>0</v>
      </c>
      <c r="N17" s="1057">
        <f>'SEAP template'!N87</f>
        <v>0</v>
      </c>
      <c r="O17" s="1057">
        <f>'SEAP template'!O87</f>
        <v>0</v>
      </c>
      <c r="P17" s="1057">
        <f>'SEAP template'!Q87</f>
        <v>32725.450210084044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16224.107142857145</v>
      </c>
      <c r="C20" s="1060">
        <f>SUM(C17:C19)</f>
        <v>135965.89285714287</v>
      </c>
      <c r="D20" s="1060">
        <f t="shared" ref="D20:H20" si="2">SUM(D17:D19)</f>
        <v>153597.47899159667</v>
      </c>
      <c r="E20" s="1060">
        <f t="shared" si="2"/>
        <v>0</v>
      </c>
      <c r="F20" s="1060">
        <f t="shared" si="2"/>
        <v>6362.3949579831951</v>
      </c>
      <c r="G20" s="1060">
        <f t="shared" si="2"/>
        <v>0</v>
      </c>
      <c r="H20" s="1060">
        <f t="shared" si="2"/>
        <v>0</v>
      </c>
      <c r="I20" s="1060">
        <f>SUM(I17:I19)</f>
        <v>19087.184873949584</v>
      </c>
      <c r="J20" s="1060">
        <f>SUM(J17:J19)</f>
        <v>0</v>
      </c>
      <c r="K20" s="1060">
        <f t="shared" ref="K20:L20" si="3">SUM(K17:K19)</f>
        <v>0</v>
      </c>
      <c r="L20" s="1060">
        <f t="shared" si="3"/>
        <v>0</v>
      </c>
      <c r="M20" s="1060">
        <f>SUM(M17:M19)</f>
        <v>0</v>
      </c>
      <c r="N20" s="1060">
        <f>SUM(N17:N19)</f>
        <v>0</v>
      </c>
      <c r="O20" s="1060">
        <f>SUM(O17:O19)</f>
        <v>0</v>
      </c>
      <c r="P20" s="1060">
        <f>SUM(P17:P19)</f>
        <v>32725.450210084044</v>
      </c>
    </row>
    <row r="22" spans="1:16">
      <c r="A22" s="487" t="s">
        <v>862</v>
      </c>
      <c r="B22" s="786" t="s">
        <v>856</v>
      </c>
      <c r="C22" s="786">
        <f ca="1">'EF ele_warmte'!B22</f>
        <v>0.21503022675658084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0.21007501485746768</v>
      </c>
      <c r="C17" s="524">
        <f ca="1">'EF ele_warmte'!B22</f>
        <v>0.21503022675658084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2019-08-12T08:31:04Z</dcterms:modified>
</cp:coreProperties>
</file>