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J46"/>
  <c r="J61" s="1"/>
  <c r="H18"/>
  <c r="G13" i="48"/>
  <c r="H13"/>
  <c r="H31" s="1"/>
  <c r="I18" i="14"/>
  <c r="K23" i="48"/>
  <c r="K33" s="1"/>
  <c r="K15"/>
  <c r="P8"/>
  <c r="P26" s="1"/>
  <c r="Q13" i="14"/>
  <c r="F20"/>
  <c r="F22" s="1"/>
  <c r="E9" i="48"/>
  <c r="E27" s="1"/>
  <c r="E20" i="14"/>
  <c r="E22" s="1"/>
  <c r="D9" i="48"/>
  <c r="D27" s="1"/>
  <c r="O5"/>
  <c r="O23" s="1"/>
  <c r="P10" i="14"/>
  <c r="J7" i="48"/>
  <c r="J25" s="1"/>
  <c r="K24" i="14"/>
  <c r="K26" s="1"/>
  <c r="P15" i="48"/>
  <c r="P22"/>
  <c r="P33" s="1"/>
  <c r="C20" i="14"/>
  <c r="B9"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N22" s="1"/>
  <c r="N27" s="1"/>
  <c r="I23" i="48"/>
  <c r="I33" s="1"/>
  <c r="I15"/>
  <c r="J4"/>
  <c r="K11" i="14"/>
  <c r="E7" i="48"/>
  <c r="E25" s="1"/>
  <c r="F24" i="14"/>
  <c r="F26" s="1"/>
  <c r="N20"/>
  <c r="M9" i="48"/>
  <c r="R18" i="14"/>
  <c r="I22"/>
  <c r="I27" s="1"/>
  <c r="P16"/>
  <c r="P27" s="1"/>
  <c r="C22"/>
  <c r="G14" i="22"/>
  <c r="G10" i="48"/>
  <c r="H19" i="14"/>
  <c r="E12" i="13"/>
  <c r="F41" i="14" s="1"/>
  <c r="F11"/>
  <c r="E4" i="48"/>
  <c r="O22" i="16"/>
  <c r="P43" i="14" s="1"/>
  <c r="P46" s="1"/>
  <c r="P61" s="1"/>
  <c r="P63" s="1"/>
  <c r="O8" i="48"/>
  <c r="O26" s="1"/>
  <c r="O33" s="1"/>
  <c r="P13" i="14"/>
  <c r="I20"/>
  <c r="H9" i="48"/>
  <c r="G31"/>
  <c r="Q13"/>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E22" i="48"/>
  <c r="Q4"/>
  <c r="M27"/>
  <c r="M33" s="1"/>
  <c r="M15"/>
  <c r="H20" i="14"/>
  <c r="G9" i="48"/>
  <c r="J22"/>
  <c r="G28"/>
  <c r="Q10"/>
  <c r="E5"/>
  <c r="E23" s="1"/>
  <c r="F10" i="14"/>
  <c r="H27" i="48"/>
  <c r="H33" s="1"/>
  <c r="H15"/>
  <c r="R11" i="14"/>
  <c r="R24"/>
  <c r="R26" s="1"/>
  <c r="J20" i="15"/>
  <c r="K40" i="14" s="1"/>
  <c r="O15" i="48"/>
  <c r="R19" i="14"/>
  <c r="Q7" i="48"/>
  <c r="E20" i="15"/>
  <c r="F40" i="14" s="1"/>
  <c r="J18" i="16"/>
  <c r="E18"/>
  <c r="F18"/>
  <c r="F22" s="1"/>
  <c r="G43" i="14" s="1"/>
  <c r="N18" i="16"/>
  <c r="G18" i="22"/>
  <c r="H50" i="14" s="1"/>
  <c r="H52" s="1"/>
  <c r="H61" s="1"/>
  <c r="H18" i="22"/>
  <c r="I50" i="14" s="1"/>
  <c r="I52" s="1"/>
  <c r="I61" s="1"/>
  <c r="I63" s="1"/>
  <c r="G27" i="48" l="1"/>
  <c r="G33" s="1"/>
  <c r="G15"/>
  <c r="Q9"/>
  <c r="J22" i="16"/>
  <c r="K43" i="14" s="1"/>
  <c r="K46" s="1"/>
  <c r="K61" s="1"/>
  <c r="K63" s="1"/>
  <c r="J8" i="48"/>
  <c r="J26" s="1"/>
  <c r="J33" s="1"/>
  <c r="K13" i="14"/>
  <c r="E8" i="48"/>
  <c r="F13" i="14"/>
  <c r="H22"/>
  <c r="H27" s="1"/>
  <c r="R20"/>
  <c r="R22" s="1"/>
  <c r="J15" i="48"/>
  <c r="K16" i="14"/>
  <c r="K27" s="1"/>
  <c r="H63"/>
  <c r="F16"/>
  <c r="F27" s="1"/>
  <c r="E22" i="16"/>
  <c r="F43" i="14" s="1"/>
  <c r="F46" s="1"/>
  <c r="F61" s="1"/>
  <c r="F63" s="1"/>
  <c r="N8" i="48"/>
  <c r="N26" s="1"/>
  <c r="O13" i="14"/>
  <c r="N22" i="16"/>
  <c r="O43" i="14" s="1"/>
  <c r="G13"/>
  <c r="F8" i="48"/>
  <c r="E26" l="1"/>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B10" i="17"/>
  <c r="B12" s="1"/>
  <c r="C54" i="14" s="1"/>
  <c r="C40" l="1"/>
  <c r="B12" i="13"/>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<sst xmlns="http://schemas.openxmlformats.org/spreadsheetml/2006/main" count="2392" uniqueCount="890">
  <si>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</si>
  <si>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</si>
  <si>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</si>
  <si>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</si>
  <si>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</si>
  <si>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</si>
  <si>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</si>
  <si>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</si>
  <si>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</si>
  <si>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</si>
  <si>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</si>
  <si>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</si>
  <si>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</si>
  <si>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</si>
  <si>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</si>
  <si>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</si>
  <si>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</si>
  <si>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</si>
  <si>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</si>
  <si>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</si>
  <si>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</si>
  <si>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</si>
  <si>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</si>
  <si>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</si>
  <si>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</si>
  <si>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</si>
  <si>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</si>
  <si>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</si>
  <si>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</si>
  <si>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</si>
  <si>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</si>
  <si>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</si>
  <si>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</si>
  <si>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</si>
  <si>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</si>
  <si>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</si>
  <si>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</si>
  <si>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</si>
  <si>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</si>
  <si>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</si>
  <si>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</si>
  <si>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</si>
  <si>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</si>
  <si>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</si>
  <si>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</si>
  <si>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</si>
  <si>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</si>
  <si>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</si>
  <si>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</si>
  <si>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</si>
  <si>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</si>
  <si>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</si>
  <si>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</si>
  <si>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</si>
  <si>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</si>
  <si>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</si>
  <si>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</si>
  <si>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</si>
  <si>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</si>
  <si>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</si>
  <si>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</si>
  <si>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</si>
  <si>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</si>
  <si>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</si>
  <si>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</si>
  <si>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</si>
  <si>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</si>
  <si>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</si>
  <si>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</si>
  <si>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</si>
  <si>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</si>
  <si>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</si>
  <si>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</si>
  <si>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</si>
  <si>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</si>
  <si>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</si>
  <si>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</si>
  <si>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</si>
  <si>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</si>
  <si>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</si>
  <si>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</si>
  <si>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</si>
  <si>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</si>
  <si>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</si>
  <si>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</si>
  <si>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</si>
  <si>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</si>
  <si>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</si>
  <si>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</si>
  <si>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</si>
  <si>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</si>
  <si>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</si>
  <si>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</si>
  <si>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</si>
  <si>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</si>
  <si>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</si>
  <si>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</si>
  <si>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</si>
  <si>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</si>
  <si>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</si>
  <si>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</si>
  <si>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</si>
  <si>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</si>
  <si>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</si>
  <si>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</si>
  <si>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</si>
  <si>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</si>
  <si>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</si>
  <si>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</si>
  <si>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</si>
  <si>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</si>
  <si>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</si>
  <si>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</si>
  <si>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</si>
  <si>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</si>
  <si>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</si>
  <si>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</si>
  <si>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</si>
  <si>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</si>
  <si>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</si>
  <si>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</si>
  <si>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</si>
  <si>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</si>
  <si>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</si>
  <si>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</si>
  <si>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</si>
  <si>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</si>
  <si>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</si>
  <si>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</si>
  <si>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</si>
  <si>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</si>
  <si>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</si>
  <si>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</si>
  <si>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</si>
  <si>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</si>
  <si>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</si>
  <si>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</si>
  <si>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</si>
  <si>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</si>
  <si>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</si>
  <si>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</si>
  <si>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</si>
  <si>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</si>
  <si>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</si>
  <si>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</si>
  <si>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</si>
  <si>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</si>
  <si>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</si>
  <si>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</si>
  <si>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</si>
  <si>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</si>
  <si>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</si>
  <si>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</si>
  <si>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</si>
  <si>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</si>
  <si>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</si>
  <si>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</si>
  <si>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</si>
  <si>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</si>
  <si>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</si>
  <si>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</si>
  <si>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</si>
  <si>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</si>
  <si>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</si>
  <si>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</si>
  <si>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</si>
  <si>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</si>
  <si>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</si>
  <si>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</si>
  <si>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</si>
  <si>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</si>
  <si>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</si>
  <si>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</si>
  <si>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</si>
  <si>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</si>
  <si>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</si>
  <si>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</si>
  <si>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</si>
  <si>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</si>
  <si>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</si>
  <si>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</si>
  <si>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</si>
  <si>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</si>
  <si>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</si>
  <si>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</si>
  <si>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</si>
  <si>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</si>
  <si>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</si>
  <si>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</si>
  <si>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</si>
  <si>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</si>
  <si>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</si>
  <si>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</si>
  <si>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</si>
  <si>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</si>
  <si>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</si>
  <si>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</si>
  <si>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</si>
  <si>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</si>
  <si>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</si>
  <si>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</si>
  <si>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</si>
  <si>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</si>
  <si>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</si>
  <si>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</si>
  <si>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</si>
  <si>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</si>
  <si>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</si>
  <si>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</si>
  <si>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</si>
  <si>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</si>
  <si>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</si>
  <si>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</si>
  <si>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</si>
  <si>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</si>
  <si>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</si>
  <si>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</si>
  <si>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</si>
  <si>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</si>
  <si>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</si>
  <si>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</si>
  <si>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</si>
  <si>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</si>
  <si>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</si>
  <si>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</si>
  <si>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</si>
  <si>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</si>
  <si>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</si>
  <si>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</si>
  <si>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</si>
  <si>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</si>
  <si>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</si>
  <si>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</si>
  <si>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</si>
  <si>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</si>
  <si>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</si>
  <si>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</si>
  <si>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</si>
  <si>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</si>
  <si>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</si>
  <si>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</si>
  <si>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</si>
  <si>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</si>
  <si>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</si>
  <si>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</si>
  <si>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</si>
  <si>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</si>
  <si>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</si>
  <si>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</si>
  <si>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</si>
  <si>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</si>
  <si>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</si>
  <si>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</si>
  <si>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</si>
  <si>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</si>
  <si>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</si>
  <si>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</si>
  <si>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</si>
  <si>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</si>
  <si>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</si>
  <si>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</si>
  <si>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</si>
  <si>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</si>
  <si>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</si>
  <si>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</si>
  <si>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</si>
  <si>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</si>
  <si>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</si>
  <si>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</si>
  <si>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</si>
  <si>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</si>
  <si>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</si>
  <si>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</si>
  <si>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</si>
  <si>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</si>
  <si>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</si>
  <si>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</si>
  <si>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</si>
  <si>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</si>
  <si>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</si>
  <si>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</si>
  <si>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</si>
  <si>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</si>
  <si>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</si>
  <si>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</si>
  <si>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</si>
  <si>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</si>
  <si>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</si>
  <si>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</si>
  <si>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</si>
  <si>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</si>
  <si>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</si>
  <si>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</si>
  <si>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</si>
  <si>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</si>
  <si>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</si>
  <si>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</si>
  <si>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</si>
  <si>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</si>
  <si>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</si>
  <si>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</si>
  <si>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</si>
  <si>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</si>
  <si>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</si>
  <si>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</si>
  <si>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</si>
  <si>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</si>
  <si>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</si>
  <si>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</si>
  <si>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</si>
  <si>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</si>
  <si>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</si>
  <si>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</si>
  <si>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</si>
  <si>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</si>
  <si>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</si>
  <si>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</si>
  <si>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</si>
  <si>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</si>
  <si>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</si>
  <si>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</si>
  <si>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</si>
  <si>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</si>
  <si>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</si>
  <si>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</si>
  <si>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</si>
  <si>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</si>
  <si>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</si>
  <si>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</si>
  <si>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</si>
  <si>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</si>
  <si>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</si>
  <si>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</si>
  <si>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</si>
  <si>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</si>
  <si>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</si>
  <si>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</si>
  <si>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</si>
  <si>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</si>
  <si>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</si>
  <si>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</si>
  <si>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</si>
  <si>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</si>
  <si>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</si>
  <si>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</si>
  <si>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</si>
  <si>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</si>
  <si>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</si>
  <si>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</si>
  <si>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</si>
  <si>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</si>
  <si>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</si>
  <si>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</si>
  <si>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</si>
  <si>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</si>
  <si>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</si>
  <si>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</si>
  <si>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</si>
  <si>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</si>
  <si>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</si>
  <si>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</si>
  <si>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</si>
  <si>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</si>
  <si>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</si>
  <si>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</si>
  <si>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</si>
  <si>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</si>
  <si>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</si>
  <si>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</si>
  <si>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</si>
  <si>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</si>
  <si>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</si>
  <si>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</si>
  <si>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</si>
  <si>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</si>
  <si>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</si>
  <si>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</si>
  <si>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</si>
  <si>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</si>
  <si>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</si>
  <si>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</si>
  <si>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</si>
  <si>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</si>
  <si>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</si>
  <si>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</si>
  <si>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</si>
  <si>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</si>
  <si>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</si>
  <si>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</si>
  <si>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</si>
  <si>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</si>
  <si>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</si>
  <si>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</si>
  <si>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</si>
  <si>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</si>
  <si>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</si>
  <si>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</si>
  <si>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</si>
  <si>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</si>
  <si>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</si>
  <si>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</si>
  <si>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</si>
  <si>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</si>
  <si>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</si>
  <si>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</si>
  <si>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</si>
  <si>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</si>
  <si>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</si>
  <si>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</si>
  <si>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</si>
  <si>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</si>
  <si>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</si>
  <si>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</si>
  <si>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</si>
  <si>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</si>
  <si>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</si>
  <si>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</si>
  <si>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</si>
  <si>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</si>
  <si>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</si>
  <si>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</si>
  <si>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</si>
  <si>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</si>
  <si>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</si>
  <si>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</si>
  <si>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</si>
  <si>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</si>
  <si>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</si>
  <si>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</si>
  <si>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</si>
  <si>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</si>
  <si>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</si>
  <si>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</si>
  <si>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</si>
  <si>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</si>
  <si>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</si>
  <si>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</si>
  <si>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</si>
  <si>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</si>
  <si>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</si>
  <si>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</si>
  <si>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</si>
  <si>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</si>
  <si>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</si>
  <si>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</si>
  <si>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</si>
  <si>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</si>
  <si>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</si>
  <si>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</si>
  <si>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</si>
  <si>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</si>
  <si>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</si>
  <si>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</si>
  <si>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</si>
  <si>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</si>
  <si>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</si>
  <si>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</si>
  <si>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</si>
  <si>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</si>
  <si>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</si>
  <si>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</si>
  <si>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</si>
  <si>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</si>
  <si>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</si>
  <si>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</si>
  <si>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</si>
  <si>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</si>
  <si>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</si>
  <si>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</si>
  <si>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</si>
  <si>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</si>
  <si>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</si>
  <si>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</si>
  <si>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</si>
  <si>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</si>
  <si>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</si>
  <si>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</si>
  <si>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</si>
  <si>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</si>
  <si>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</si>
  <si>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</si>
  <si>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</si>
  <si>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</si>
  <si>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</si>
  <si>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</si>
  <si>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</si>
  <si>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</si>
  <si>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</si>
  <si>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</si>
  <si>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</si>
  <si>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</si>
  <si>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</si>
  <si>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</si>
  <si>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</si>
  <si>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</si>
  <si>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</si>
  <si>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</si>
  <si>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</si>
  <si>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</si>
  <si>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</si>
  <si>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</si>
  <si>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</si>
  <si>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</si>
  <si>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</si>
  <si>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</si>
  <si>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</si>
  <si>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</si>
  <si>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</si>
  <si>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</si>
  <si>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</si>
  <si>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</si>
  <si>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</si>
  <si>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</si>
  <si>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</si>
  <si>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</si>
  <si>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</si>
  <si>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</si>
  <si>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</si>
  <si>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</si>
  <si>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</si>
  <si>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</si>
  <si>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</si>
  <si>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</si>
  <si>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</si>
  <si>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</si>
  <si>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</si>
  <si>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</si>
  <si>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</si>
  <si>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</si>
  <si>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</si>
  <si>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</si>
  <si>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</si>
  <si>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</si>
  <si>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</si>
  <si>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</si>
  <si>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</si>
  <si>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</si>
  <si>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</si>
  <si>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</si>
  <si>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</si>
  <si>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</si>
  <si>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</si>
  <si>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</si>
  <si>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</si>
  <si>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</si>
  <si>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</si>
  <si>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</si>
  <si>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</si>
  <si>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</si>
  <si>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</si>
  <si>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</si>
  <si>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</si>
  <si>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</si>
  <si>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</si>
  <si>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</si>
  <si>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</si>
  <si>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</si>
  <si>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</si>
  <si>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</si>
  <si>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</si>
  <si>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</si>
  <si>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</si>
  <si>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</si>
  <si>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</si>
  <si>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</si>
  <si>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</si>
  <si>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</si>
  <si>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</si>
  <si>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</si>
  <si>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</si>
  <si>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</si>
  <si>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</si>
  <si>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</si>
  <si>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</si>
  <si>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</si>
  <si>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</si>
  <si>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</si>
  <si>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</si>
  <si>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</si>
  <si>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</si>
  <si>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</si>
  <si>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</si>
  <si>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</si>
  <si>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</si>
  <si>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</si>
  <si>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</si>
  <si>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</si>
  <si>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</si>
  <si>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</si>
  <si>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</si>
  <si>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</si>
  <si>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</si>
  <si>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</si>
  <si>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</si>
  <si>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</si>
  <si>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</si>
  <si>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</si>
  <si>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</si>
  <si>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</si>
  <si>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</si>
  <si>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</si>
  <si>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</si>
  <si>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</si>
  <si>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</si>
  <si>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</si>
  <si>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</si>
  <si>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</si>
  <si>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</si>
  <si>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</si>
  <si>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</si>
  <si>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</si>
  <si>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</si>
  <si>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</si>
  <si>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</si>
  <si>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</si>
  <si>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</si>
  <si>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</si>
  <si>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</si>
  <si>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</si>
  <si>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</si>
  <si>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</si>
  <si>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</si>
  <si>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</si>
  <si>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</si>
  <si>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</si>
  <si>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</si>
  <si>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</si>
  <si>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</si>
  <si>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</si>
  <si>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</si>
  <si>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</si>
  <si>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</si>
  <si>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</si>
  <si>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</si>
  <si>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</si>
  <si>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</si>
  <si>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</si>
  <si>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</si>
  <si>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</si>
  <si>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</si>
  <si>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</si>
  <si>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</si>
  <si>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</si>
  <si>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</si>
  <si>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</si>
  <si>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</si>
  <si>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</si>
  <si>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</si>
  <si>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</si>
  <si>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</si>
  <si>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</si>
  <si>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</si>
  <si>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</si>
  <si>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</si>
  <si>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</si>
  <si>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</si>
  <si>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</si>
  <si>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</si>
  <si>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</si>
  <si>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</si>
  <si>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</si>
  <si>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</si>
  <si>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</si>
  <si>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</si>
  <si>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</si>
  <si>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</si>
  <si>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</si>
  <si>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</si>
  <si>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</si>
  <si>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</si>
  <si>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</si>
  <si>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</si>
  <si>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</si>
  <si>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</si>
  <si>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</si>
  <si>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</si>
  <si>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</si>
  <si>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</si>
  <si>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</si>
  <si>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</si>
  <si>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</si>
  <si>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</si>
  <si>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</si>
  <si>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</si>
  <si>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</si>
  <si>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</si>
  <si>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</si>
  <si>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</si>
  <si>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</si>
  <si>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</si>
  <si>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</si>
  <si>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</si>
  <si>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</si>
  <si>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</si>
  <si>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</si>
  <si>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</si>
  <si>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</si>
  <si>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</si>
  <si>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</si>
  <si>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</si>
  <si>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</si>
  <si>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</si>
  <si>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</si>
  <si>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</si>
  <si>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</si>
  <si>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</si>
  <si>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</si>
  <si>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</si>
  <si>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</si>
  <si>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</si>
  <si>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</si>
  <si>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</si>
  <si>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</si>
  <si>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</si>
  <si>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</si>
  <si>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</si>
  <si>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</si>
  <si>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</si>
  <si>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</si>
  <si>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</si>
  <si>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</si>
  <si>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</si>
  <si>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</si>
  <si>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</si>
  <si>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</si>
  <si>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</si>
  <si>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</si>
  <si>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</si>
  <si>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</si>
  <si>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</si>
  <si>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</si>
  <si>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</si>
  <si>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</si>
  <si>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</si>
  <si>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</si>
  <si>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</si>
  <si>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</si>
  <si>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</si>
  <si>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</si>
  <si>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</si>
  <si>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</si>
  <si>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</si>
  <si>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</si>
  <si>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</si>
  <si>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</si>
  <si>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</si>
  <si>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</si>
  <si>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</si>
  <si>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</si>
  <si>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</si>
  <si>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</si>
  <si>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</si>
  <si>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</si>
  <si>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</si>
  <si>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</si>
  <si>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</si>
  <si>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</si>
  <si>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</si>
  <si>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</si>
  <si>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</si>
  <si>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</si>
  <si>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</si>
  <si>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</si>
  <si>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</si>
  <si>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</si>
  <si>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</si>
  <si>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</si>
  <si>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</si>
  <si>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</si>
  <si>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</si>
  <si>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</si>
  <si>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</si>
  <si>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</si>
  <si>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</si>
  <si>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</si>
  <si>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</si>
  <si>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</si>
  <si>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</si>
  <si>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</si>
  <si>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</si>
  <si>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</si>
  <si>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</si>
  <si>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</si>
  <si>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</si>
  <si>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</si>
  <si>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</si>
  <si>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</si>
  <si>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</si>
  <si>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</si>
  <si>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</si>
  <si>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</si>
  <si>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</si>
  <si>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</si>
  <si>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</si>
  <si>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</si>
  <si>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</si>
  <si>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</si>
  <si>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</si>
  <si>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</si>
  <si>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</si>
  <si>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</si>
  <si>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</si>
  <si>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</si>
  <si>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</si>
  <si>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</si>
  <si>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</si>
  <si>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</si>
  <si>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</si>
  <si>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</si>
  <si>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</si>
  <si>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</si>
  <si>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</si>
  <si>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</si>
  <si>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</si>
  <si>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</si>
  <si>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</si>
  <si>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</si>
  <si>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</si>
  <si>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</si>
  <si>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</si>
  <si>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</si>
  <si>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</si>
  <si>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</si>
  <si>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</si>
  <si>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</si>
  <si>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</si>
  <si>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</si>
  <si>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</si>
  <si>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</si>
  <si>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</si>
  <si>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</si>
  <si>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</si>
  <si>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</si>
  <si>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</si>
  <si>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</si>
  <si>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</si>
  <si>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</si>
  <si>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</si>
  <si>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</si>
  <si>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</si>
  <si>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</si>
  <si>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</si>
  <si>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</si>
  <si>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</si>
  <si>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</si>
  <si>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</si>
  <si>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</si>
  <si>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</si>
  <si>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</si>
  <si>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</si>
  <si>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</si>
  <si>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</si>
  <si>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</si>
  <si>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</si>
  <si>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</si>
  <si>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</si>
  <si>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</si>
  <si>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</si>
  <si>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</si>
  <si>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</si>
  <si>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</si>
  <si>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</si>
  <si>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</si>
  <si>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</si>
  <si>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</si>
  <si>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</si>
  <si>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</si>
  <si>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</si>
  <si>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</si>
  <si>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</si>
  <si>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</si>
  <si>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</si>
  <si>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</si>
  <si>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</si>
  <si>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</si>
  <si>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</si>
  <si>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</si>
  <si>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</si>
  <si>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</si>
  <si>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</si>
  <si>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</si>
  <si>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</si>
  <si>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73098</t>
  </si>
  <si>
    <t>WELLEN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</si>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</sst>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74929.713523818311</c:v>
                </c:pt>
                <c:pt idx="1">
                  <c:v>25158.866963099717</c:v>
                </c:pt>
                <c:pt idx="2">
                  <c:v>552.26099999999997</c:v>
                </c:pt>
                <c:pt idx="3">
                  <c:v>10737.212708014526</c:v>
                </c:pt>
                <c:pt idx="4">
                  <c:v>82545.127380049686</c:v>
                </c:pt>
                <c:pt idx="5">
                  <c:v>28982.915520042843</c:v>
                </c:pt>
                <c:pt idx="6">
                  <c:v>435.6735061447817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13056"/>
        <c:axId val="131614592"/>
      </c:barChart>
      <c:catAx>
        <c:axId val="131613056"/>
        <c:scaling>
          <c:orientation val="minMax"/>
        </c:scaling>
        <c:axPos val="b"/>
        <c:numFmt formatCode="General" sourceLinked="0"/>
        <c:tickLblPos val="nextTo"/>
        <c:crossAx val="131614592"/>
        <c:crosses val="autoZero"/>
        <c:auto val="1"/>
        <c:lblAlgn val="ctr"/>
        <c:lblOffset val="100"/>
      </c:catAx>
      <c:valAx>
        <c:axId val="131614592"/>
        <c:scaling>
          <c:orientation val="minMax"/>
        </c:scaling>
        <c:axPos val="l"/>
        <c:majorGridlines/>
        <c:numFmt formatCode="#,##0" sourceLinked="1"/>
        <c:tickLblPos val="nextTo"/>
        <c:crossAx val="131613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74929.713523818311</c:v>
                </c:pt>
                <c:pt idx="1">
                  <c:v>25158.866963099717</c:v>
                </c:pt>
                <c:pt idx="2">
                  <c:v>552.26099999999997</c:v>
                </c:pt>
                <c:pt idx="3">
                  <c:v>10737.212708014526</c:v>
                </c:pt>
                <c:pt idx="4">
                  <c:v>82545.127380049686</c:v>
                </c:pt>
                <c:pt idx="5">
                  <c:v>28982.915520042843</c:v>
                </c:pt>
                <c:pt idx="6">
                  <c:v>435.6735061447817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14394.015336231147</c:v>
                </c:pt>
                <c:pt idx="2">
                  <c:v>5217.5324182113491</c:v>
                </c:pt>
                <c:pt idx="3">
                  <c:v>113.07734806377246</c:v>
                </c:pt>
                <c:pt idx="4">
                  <c:v>2595.717432752956</c:v>
                </c:pt>
                <c:pt idx="5">
                  <c:v>16128.834960450131</c:v>
                </c:pt>
                <c:pt idx="6">
                  <c:v>7407.4258397490439</c:v>
                </c:pt>
                <c:pt idx="7">
                  <c:v>112.82523961830215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57024"/>
      </c:barChart>
      <c:catAx>
        <c:axId val="149855232"/>
        <c:scaling>
          <c:orientation val="minMax"/>
        </c:scaling>
        <c:axPos val="b"/>
        <c:numFmt formatCode="General" sourceLinked="0"/>
        <c:tickLblPos val="nextTo"/>
        <c:crossAx val="149857024"/>
        <c:crosses val="autoZero"/>
        <c:auto val="1"/>
        <c:lblAlgn val="ctr"/>
        <c:lblOffset val="100"/>
      </c:catAx>
      <c:valAx>
        <c:axId val="149857024"/>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14394.015336231147</c:v>
                </c:pt>
                <c:pt idx="2">
                  <c:v>5217.5324182113491</c:v>
                </c:pt>
                <c:pt idx="3">
                  <c:v>113.07734806377246</c:v>
                </c:pt>
                <c:pt idx="4">
                  <c:v>2595.717432752956</c:v>
                </c:pt>
                <c:pt idx="5">
                  <c:v>16128.834960450131</c:v>
                </c:pt>
                <c:pt idx="6">
                  <c:v>7407.4258397490439</c:v>
                </c:pt>
                <c:pt idx="7">
                  <c:v>112.82523961830215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73098</v>
      </c>
      <c r="B6" s="415"/>
      <c r="C6" s="416"/>
    </row>
    <row r="7" spans="1:7" s="413" customFormat="1" ht="15.75" customHeight="1">
      <c r="A7" s="417" t="str">
        <f>txtMunicipality</f>
        <v>WELLEN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0.20475345545633761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0.20475345545633761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3067</v>
      </c>
      <c r="C9" s="342">
        <v>3292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1535.22</v>
      </c>
    </row>
    <row r="15" spans="1:6">
      <c r="A15" s="348" t="s">
        <v>184</v>
      </c>
      <c r="B15" s="334">
        <v>5</v>
      </c>
    </row>
    <row r="16" spans="1:6">
      <c r="A16" s="348" t="s">
        <v>6</v>
      </c>
      <c r="B16" s="334">
        <v>247</v>
      </c>
    </row>
    <row r="17" spans="1:6">
      <c r="A17" s="348" t="s">
        <v>7</v>
      </c>
      <c r="B17" s="334">
        <v>104</v>
      </c>
    </row>
    <row r="18" spans="1:6">
      <c r="A18" s="348" t="s">
        <v>8</v>
      </c>
      <c r="B18" s="334">
        <v>197</v>
      </c>
    </row>
    <row r="19" spans="1:6">
      <c r="A19" s="348" t="s">
        <v>9</v>
      </c>
      <c r="B19" s="334">
        <v>179</v>
      </c>
    </row>
    <row r="20" spans="1:6">
      <c r="A20" s="348" t="s">
        <v>10</v>
      </c>
      <c r="B20" s="334">
        <v>129</v>
      </c>
    </row>
    <row r="21" spans="1:6">
      <c r="A21" s="348" t="s">
        <v>11</v>
      </c>
      <c r="B21" s="334">
        <v>535</v>
      </c>
    </row>
    <row r="22" spans="1:6">
      <c r="A22" s="348" t="s">
        <v>12</v>
      </c>
      <c r="B22" s="334">
        <v>1678</v>
      </c>
    </row>
    <row r="23" spans="1:6">
      <c r="A23" s="348" t="s">
        <v>13</v>
      </c>
      <c r="B23" s="334">
        <v>17</v>
      </c>
    </row>
    <row r="24" spans="1:6">
      <c r="A24" s="348" t="s">
        <v>14</v>
      </c>
      <c r="B24" s="334">
        <v>3</v>
      </c>
    </row>
    <row r="25" spans="1:6">
      <c r="A25" s="348" t="s">
        <v>15</v>
      </c>
      <c r="B25" s="334">
        <v>221</v>
      </c>
    </row>
    <row r="26" spans="1:6">
      <c r="A26" s="348" t="s">
        <v>16</v>
      </c>
      <c r="B26" s="334">
        <v>29</v>
      </c>
    </row>
    <row r="27" spans="1:6">
      <c r="A27" s="348" t="s">
        <v>17</v>
      </c>
      <c r="B27" s="334">
        <v>0</v>
      </c>
    </row>
    <row r="28" spans="1:6" s="356" customFormat="1">
      <c r="A28" s="355" t="s">
        <v>18</v>
      </c>
      <c r="B28" s="355">
        <v>272</v>
      </c>
    </row>
    <row r="29" spans="1:6">
      <c r="A29" s="355" t="s">
        <v>884</v>
      </c>
      <c r="B29" s="355">
        <v>51</v>
      </c>
      <c r="C29" s="356"/>
      <c r="D29" s="356"/>
      <c r="E29" s="356"/>
      <c r="F29" s="356"/>
    </row>
    <row r="30" spans="1:6">
      <c r="A30" s="355" t="s">
        <v>885</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52</v>
      </c>
    </row>
    <row r="39" spans="1:6">
      <c r="A39" s="348" t="s">
        <v>30</v>
      </c>
      <c r="B39" s="348" t="s">
        <v>31</v>
      </c>
      <c r="C39" s="334">
        <v>1186</v>
      </c>
      <c r="D39" s="334">
        <v>18518837</v>
      </c>
      <c r="E39" s="334">
        <v>3022</v>
      </c>
      <c r="F39" s="334">
        <v>10881646</v>
      </c>
    </row>
    <row r="40" spans="1:6">
      <c r="A40" s="348" t="s">
        <v>30</v>
      </c>
      <c r="B40" s="348" t="s">
        <v>29</v>
      </c>
      <c r="C40" s="334">
        <v>0</v>
      </c>
      <c r="D40" s="334">
        <v>0</v>
      </c>
      <c r="E40" s="334">
        <v>0</v>
      </c>
      <c r="F40" s="334">
        <v>0</v>
      </c>
    </row>
    <row r="41" spans="1:6">
      <c r="A41" s="348" t="s">
        <v>32</v>
      </c>
      <c r="B41" s="348" t="s">
        <v>33</v>
      </c>
      <c r="C41" s="334">
        <v>15</v>
      </c>
      <c r="D41" s="334">
        <v>5858379</v>
      </c>
      <c r="E41" s="334">
        <v>55</v>
      </c>
      <c r="F41" s="334">
        <v>29318901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156246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1661764</v>
      </c>
    </row>
    <row r="48" spans="1:6">
      <c r="A48" s="348" t="s">
        <v>32</v>
      </c>
      <c r="B48" s="348" t="s">
        <v>29</v>
      </c>
      <c r="C48" s="334">
        <v>4</v>
      </c>
      <c r="D48" s="334">
        <v>314116</v>
      </c>
      <c r="E48" s="334">
        <v>0</v>
      </c>
      <c r="F48" s="334">
        <v>51</v>
      </c>
    </row>
    <row r="49" spans="1:6">
      <c r="A49" s="348" t="s">
        <v>32</v>
      </c>
      <c r="B49" s="348" t="s">
        <v>40</v>
      </c>
      <c r="C49" s="334">
        <v>0</v>
      </c>
      <c r="D49" s="334">
        <v>0</v>
      </c>
      <c r="E49" s="334">
        <v>0</v>
      </c>
      <c r="F49" s="334">
        <v>0</v>
      </c>
    </row>
    <row r="50" spans="1:6">
      <c r="A50" s="348" t="s">
        <v>32</v>
      </c>
      <c r="B50" s="348" t="s">
        <v>41</v>
      </c>
      <c r="C50" s="334">
        <v>3</v>
      </c>
      <c r="D50" s="334">
        <v>181112</v>
      </c>
      <c r="E50" s="334">
        <v>7</v>
      </c>
      <c r="F50" s="334">
        <v>318828</v>
      </c>
    </row>
    <row r="51" spans="1:6">
      <c r="A51" s="348" t="s">
        <v>42</v>
      </c>
      <c r="B51" s="348" t="s">
        <v>43</v>
      </c>
      <c r="C51" s="334">
        <v>6</v>
      </c>
      <c r="D51" s="334">
        <v>3218726</v>
      </c>
      <c r="E51" s="334">
        <v>59</v>
      </c>
      <c r="F51" s="334">
        <v>1623631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552261</v>
      </c>
    </row>
    <row r="55" spans="1:6">
      <c r="A55" s="348" t="s">
        <v>46</v>
      </c>
      <c r="B55" s="348" t="s">
        <v>29</v>
      </c>
      <c r="C55" s="334">
        <v>0</v>
      </c>
      <c r="D55" s="334">
        <v>0</v>
      </c>
      <c r="E55" s="334">
        <v>0</v>
      </c>
      <c r="F55" s="334">
        <v>0</v>
      </c>
    </row>
    <row r="56" spans="1:6">
      <c r="A56" s="348" t="s">
        <v>48</v>
      </c>
      <c r="B56" s="348" t="s">
        <v>29</v>
      </c>
      <c r="C56" s="334">
        <v>20</v>
      </c>
      <c r="D56" s="334">
        <v>267392</v>
      </c>
      <c r="E56" s="334">
        <v>52</v>
      </c>
      <c r="F56" s="334">
        <v>187777</v>
      </c>
    </row>
    <row r="57" spans="1:6">
      <c r="A57" s="348" t="s">
        <v>49</v>
      </c>
      <c r="B57" s="348" t="s">
        <v>50</v>
      </c>
      <c r="C57" s="334">
        <v>15</v>
      </c>
      <c r="D57" s="334">
        <v>798299</v>
      </c>
      <c r="E57" s="334">
        <v>36</v>
      </c>
      <c r="F57" s="334">
        <v>1002019</v>
      </c>
    </row>
    <row r="58" spans="1:6">
      <c r="A58" s="348" t="s">
        <v>49</v>
      </c>
      <c r="B58" s="348" t="s">
        <v>51</v>
      </c>
      <c r="C58" s="334">
        <v>3</v>
      </c>
      <c r="D58" s="334">
        <v>630878</v>
      </c>
      <c r="E58" s="334">
        <v>8</v>
      </c>
      <c r="F58" s="334">
        <v>255921</v>
      </c>
    </row>
    <row r="59" spans="1:6">
      <c r="A59" s="348" t="s">
        <v>49</v>
      </c>
      <c r="B59" s="348" t="s">
        <v>52</v>
      </c>
      <c r="C59" s="334">
        <v>32</v>
      </c>
      <c r="D59" s="334">
        <v>998016</v>
      </c>
      <c r="E59" s="334">
        <v>81</v>
      </c>
      <c r="F59" s="334">
        <v>2252534</v>
      </c>
    </row>
    <row r="60" spans="1:6">
      <c r="A60" s="348" t="s">
        <v>49</v>
      </c>
      <c r="B60" s="348" t="s">
        <v>53</v>
      </c>
      <c r="C60" s="334">
        <v>17</v>
      </c>
      <c r="D60" s="334">
        <v>511944</v>
      </c>
      <c r="E60" s="334">
        <v>24</v>
      </c>
      <c r="F60" s="334">
        <v>452366</v>
      </c>
    </row>
    <row r="61" spans="1:6">
      <c r="A61" s="348" t="s">
        <v>49</v>
      </c>
      <c r="B61" s="348" t="s">
        <v>54</v>
      </c>
      <c r="C61" s="334">
        <v>36</v>
      </c>
      <c r="D61" s="334">
        <v>1941043</v>
      </c>
      <c r="E61" s="334">
        <v>127</v>
      </c>
      <c r="F61" s="334">
        <v>11596578</v>
      </c>
    </row>
    <row r="62" spans="1:6">
      <c r="A62" s="348" t="s">
        <v>49</v>
      </c>
      <c r="B62" s="348" t="s">
        <v>55</v>
      </c>
      <c r="C62" s="334">
        <v>0</v>
      </c>
      <c r="D62" s="334">
        <v>0</v>
      </c>
      <c r="E62" s="334">
        <v>6</v>
      </c>
      <c r="F62" s="334">
        <v>64368</v>
      </c>
    </row>
    <row r="63" spans="1:6">
      <c r="A63" s="348" t="s">
        <v>49</v>
      </c>
      <c r="B63" s="348" t="s">
        <v>29</v>
      </c>
      <c r="C63" s="334">
        <v>0</v>
      </c>
      <c r="D63" s="334">
        <v>188273</v>
      </c>
      <c r="E63" s="334">
        <v>0</v>
      </c>
      <c r="F63" s="334">
        <v>0</v>
      </c>
    </row>
    <row r="64" spans="1:6">
      <c r="A64" s="348" t="s">
        <v>56</v>
      </c>
      <c r="B64" s="348" t="s">
        <v>57</v>
      </c>
      <c r="C64" s="334">
        <v>0</v>
      </c>
      <c r="D64" s="334">
        <v>0</v>
      </c>
      <c r="E64" s="334">
        <v>0</v>
      </c>
      <c r="F64" s="334">
        <v>0</v>
      </c>
    </row>
    <row r="65" spans="1:6">
      <c r="A65" s="348" t="s">
        <v>56</v>
      </c>
      <c r="B65" s="348" t="s">
        <v>29</v>
      </c>
      <c r="C65" s="334">
        <v>0</v>
      </c>
      <c r="D65" s="334">
        <v>28674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26186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27569647</v>
      </c>
      <c r="E73" s="475">
        <v>25034271.975737404</v>
      </c>
    </row>
    <row r="74" spans="1:6">
      <c r="A74" s="348" t="s">
        <v>64</v>
      </c>
      <c r="B74" s="348" t="s">
        <v>667</v>
      </c>
      <c r="C74" s="1294" t="s">
        <v>669</v>
      </c>
      <c r="D74" s="475">
        <v>1892207.0179123634</v>
      </c>
      <c r="E74" s="475">
        <v>1786223.0836616729</v>
      </c>
    </row>
    <row r="75" spans="1:6">
      <c r="A75" s="348" t="s">
        <v>65</v>
      </c>
      <c r="B75" s="348" t="s">
        <v>666</v>
      </c>
      <c r="C75" s="1294" t="s">
        <v>670</v>
      </c>
      <c r="D75" s="475">
        <v>7760263</v>
      </c>
      <c r="E75" s="475">
        <v>7053288.0493666213</v>
      </c>
    </row>
    <row r="76" spans="1:6">
      <c r="A76" s="348" t="s">
        <v>65</v>
      </c>
      <c r="B76" s="348" t="s">
        <v>667</v>
      </c>
      <c r="C76" s="1294" t="s">
        <v>671</v>
      </c>
      <c r="D76" s="475">
        <v>186047.01791236352</v>
      </c>
      <c r="E76" s="475">
        <v>174259.49889744169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117015.96417527298</v>
      </c>
      <c r="C83" s="475">
        <v>117015.96417527298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2685.670551416858</v>
      </c>
    </row>
    <row r="92" spans="1:6">
      <c r="A92" s="341" t="s">
        <v>69</v>
      </c>
      <c r="B92" s="342">
        <v>1947.0823934144412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63018.840594451533</v>
      </c>
      <c r="C3" s="43" t="s">
        <v>170</v>
      </c>
      <c r="D3" s="43"/>
      <c r="E3" s="154"/>
      <c r="F3" s="43"/>
      <c r="G3" s="43"/>
      <c r="H3" s="43"/>
      <c r="I3" s="43"/>
      <c r="J3" s="43"/>
      <c r="K3" s="96"/>
    </row>
    <row r="4" spans="1:11">
      <c r="A4" s="383" t="s">
        <v>171</v>
      </c>
      <c r="B4" s="49">
        <f>IF(ISERROR('SEAP template'!B78+'SEAP template'!C78),0,'SEAP template'!B78+'SEAP template'!C78)</f>
        <v>4632.7529448312989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0.20475345545633761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0.20475345545633761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113.07734806377246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10881.646000000001</v>
      </c>
      <c r="C5" s="17">
        <f>IF(ISERROR('Eigen informatie GS &amp; warmtenet'!B57),0,'Eigen informatie GS &amp; warmtenet'!B57)</f>
        <v>0</v>
      </c>
      <c r="D5" s="30">
        <f>(SUM(HH_hh_gas_kWh,HH_rest_gas_kWh)/1000)*0.902</f>
        <v>16703.990974</v>
      </c>
      <c r="E5" s="17">
        <f>B46*B57</f>
        <v>2098.7295881586883</v>
      </c>
      <c r="F5" s="17">
        <f>B51*B62</f>
        <v>28796.768345539003</v>
      </c>
      <c r="G5" s="18"/>
      <c r="H5" s="17"/>
      <c r="I5" s="17"/>
      <c r="J5" s="17">
        <f>B50*B61+C50*C61</f>
        <v>216.68206084645519</v>
      </c>
      <c r="K5" s="17"/>
      <c r="L5" s="17"/>
      <c r="M5" s="17"/>
      <c r="N5" s="17">
        <f>B48*B59+C48*C59</f>
        <v>12914.482670523976</v>
      </c>
      <c r="O5" s="17">
        <f>B69*B70*B71</f>
        <v>136.01000000000002</v>
      </c>
      <c r="P5" s="17">
        <f>B77*B78*B79/1000-B77*B78*B79/1000/B80</f>
        <v>495.73333333333335</v>
      </c>
    </row>
    <row r="6" spans="1:16">
      <c r="A6" s="16" t="s">
        <v>624</v>
      </c>
      <c r="B6" s="788">
        <f>kWh_PV_kleiner_dan_10kW</f>
        <v>2685.670551416858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13567.316551416858</v>
      </c>
      <c r="C8" s="21">
        <f>C5</f>
        <v>0</v>
      </c>
      <c r="D8" s="21">
        <f>D5</f>
        <v>16703.990974</v>
      </c>
      <c r="E8" s="21">
        <f>E5</f>
        <v>2098.7295881586883</v>
      </c>
      <c r="F8" s="21">
        <f>F5</f>
        <v>28796.768345539003</v>
      </c>
      <c r="G8" s="21"/>
      <c r="H8" s="21"/>
      <c r="I8" s="21"/>
      <c r="J8" s="21">
        <f>J5</f>
        <v>216.68206084645519</v>
      </c>
      <c r="K8" s="21"/>
      <c r="L8" s="21">
        <f>L5</f>
        <v>0</v>
      </c>
      <c r="M8" s="21">
        <f>M5</f>
        <v>0</v>
      </c>
      <c r="N8" s="21">
        <f>N5</f>
        <v>12914.482670523976</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0.20475345545633761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2777.9549451725634</v>
      </c>
      <c r="C12" s="23">
        <f ca="1">C10*C8</f>
        <v>0</v>
      </c>
      <c r="D12" s="23">
        <f>D8*D10</f>
        <v>3374.2061767480004</v>
      </c>
      <c r="E12" s="23">
        <f>E10*E8</f>
        <v>476.41161651202225</v>
      </c>
      <c r="F12" s="23">
        <f>F10*F8</f>
        <v>7688.7371482589142</v>
      </c>
      <c r="G12" s="23"/>
      <c r="H12" s="23"/>
      <c r="I12" s="23"/>
      <c r="J12" s="23">
        <f>J10*J8</f>
        <v>76.70544953964513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3067</v>
      </c>
      <c r="C28" s="36"/>
      <c r="D28" s="228"/>
    </row>
    <row r="29" spans="1:7" s="15" customFormat="1">
      <c r="A29" s="230" t="s">
        <v>699</v>
      </c>
      <c r="B29" s="37">
        <f>SUM(HH_hh_gas_aantal,HH_rest_gas_aantal)</f>
        <v>1186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1186</v>
      </c>
      <c r="C32" s="167">
        <f>IF(ISERROR(B32/SUM($B$32,$B$34,$B$35,$B$36,$B$38,$B$39)*100),0,B32/SUM($B$32,$B$34,$B$35,$B$36,$B$38,$B$39)*100)</f>
        <v>39.000328839197635</v>
      </c>
      <c r="D32" s="233"/>
      <c r="G32" s="15"/>
    </row>
    <row r="33" spans="1:7">
      <c r="A33" s="171" t="s">
        <v>72</v>
      </c>
      <c r="B33" s="34" t="s">
        <v>111</v>
      </c>
      <c r="C33" s="167"/>
      <c r="D33" s="233"/>
      <c r="G33" s="15"/>
    </row>
    <row r="34" spans="1:7">
      <c r="A34" s="171" t="s">
        <v>73</v>
      </c>
      <c r="B34" s="33">
        <f>IF((($B$28-$B$32-$B$39-$B$77-$B$38)*C20/100)&lt;0,0,($B$28-$B$32-$B$39-$B$77-$B$38)*C20/100)</f>
        <v>92.79069767441861</v>
      </c>
      <c r="C34" s="167">
        <f>IF(ISERROR(B34/SUM($B$32,$B$34,$B$35,$B$36,$B$38,$B$39)*100),0,B34/SUM($B$32,$B$34,$B$35,$B$36,$B$38,$B$39)*100)</f>
        <v>3.0513218571002505</v>
      </c>
      <c r="D34" s="233"/>
      <c r="G34" s="15"/>
    </row>
    <row r="35" spans="1:7">
      <c r="A35" s="171" t="s">
        <v>74</v>
      </c>
      <c r="B35" s="33">
        <f>IF((($B$28-$B$32-$B$39-$B$77-$B$38)*C21/100)&lt;0,0,($B$28-$B$32-$B$39-$B$77-$B$38)*C21/100)</f>
        <v>371.16279069767444</v>
      </c>
      <c r="C35" s="167">
        <f>IF(ISERROR(B35/SUM($B$32,$B$34,$B$35,$B$36,$B$38,$B$39)*100),0,B35/SUM($B$32,$B$34,$B$35,$B$36,$B$38,$B$39)*100)</f>
        <v>12.205287428401002</v>
      </c>
      <c r="D35" s="233"/>
      <c r="G35" s="15"/>
    </row>
    <row r="36" spans="1:7">
      <c r="A36" s="171" t="s">
        <v>75</v>
      </c>
      <c r="B36" s="33">
        <f>IF((($B$28-$B$32-$B$39-$B$77-$B$38)*C22/100)&lt;0,0,($B$28-$B$32-$B$39-$B$77-$B$38)*C22/100)</f>
        <v>201.04651162790694</v>
      </c>
      <c r="C36" s="167">
        <f>IF(ISERROR(B36/SUM($B$32,$B$34,$B$35,$B$36,$B$38,$B$39)*100),0,B36/SUM($B$32,$B$34,$B$35,$B$36,$B$38,$B$39)*100)</f>
        <v>6.6111973570505409</v>
      </c>
      <c r="D36" s="233"/>
      <c r="G36" s="15"/>
    </row>
    <row r="37" spans="1:7">
      <c r="A37" s="171" t="s">
        <v>76</v>
      </c>
      <c r="B37" s="34" t="s">
        <v>111</v>
      </c>
      <c r="C37" s="167"/>
      <c r="D37" s="173"/>
      <c r="G37" s="15"/>
    </row>
    <row r="38" spans="1:7">
      <c r="A38" s="171" t="s">
        <v>77</v>
      </c>
      <c r="B38" s="33">
        <f>IF((B24-(B29-B18)*0.1)&lt;0,0,B24-(B29-B18)*0.1)</f>
        <v>7</v>
      </c>
      <c r="C38" s="167">
        <f>IF(ISERROR(B38/SUM($B$32,$B$34,$B$35,$B$36,$B$38,$B$39)*100),0,B38/SUM($B$32,$B$34,$B$35,$B$36,$B$38,$B$39)*100)</f>
        <v>0.23018743834265043</v>
      </c>
      <c r="D38" s="234"/>
      <c r="G38" s="15"/>
    </row>
    <row r="39" spans="1:7">
      <c r="A39" s="171" t="s">
        <v>78</v>
      </c>
      <c r="B39" s="33">
        <f>IF((B25-(B29-B18))&lt;0,0,B25-(B29-B18)*0.9)</f>
        <v>1183</v>
      </c>
      <c r="C39" s="167">
        <f>IF(ISERROR(B39/SUM($B$32,$B$34,$B$35,$B$36,$B$38,$B$39)*100),0,B39/SUM($B$32,$B$34,$B$35,$B$36,$B$38,$B$39)*100)</f>
        <v>38.901677079907927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1186</v>
      </c>
      <c r="C44" s="34" t="s">
        <v>111</v>
      </c>
      <c r="D44" s="174"/>
    </row>
    <row r="45" spans="1:7">
      <c r="A45" s="171" t="s">
        <v>72</v>
      </c>
      <c r="B45" s="33" t="str">
        <f t="shared" si="0"/>
        <v>-</v>
      </c>
      <c r="C45" s="34" t="s">
        <v>111</v>
      </c>
      <c r="D45" s="174"/>
    </row>
    <row r="46" spans="1:7">
      <c r="A46" s="171" t="s">
        <v>73</v>
      </c>
      <c r="B46" s="33">
        <f t="shared" si="0"/>
        <v>92.79069767441861</v>
      </c>
      <c r="C46" s="34" t="s">
        <v>111</v>
      </c>
      <c r="D46" s="174"/>
    </row>
    <row r="47" spans="1:7">
      <c r="A47" s="171" t="s">
        <v>74</v>
      </c>
      <c r="B47" s="33">
        <f t="shared" si="0"/>
        <v>371.16279069767444</v>
      </c>
      <c r="C47" s="34" t="s">
        <v>111</v>
      </c>
      <c r="D47" s="174"/>
    </row>
    <row r="48" spans="1:7">
      <c r="A48" s="171" t="s">
        <v>75</v>
      </c>
      <c r="B48" s="33">
        <f t="shared" si="0"/>
        <v>201.04651162790694</v>
      </c>
      <c r="C48" s="33">
        <f>B48*10</f>
        <v>2010.4651162790694</v>
      </c>
      <c r="D48" s="234"/>
    </row>
    <row r="49" spans="1:6">
      <c r="A49" s="171" t="s">
        <v>76</v>
      </c>
      <c r="B49" s="33" t="str">
        <f t="shared" si="0"/>
        <v>-</v>
      </c>
      <c r="C49" s="34" t="s">
        <v>111</v>
      </c>
      <c r="D49" s="234"/>
    </row>
    <row r="50" spans="1:6">
      <c r="A50" s="171" t="s">
        <v>77</v>
      </c>
      <c r="B50" s="33">
        <f t="shared" si="0"/>
        <v>7</v>
      </c>
      <c r="C50" s="33">
        <f>B50*2</f>
        <v>14</v>
      </c>
      <c r="D50" s="234"/>
    </row>
    <row r="51" spans="1:6">
      <c r="A51" s="171" t="s">
        <v>78</v>
      </c>
      <c r="B51" s="33">
        <f t="shared" si="0"/>
        <v>1183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15623.786</v>
      </c>
      <c r="C5" s="17">
        <f>IF(ISERROR('Eigen informatie GS &amp; warmtenet'!B58),0,'Eigen informatie GS &amp; warmtenet'!B58)</f>
        <v>0</v>
      </c>
      <c r="D5" s="30">
        <f>SUM(D6:D12)</f>
        <v>4571.7446060000002</v>
      </c>
      <c r="E5" s="17">
        <f>SUM(E6:E12)</f>
        <v>239.53039244459234</v>
      </c>
      <c r="F5" s="17">
        <f>SUM(F6:F12)</f>
        <v>3897.5372206145153</v>
      </c>
      <c r="G5" s="18"/>
      <c r="H5" s="17"/>
      <c r="I5" s="17"/>
      <c r="J5" s="17">
        <f>SUM(J6:J12)</f>
        <v>0</v>
      </c>
      <c r="K5" s="17"/>
      <c r="L5" s="17"/>
      <c r="M5" s="17"/>
      <c r="N5" s="17">
        <f>SUM(N6:N12)</f>
        <v>807.20207737394583</v>
      </c>
      <c r="O5" s="17">
        <f>B38*B39*B40</f>
        <v>0</v>
      </c>
      <c r="P5" s="17">
        <f>B46*B47*B48/1000-B46*B47*B48/1000/B49</f>
        <v>19.066666666666666</v>
      </c>
      <c r="R5" s="32"/>
    </row>
    <row r="6" spans="1:18">
      <c r="A6" s="32" t="s">
        <v>54</v>
      </c>
      <c r="B6" s="37">
        <f>B26</f>
        <v>11596.578</v>
      </c>
      <c r="C6" s="33"/>
      <c r="D6" s="37">
        <f>IF(ISERROR(TER_kantoor_gas_kWh/1000),0,TER_kantoor_gas_kWh/1000)*0.902</f>
        <v>1750.820786</v>
      </c>
      <c r="E6" s="33">
        <f>$C$26*'E Balans VL '!I12/100/3.6*1000000</f>
        <v>151.81349093272615</v>
      </c>
      <c r="F6" s="33">
        <f>$C$26*('E Balans VL '!L12+'E Balans VL '!N12)/100/3.6*1000000</f>
        <v>2957.0075554393557</v>
      </c>
      <c r="G6" s="34"/>
      <c r="H6" s="33"/>
      <c r="I6" s="33"/>
      <c r="J6" s="33">
        <f>$C$26*('E Balans VL '!D12+'E Balans VL '!E12)/100/3.6*1000000</f>
        <v>0</v>
      </c>
      <c r="K6" s="33"/>
      <c r="L6" s="33"/>
      <c r="M6" s="33"/>
      <c r="N6" s="33">
        <f>$C$26*'E Balans VL '!Y12/100/3.6*1000000</f>
        <v>11.635628855269704</v>
      </c>
      <c r="O6" s="33"/>
      <c r="P6" s="33"/>
      <c r="R6" s="32"/>
    </row>
    <row r="7" spans="1:18">
      <c r="A7" s="32" t="s">
        <v>53</v>
      </c>
      <c r="B7" s="37">
        <f t="shared" ref="B7:B12" si="0">B27</f>
        <v>452.36599999999999</v>
      </c>
      <c r="C7" s="33"/>
      <c r="D7" s="37">
        <f>IF(ISERROR(TER_horeca_gas_kWh/1000),0,TER_horeca_gas_kWh/1000)*0.902</f>
        <v>461.77348800000004</v>
      </c>
      <c r="E7" s="33">
        <f>$C$27*'E Balans VL '!I9/100/3.6*1000000</f>
        <v>14.97056294992869</v>
      </c>
      <c r="F7" s="33">
        <f>$C$27*('E Balans VL '!L9+'E Balans VL '!N9)/100/3.6*1000000</f>
        <v>194.51564632349078</v>
      </c>
      <c r="G7" s="34"/>
      <c r="H7" s="33"/>
      <c r="I7" s="33"/>
      <c r="J7" s="33">
        <f>$C$27*('E Balans VL '!D9+'E Balans VL '!E9)/100/3.6*1000000</f>
        <v>0</v>
      </c>
      <c r="K7" s="33"/>
      <c r="L7" s="33"/>
      <c r="M7" s="33"/>
      <c r="N7" s="33">
        <f>$C$27*'E Balans VL '!Y9/100/3.6*1000000</f>
        <v>0.1088910652752161</v>
      </c>
      <c r="O7" s="33"/>
      <c r="P7" s="33"/>
      <c r="R7" s="32"/>
    </row>
    <row r="8" spans="1:18">
      <c r="A8" s="6" t="s">
        <v>52</v>
      </c>
      <c r="B8" s="37">
        <f t="shared" si="0"/>
        <v>2252.5340000000001</v>
      </c>
      <c r="C8" s="33"/>
      <c r="D8" s="37">
        <f>IF(ISERROR(TER_handel_gas_kWh/1000),0,TER_handel_gas_kWh/1000)*0.902</f>
        <v>900.21043199999997</v>
      </c>
      <c r="E8" s="33">
        <f>$C$28*'E Balans VL '!I13/100/3.6*1000000</f>
        <v>71.093414809502264</v>
      </c>
      <c r="F8" s="33">
        <f>$C$28*('E Balans VL '!L13+'E Balans VL '!N13)/100/3.6*1000000</f>
        <v>441.76158206113951</v>
      </c>
      <c r="G8" s="34"/>
      <c r="H8" s="33"/>
      <c r="I8" s="33"/>
      <c r="J8" s="33">
        <f>$C$28*('E Balans VL '!D13+'E Balans VL '!E13)/100/3.6*1000000</f>
        <v>0</v>
      </c>
      <c r="K8" s="33"/>
      <c r="L8" s="33"/>
      <c r="M8" s="33"/>
      <c r="N8" s="33">
        <f>$C$28*'E Balans VL '!Y13/100/3.6*1000000</f>
        <v>2.6733205338926944</v>
      </c>
      <c r="O8" s="33"/>
      <c r="P8" s="33"/>
      <c r="R8" s="32"/>
    </row>
    <row r="9" spans="1:18">
      <c r="A9" s="32" t="s">
        <v>51</v>
      </c>
      <c r="B9" s="37">
        <f t="shared" si="0"/>
        <v>255.92099999999999</v>
      </c>
      <c r="C9" s="33"/>
      <c r="D9" s="37">
        <f>IF(ISERROR(TER_gezond_gas_kWh/1000),0,TER_gezond_gas_kWh/1000)*0.902</f>
        <v>569.05195600000002</v>
      </c>
      <c r="E9" s="33">
        <f>$C$29*'E Balans VL '!I10/100/3.6*1000000</f>
        <v>3.2765374802736877E-2</v>
      </c>
      <c r="F9" s="33">
        <f>$C$29*('E Balans VL '!L10+'E Balans VL '!N10)/100/3.6*1000000</f>
        <v>53.319070932134849</v>
      </c>
      <c r="G9" s="34"/>
      <c r="H9" s="33"/>
      <c r="I9" s="33"/>
      <c r="J9" s="33">
        <f>$C$29*('E Balans VL '!D10+'E Balans VL '!E10)/100/3.6*1000000</f>
        <v>0</v>
      </c>
      <c r="K9" s="33"/>
      <c r="L9" s="33"/>
      <c r="M9" s="33"/>
      <c r="N9" s="33">
        <f>$C$29*'E Balans VL '!Y10/100/3.6*1000000</f>
        <v>3.005913109167254</v>
      </c>
      <c r="O9" s="33"/>
      <c r="P9" s="33"/>
      <c r="R9" s="32"/>
    </row>
    <row r="10" spans="1:18">
      <c r="A10" s="32" t="s">
        <v>50</v>
      </c>
      <c r="B10" s="37">
        <f t="shared" si="0"/>
        <v>1002.019</v>
      </c>
      <c r="C10" s="33"/>
      <c r="D10" s="37">
        <f>IF(ISERROR(TER_ander_gas_kWh/1000),0,TER_ander_gas_kWh/1000)*0.902</f>
        <v>720.065698</v>
      </c>
      <c r="E10" s="33">
        <f>$C$30*'E Balans VL '!I14/100/3.6*1000000</f>
        <v>1.5068009356127574</v>
      </c>
      <c r="F10" s="33">
        <f>$C$30*('E Balans VL '!L14+'E Balans VL '!N14)/100/3.6*1000000</f>
        <v>221.2134955213611</v>
      </c>
      <c r="G10" s="34"/>
      <c r="H10" s="33"/>
      <c r="I10" s="33"/>
      <c r="J10" s="33">
        <f>$C$30*('E Balans VL '!D14+'E Balans VL '!E14)/100/3.6*1000000</f>
        <v>0</v>
      </c>
      <c r="K10" s="33"/>
      <c r="L10" s="33"/>
      <c r="M10" s="33"/>
      <c r="N10" s="33">
        <f>$C$30*'E Balans VL '!Y14/100/3.6*1000000</f>
        <v>789.65840533621008</v>
      </c>
      <c r="O10" s="33"/>
      <c r="P10" s="33"/>
      <c r="R10" s="32"/>
    </row>
    <row r="11" spans="1:18">
      <c r="A11" s="32" t="s">
        <v>55</v>
      </c>
      <c r="B11" s="37">
        <f t="shared" si="0"/>
        <v>64.367999999999995</v>
      </c>
      <c r="C11" s="33"/>
      <c r="D11" s="37">
        <f>IF(ISERROR(TER_onderwijs_gas_kWh/1000),0,TER_onderwijs_gas_kWh/1000)*0.902</f>
        <v>0</v>
      </c>
      <c r="E11" s="33">
        <f>$C$31*'E Balans VL '!I11/100/3.6*1000000</f>
        <v>0.11335744201975481</v>
      </c>
      <c r="F11" s="33">
        <f>$C$31*('E Balans VL '!L11+'E Balans VL '!N11)/100/3.6*1000000</f>
        <v>29.719870337033601</v>
      </c>
      <c r="G11" s="34"/>
      <c r="H11" s="33"/>
      <c r="I11" s="33"/>
      <c r="J11" s="33">
        <f>$C$31*('E Balans VL '!D11+'E Balans VL '!E11)/100/3.6*1000000</f>
        <v>0</v>
      </c>
      <c r="K11" s="33"/>
      <c r="L11" s="33"/>
      <c r="M11" s="33"/>
      <c r="N11" s="33">
        <f>$C$31*'E Balans VL '!Y11/100/3.6*1000000</f>
        <v>0.11991847413082805</v>
      </c>
      <c r="O11" s="33"/>
      <c r="P11" s="33"/>
      <c r="R11" s="32"/>
    </row>
    <row r="12" spans="1:18">
      <c r="A12" s="32" t="s">
        <v>260</v>
      </c>
      <c r="B12" s="37">
        <f t="shared" si="0"/>
        <v>0</v>
      </c>
      <c r="C12" s="33"/>
      <c r="D12" s="37">
        <f>IF(ISERROR(TER_rest_gas_kWh/1000),0,TER_rest_gas_kWh/1000)*0.902</f>
        <v>169.82224600000001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15623.786</v>
      </c>
      <c r="C16" s="21">
        <f t="shared" ca="1" si="1"/>
        <v>0</v>
      </c>
      <c r="D16" s="21">
        <f t="shared" ca="1" si="1"/>
        <v>4571.7446060000002</v>
      </c>
      <c r="E16" s="21">
        <f t="shared" si="1"/>
        <v>239.53039244459234</v>
      </c>
      <c r="F16" s="21">
        <f t="shared" ca="1" si="1"/>
        <v>3897.5372206145153</v>
      </c>
      <c r="G16" s="21">
        <f t="shared" si="1"/>
        <v>0</v>
      </c>
      <c r="H16" s="21">
        <f t="shared" si="1"/>
        <v>0</v>
      </c>
      <c r="I16" s="21">
        <f t="shared" si="1"/>
        <v>0</v>
      </c>
      <c r="J16" s="21">
        <f t="shared" si="1"/>
        <v>0</v>
      </c>
      <c r="K16" s="21">
        <f t="shared" si="1"/>
        <v>0</v>
      </c>
      <c r="L16" s="21">
        <f t="shared" ca="1" si="1"/>
        <v>0</v>
      </c>
      <c r="M16" s="21">
        <f t="shared" si="1"/>
        <v>0</v>
      </c>
      <c r="N16" s="21">
        <f t="shared" ca="1" si="1"/>
        <v>807.20207737394583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0.20475345545633761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3199.0241708103513</v>
      </c>
      <c r="C20" s="23">
        <f t="shared" ref="C20:P20" ca="1" si="2">C16*C18</f>
        <v>0</v>
      </c>
      <c r="D20" s="23">
        <f t="shared" ca="1" si="2"/>
        <v>923.49241041200014</v>
      </c>
      <c r="E20" s="23">
        <f t="shared" si="2"/>
        <v>54.373399084922461</v>
      </c>
      <c r="F20" s="23">
        <f t="shared" ca="1" si="2"/>
        <v>1040.6424379040757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11596.578</v>
      </c>
      <c r="C26" s="39">
        <f>IF(ISERROR(B26*3.6/1000000/'E Balans VL '!Z12*100),0,B26*3.6/1000000/'E Balans VL '!Z12*100)</f>
        <v>0.24840770979064078</v>
      </c>
      <c r="D26" s="237" t="s">
        <v>660</v>
      </c>
      <c r="F26" s="6"/>
    </row>
    <row r="27" spans="1:18">
      <c r="A27" s="231" t="s">
        <v>53</v>
      </c>
      <c r="B27" s="33">
        <f>IF(ISERROR(TER_horeca_ele_kWh/1000),0,TER_horeca_ele_kWh/1000)</f>
        <v>452.36599999999999</v>
      </c>
      <c r="C27" s="39">
        <f>IF(ISERROR(B27*3.6/1000000/'E Balans VL '!Z9*100),0,B27*3.6/1000000/'E Balans VL '!Z9*100)</f>
        <v>3.6300799091833827E-2</v>
      </c>
      <c r="D27" s="237" t="s">
        <v>660</v>
      </c>
      <c r="F27" s="6"/>
    </row>
    <row r="28" spans="1:18">
      <c r="A28" s="171" t="s">
        <v>52</v>
      </c>
      <c r="B28" s="33">
        <f>IF(ISERROR(TER_handel_ele_kWh/1000),0,TER_handel_ele_kWh/1000)</f>
        <v>2252.5340000000001</v>
      </c>
      <c r="C28" s="39">
        <f>IF(ISERROR(B28*3.6/1000000/'E Balans VL '!Z13*100),0,B28*3.6/1000000/'E Balans VL '!Z13*100)</f>
        <v>6.643683298031372E-2</v>
      </c>
      <c r="D28" s="237" t="s">
        <v>660</v>
      </c>
      <c r="F28" s="6"/>
    </row>
    <row r="29" spans="1:18">
      <c r="A29" s="231" t="s">
        <v>51</v>
      </c>
      <c r="B29" s="33">
        <f>IF(ISERROR(TER_gezond_ele_kWh/1000),0,TER_gezond_ele_kWh/1000)</f>
        <v>255.92099999999999</v>
      </c>
      <c r="C29" s="39">
        <f>IF(ISERROR(B29*3.6/1000000/'E Balans VL '!Z10*100),0,B29*3.6/1000000/'E Balans VL '!Z10*100)</f>
        <v>2.7325501300685895E-2</v>
      </c>
      <c r="D29" s="237" t="s">
        <v>660</v>
      </c>
      <c r="F29" s="6"/>
    </row>
    <row r="30" spans="1:18">
      <c r="A30" s="231" t="s">
        <v>50</v>
      </c>
      <c r="B30" s="33">
        <f>IF(ISERROR(TER_ander_ele_kWh/1000),0,TER_ander_ele_kWh/1000)</f>
        <v>1002.019</v>
      </c>
      <c r="C30" s="39">
        <f>IF(ISERROR(B30*3.6/1000000/'E Balans VL '!Z14*100),0,B30*3.6/1000000/'E Balans VL '!Z14*100)</f>
        <v>7.5686429839897471E-2</v>
      </c>
      <c r="D30" s="237" t="s">
        <v>660</v>
      </c>
      <c r="F30" s="6"/>
    </row>
    <row r="31" spans="1:18">
      <c r="A31" s="231" t="s">
        <v>55</v>
      </c>
      <c r="B31" s="33">
        <f>IF(ISERROR(TER_onderwijs_ele_kWh/1000),0,TER_onderwijs_ele_kWh/1000)</f>
        <v>64.367999999999995</v>
      </c>
      <c r="C31" s="39">
        <f>IF(ISERROR(B31*3.6/1000000/'E Balans VL '!Z11*100),0,B31*3.6/1000000/'E Balans VL '!Z11*100)</f>
        <v>1.2998047969841518E-2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31455.79</v>
      </c>
      <c r="C5" s="17">
        <f>IF(ISERROR('Eigen informatie GS &amp; warmtenet'!B59),0,'Eigen informatie GS &amp; warmtenet'!B59)</f>
        <v>0</v>
      </c>
      <c r="D5" s="30">
        <f>SUM(D6:D15)</f>
        <v>5730.9535139999998</v>
      </c>
      <c r="E5" s="17">
        <f>SUM(E6:E15)</f>
        <v>7502.377016064489</v>
      </c>
      <c r="F5" s="17">
        <f>SUM(F6:F15)</f>
        <v>25423.520023106121</v>
      </c>
      <c r="G5" s="18"/>
      <c r="H5" s="17"/>
      <c r="I5" s="17"/>
      <c r="J5" s="17">
        <f>SUM(J6:J15)</f>
        <v>111.24639886228269</v>
      </c>
      <c r="K5" s="17"/>
      <c r="L5" s="17"/>
      <c r="M5" s="17"/>
      <c r="N5" s="17">
        <f>SUM(N6:N15)</f>
        <v>12321.240428016796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156.24600000000001</v>
      </c>
      <c r="C8" s="33"/>
      <c r="D8" s="37">
        <f>IF( ISERROR(IND_metaal_Gas_kWH/1000),0,IND_metaal_Gas_kWH/1000)*0.902</f>
        <v>0</v>
      </c>
      <c r="E8" s="33">
        <f>C30*'E Balans VL '!I18/100/3.6*1000000</f>
        <v>5.6222037561917784</v>
      </c>
      <c r="F8" s="33">
        <f>C30*'E Balans VL '!L18/100/3.6*1000000+C30*'E Balans VL '!N18/100/3.6*1000000</f>
        <v>68.22756324961739</v>
      </c>
      <c r="G8" s="34"/>
      <c r="H8" s="33"/>
      <c r="I8" s="33"/>
      <c r="J8" s="40">
        <f>C30*'E Balans VL '!D18/100/3.6*1000000+C30*'E Balans VL '!E18/100/3.6*1000000</f>
        <v>0</v>
      </c>
      <c r="K8" s="33"/>
      <c r="L8" s="33"/>
      <c r="M8" s="33"/>
      <c r="N8" s="33">
        <f>C30*'E Balans VL '!Y18/100/3.6*1000000</f>
        <v>7.830943339592169</v>
      </c>
      <c r="O8" s="33"/>
      <c r="P8" s="33"/>
      <c r="R8" s="32"/>
    </row>
    <row r="9" spans="1:18">
      <c r="A9" s="6" t="s">
        <v>33</v>
      </c>
      <c r="B9" s="37">
        <f t="shared" si="0"/>
        <v>29318.901000000002</v>
      </c>
      <c r="C9" s="33"/>
      <c r="D9" s="37">
        <f>IF( ISERROR(IND_andere_gas_kWh/1000),0,IND_andere_gas_kWh/1000)*0.902</f>
        <v>5284.2578579999999</v>
      </c>
      <c r="E9" s="33">
        <f>C31*'E Balans VL '!I19/100/3.6*1000000</f>
        <v>7481.520176484888</v>
      </c>
      <c r="F9" s="33">
        <f>C31*'E Balans VL '!L19/100/3.6*1000000+C31*'E Balans VL '!N19/100/3.6*1000000</f>
        <v>25241.370066728567</v>
      </c>
      <c r="G9" s="34"/>
      <c r="H9" s="33"/>
      <c r="I9" s="33"/>
      <c r="J9" s="40">
        <f>C31*'E Balans VL '!D19/100/3.6*1000000+C31*'E Balans VL '!E19/100/3.6*1000000</f>
        <v>0</v>
      </c>
      <c r="K9" s="33"/>
      <c r="L9" s="33"/>
      <c r="M9" s="33"/>
      <c r="N9" s="33">
        <f>C31*'E Balans VL '!Y19/100/3.6*1000000</f>
        <v>9169.0244101956669</v>
      </c>
      <c r="O9" s="33"/>
      <c r="P9" s="33"/>
      <c r="R9" s="32"/>
    </row>
    <row r="10" spans="1:18">
      <c r="A10" s="6" t="s">
        <v>41</v>
      </c>
      <c r="B10" s="37">
        <f t="shared" si="0"/>
        <v>318.82799999999997</v>
      </c>
      <c r="C10" s="33"/>
      <c r="D10" s="37">
        <f>IF( ISERROR(IND_voed_gas_kWh/1000),0,IND_voed_gas_kWh/1000)*0.902</f>
        <v>163.363024</v>
      </c>
      <c r="E10" s="33">
        <f>C32*'E Balans VL '!I20/100/3.6*1000000</f>
        <v>8.1050455467198823</v>
      </c>
      <c r="F10" s="33">
        <f>C32*'E Balans VL '!L20/100/3.6*1000000+C32*'E Balans VL '!N20/100/3.6*1000000</f>
        <v>72.145990378973281</v>
      </c>
      <c r="G10" s="34"/>
      <c r="H10" s="33"/>
      <c r="I10" s="33"/>
      <c r="J10" s="40">
        <f>C32*'E Balans VL '!D20/100/3.6*1000000+C32*'E Balans VL '!E20/100/3.6*1000000</f>
        <v>0</v>
      </c>
      <c r="K10" s="33"/>
      <c r="L10" s="33"/>
      <c r="M10" s="33"/>
      <c r="N10" s="33">
        <f>C32*'E Balans VL '!Y20/100/3.6*1000000</f>
        <v>119.56914217286827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1661.7639999999999</v>
      </c>
      <c r="C13" s="33"/>
      <c r="D13" s="37">
        <f>IF( ISERROR(IND_papier_gas_kWh/1000),0,IND_papier_gas_kWh/1000)*0.902</f>
        <v>0</v>
      </c>
      <c r="E13" s="33">
        <f>C35*'E Balans VL '!I23/100/3.6*1000000</f>
        <v>7.1268223593003013</v>
      </c>
      <c r="F13" s="33">
        <f>C35*'E Balans VL '!L23/100/3.6*1000000+C35*'E Balans VL '!N23/100/3.6*1000000</f>
        <v>41.765287107111043</v>
      </c>
      <c r="G13" s="34"/>
      <c r="H13" s="33"/>
      <c r="I13" s="33"/>
      <c r="J13" s="40">
        <f>C35*'E Balans VL '!D23/100/3.6*1000000+C35*'E Balans VL '!E23/100/3.6*1000000</f>
        <v>111.24598539938958</v>
      </c>
      <c r="K13" s="33"/>
      <c r="L13" s="33"/>
      <c r="M13" s="33"/>
      <c r="N13" s="33">
        <f>C35*'E Balans VL '!Y23/100/3.6*1000000</f>
        <v>3024.8056625563499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5.0999999999999997E-2</v>
      </c>
      <c r="C15" s="33"/>
      <c r="D15" s="37">
        <f>IF( ISERROR(IND_rest_gas_kWh/1000),0,IND_rest_gas_kWh/1000)*0.902</f>
        <v>283.33263199999999</v>
      </c>
      <c r="E15" s="33">
        <f>C37*'E Balans VL '!I15/100/3.6*1000000</f>
        <v>2.7679173881553403E-3</v>
      </c>
      <c r="F15" s="33">
        <f>C37*'E Balans VL '!L15/100/3.6*1000000+C37*'E Balans VL '!N15/100/3.6*1000000</f>
        <v>1.1115641851748959E-2</v>
      </c>
      <c r="G15" s="34"/>
      <c r="H15" s="33"/>
      <c r="I15" s="33"/>
      <c r="J15" s="40">
        <f>C37*'E Balans VL '!D15/100/3.6*1000000+C37*'E Balans VL '!E15/100/3.6*1000000</f>
        <v>4.134628931037597E-4</v>
      </c>
      <c r="K15" s="33"/>
      <c r="L15" s="33"/>
      <c r="M15" s="33"/>
      <c r="N15" s="33">
        <f>C37*'E Balans VL '!Y15/100/3.6*1000000</f>
        <v>1.0269752320434622E-2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31455.79</v>
      </c>
      <c r="C18" s="21">
        <f>C5+C16</f>
        <v>0</v>
      </c>
      <c r="D18" s="21">
        <f>MAX((D5+D16),0)</f>
        <v>5730.9535139999998</v>
      </c>
      <c r="E18" s="21">
        <f>MAX((E5+E16),0)</f>
        <v>7502.377016064489</v>
      </c>
      <c r="F18" s="21">
        <f>MAX((F5+F16),0)</f>
        <v>25423.520023106121</v>
      </c>
      <c r="G18" s="21"/>
      <c r="H18" s="21"/>
      <c r="I18" s="21"/>
      <c r="J18" s="21">
        <f>MAX((J5+J16),0)</f>
        <v>111.24639886228269</v>
      </c>
      <c r="K18" s="21"/>
      <c r="L18" s="21">
        <f>MAX((L5+L16),0)</f>
        <v>0</v>
      </c>
      <c r="M18" s="21"/>
      <c r="N18" s="21">
        <f>MAX((N5+N16),0)</f>
        <v>12321.240428016796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0.20475345545633761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6440.68169660891</v>
      </c>
      <c r="C22" s="23">
        <f ca="1">C18*C20</f>
        <v>0</v>
      </c>
      <c r="D22" s="23">
        <f>D18*D20</f>
        <v>1157.6526098280001</v>
      </c>
      <c r="E22" s="23">
        <f>E18*E20</f>
        <v>1703.039582646639</v>
      </c>
      <c r="F22" s="23">
        <f>F18*F20</f>
        <v>6788.0798461693348</v>
      </c>
      <c r="G22" s="23"/>
      <c r="H22" s="23"/>
      <c r="I22" s="23"/>
      <c r="J22" s="23">
        <f>J18*J20</f>
        <v>39.381225197248071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156.24600000000001</v>
      </c>
      <c r="C30" s="39">
        <f>IF(ISERROR(B30*3.6/1000000/'E Balans VL '!Z18*100),0,B30*3.6/1000000/'E Balans VL '!Z18*100)</f>
        <v>3.310517757404649E-2</v>
      </c>
      <c r="D30" s="237" t="s">
        <v>660</v>
      </c>
    </row>
    <row r="31" spans="1:18">
      <c r="A31" s="6" t="s">
        <v>33</v>
      </c>
      <c r="B31" s="37">
        <f>IF( ISERROR(IND_ander_ele_kWh/1000),0,IND_ander_ele_kWh/1000)</f>
        <v>29318.901000000002</v>
      </c>
      <c r="C31" s="39">
        <f>IF(ISERROR(B31*3.6/1000000/'E Balans VL '!Z19*100),0,B31*3.6/1000000/'E Balans VL '!Z19*100)</f>
        <v>1.2340991164963324</v>
      </c>
      <c r="D31" s="237" t="s">
        <v>660</v>
      </c>
    </row>
    <row r="32" spans="1:18">
      <c r="A32" s="171" t="s">
        <v>41</v>
      </c>
      <c r="B32" s="37">
        <f>IF( ISERROR(IND_voed_ele_kWh/1000),0,IND_voed_ele_kWh/1000)</f>
        <v>318.82799999999997</v>
      </c>
      <c r="C32" s="39">
        <f>IF(ISERROR(B32*3.6/1000000/'E Balans VL '!Z20*100),0,B32*3.6/1000000/'E Balans VL '!Z20*100)</f>
        <v>5.3263824690722543E-2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1661.7639999999999</v>
      </c>
      <c r="C35" s="39">
        <f>IF(ISERROR(B35*3.6/1000000/'E Balans VL '!Z22*100),0,B35*3.6/1000000/'E Balans VL '!Z22*100)</f>
        <v>0.21063754886678343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5.0999999999999997E-2</v>
      </c>
      <c r="C37" s="39">
        <f>IF(ISERROR(B37*3.6/1000000/'E Balans VL '!Z15*100),0,B37*3.6/1000000/'E Balans VL '!Z15*100)</f>
        <v>4.1174274810512957E-7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1623.6310000000001</v>
      </c>
      <c r="C5" s="17">
        <f>'Eigen informatie GS &amp; warmtenet'!B60</f>
        <v>0</v>
      </c>
      <c r="D5" s="30">
        <f>IF(ISERROR(SUM(LB_lb_gas_kWh,LB_rest_gas_kWh)/1000),0,SUM(LB_lb_gas_kWh,LB_rest_gas_kWh)/1000)*0.902</f>
        <v>2903.2908520000001</v>
      </c>
      <c r="E5" s="17">
        <f>B17*'E Balans VL '!I25/3.6*1000000/100</f>
        <v>41.867209467704981</v>
      </c>
      <c r="F5" s="17">
        <f>B17*('E Balans VL '!L25/3.6*1000000+'E Balans VL '!N25/3.6*1000000)/100</f>
        <v>5934.6805105036319</v>
      </c>
      <c r="G5" s="18"/>
      <c r="H5" s="17"/>
      <c r="I5" s="17"/>
      <c r="J5" s="17">
        <f>('E Balans VL '!D25+'E Balans VL '!E25)/3.6*1000000*landbouw!B17/100</f>
        <v>233.74313604318817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1623.6310000000001</v>
      </c>
      <c r="C8" s="21">
        <f>C5+C6</f>
        <v>0</v>
      </c>
      <c r="D8" s="21">
        <f>MAX((D5+D6),0)</f>
        <v>2903.2908520000001</v>
      </c>
      <c r="E8" s="21">
        <f>MAX((E5+E6),0)</f>
        <v>41.867209467704981</v>
      </c>
      <c r="F8" s="21">
        <f>MAX((F5+F6),0)</f>
        <v>5934.6805105036319</v>
      </c>
      <c r="G8" s="21"/>
      <c r="H8" s="21"/>
      <c r="I8" s="21"/>
      <c r="J8" s="21">
        <f>MAX((J5+J6),0)</f>
        <v>233.74313604318817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0.20475345545633761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332.4440576360289</v>
      </c>
      <c r="C12" s="23">
        <f ca="1">C8*C10</f>
        <v>0</v>
      </c>
      <c r="D12" s="23">
        <f>D8*D10</f>
        <v>586.46475210400001</v>
      </c>
      <c r="E12" s="23">
        <f>E8*E10</f>
        <v>9.503856549169031</v>
      </c>
      <c r="F12" s="23">
        <f>F8*F10</f>
        <v>1584.5596963044698</v>
      </c>
      <c r="G12" s="23"/>
      <c r="H12" s="23"/>
      <c r="I12" s="23"/>
      <c r="J12" s="23">
        <f>J8*J10</f>
        <v>82.745070159288602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0.22894272569059299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72.650651668928774</v>
      </c>
      <c r="C26" s="247">
        <f>B26*'GWP N2O_CH4'!B5</f>
        <v>1525.6636850475043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22.985609755110026</v>
      </c>
      <c r="C27" s="247">
        <f>B27*'GWP N2O_CH4'!B5</f>
        <v>482.69780485731053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0.86038479611568508</v>
      </c>
      <c r="C28" s="247">
        <f>B28*'GWP N2O_CH4'!B4</f>
        <v>266.71928679586239</v>
      </c>
      <c r="D28" s="50"/>
    </row>
    <row r="29" spans="1:4">
      <c r="A29" s="41" t="s">
        <v>277</v>
      </c>
      <c r="B29" s="247">
        <f>B34*'ha_N2O bodem landbouw'!B4</f>
        <v>10.127970103094011</v>
      </c>
      <c r="C29" s="247">
        <f>B29*'GWP N2O_CH4'!B4</f>
        <v>3139.6707319591433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2.2793436431014823E-3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2.9804554924820808E-5</v>
      </c>
      <c r="C5" s="463" t="s">
        <v>211</v>
      </c>
      <c r="D5" s="448">
        <f>SUM(D6:D11)</f>
        <v>6.9246773645069103E-5</v>
      </c>
      <c r="E5" s="448">
        <f>SUM(E6:E11)</f>
        <v>2.6569668025507883E-4</v>
      </c>
      <c r="F5" s="461" t="s">
        <v>211</v>
      </c>
      <c r="G5" s="448">
        <f>SUM(G6:G11)</f>
        <v>8.2261295311963953E-2</v>
      </c>
      <c r="H5" s="448">
        <f>SUM(H6:H11)</f>
        <v>1.8564512427705952E-2</v>
      </c>
      <c r="I5" s="463" t="s">
        <v>211</v>
      </c>
      <c r="J5" s="463" t="s">
        <v>211</v>
      </c>
      <c r="K5" s="463" t="s">
        <v>211</v>
      </c>
      <c r="L5" s="463" t="s">
        <v>211</v>
      </c>
      <c r="M5" s="448">
        <f>SUM(M6:M11)</f>
        <v>3.1479401236593645E-3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2.3257943715945533E-5</v>
      </c>
      <c r="C6" s="449"/>
      <c r="D6" s="892">
        <f>vkm_2011_GW_PW*SUMIFS(TableVerdeelsleutelVkm[CNG],TableVerdeelsleutelVkm[Voertuigtype],"Lichte voertuigen")*SUMIFS(TableECFTransport[EnergieConsumptieFactor (PJ per km)],TableECFTransport[Index],CONCATENATE($A6,"_CNG_CNG"))</f>
        <v>4.6213941562156367E-5</v>
      </c>
      <c r="E6" s="892">
        <f>vkm_2011_GW_PW*SUMIFS(TableVerdeelsleutelVkm[LPG],TableVerdeelsleutelVkm[Voertuigtype],"Lichte voertuigen")*SUMIFS(TableECFTransport[EnergieConsumptieFactor (PJ per km)],TableECFTransport[Index],CONCATENATE($A6,"_LPG_LPG"))</f>
        <v>1.818684265032398E-4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4.3242071552876384E-2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1.2511504296570676E-2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1.7373329070734576E-3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1.813150170585115E-2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5.857249511029144E-6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5.7129587617457168E-4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6.5466112088752749E-6</v>
      </c>
      <c r="C8" s="449"/>
      <c r="D8" s="451">
        <f>vkm_2011_NGW_PW*SUMIFS(TableVerdeelsleutelVkm[CNG],TableVerdeelsleutelVkm[Voertuigtype],"Lichte voertuigen")*SUMIFS(TableECFTransport[EnergieConsumptieFactor (PJ per km)],TableECFTransport[Index],CONCATENATE($A8,"_CNG_CNG"))</f>
        <v>2.303283208291274E-5</v>
      </c>
      <c r="E8" s="451">
        <f>vkm_2011_NGW_PW*SUMIFS(TableVerdeelsleutelVkm[LPG],TableVerdeelsleutelVkm[Voertuigtype],"Lichte voertuigen")*SUMIFS(TableECFTransport[EnergieConsumptieFactor (PJ per km)],TableECFTransport[Index],CONCATENATE($A8,"_LPG_LPG"))</f>
        <v>8.3828253751839037E-5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1.8612228830916015E-2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6.0464556991506801E-3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7.6761522735439576E-4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2.2754932223204021E-3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6.9518247356564276E-7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7.1696113056939081E-5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8.279043034672446</v>
      </c>
      <c r="C14" s="21"/>
      <c r="D14" s="21">
        <f t="shared" ref="D14:M14" si="0">((D5)*10^9/3600)+D12</f>
        <v>19.235214901408085</v>
      </c>
      <c r="E14" s="21">
        <f t="shared" si="0"/>
        <v>73.804633404188564</v>
      </c>
      <c r="F14" s="21"/>
      <c r="G14" s="21">
        <f t="shared" si="0"/>
        <v>22850.359808878875</v>
      </c>
      <c r="H14" s="21">
        <f t="shared" si="0"/>
        <v>5156.8090076960971</v>
      </c>
      <c r="I14" s="21"/>
      <c r="J14" s="21"/>
      <c r="K14" s="21"/>
      <c r="L14" s="21"/>
      <c r="M14" s="21">
        <f t="shared" si="0"/>
        <v>874.42781212760121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0.20475345545633761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1.6951626692209067</v>
      </c>
      <c r="C18" s="23"/>
      <c r="D18" s="23">
        <f t="shared" ref="D18:M18" si="1">D14*D16</f>
        <v>3.8855134100844335</v>
      </c>
      <c r="E18" s="23">
        <f t="shared" si="1"/>
        <v>16.753651782750804</v>
      </c>
      <c r="F18" s="23"/>
      <c r="G18" s="23">
        <f t="shared" si="1"/>
        <v>6101.0460689706597</v>
      </c>
      <c r="H18" s="23">
        <f t="shared" si="1"/>
        <v>1284.0454429163281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1.521239185864748E-3</v>
      </c>
      <c r="H50" s="321">
        <f t="shared" si="2"/>
        <v>0</v>
      </c>
      <c r="I50" s="321">
        <f t="shared" si="2"/>
        <v>0</v>
      </c>
      <c r="J50" s="321">
        <f t="shared" si="2"/>
        <v>0</v>
      </c>
      <c r="K50" s="321">
        <f t="shared" si="2"/>
        <v>0</v>
      </c>
      <c r="L50" s="321">
        <f t="shared" si="2"/>
        <v>0</v>
      </c>
      <c r="M50" s="321">
        <f t="shared" si="2"/>
        <v>4.7185436256466102E-5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1.521239185864748E-3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4.7185436256466102E-5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422.56644051798554</v>
      </c>
      <c r="H54" s="21">
        <f t="shared" si="3"/>
        <v>0</v>
      </c>
      <c r="I54" s="21">
        <f t="shared" si="3"/>
        <v>0</v>
      </c>
      <c r="J54" s="21">
        <f t="shared" si="3"/>
        <v>0</v>
      </c>
      <c r="K54" s="21">
        <f t="shared" si="3"/>
        <v>0</v>
      </c>
      <c r="L54" s="21">
        <f t="shared" si="3"/>
        <v>0</v>
      </c>
      <c r="M54" s="21">
        <f t="shared" si="3"/>
        <v>13.107065626796139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0.20475345545633761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112.82523961830215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16176.047</v>
      </c>
      <c r="D10" s="1012">
        <f ca="1">tertiair!C16</f>
        <v>0</v>
      </c>
      <c r="E10" s="1012">
        <f ca="1">tertiair!D16</f>
        <v>4571.7446060000002</v>
      </c>
      <c r="F10" s="1012">
        <f>tertiair!E16</f>
        <v>239.53039244459234</v>
      </c>
      <c r="G10" s="1012">
        <f ca="1">tertiair!F16</f>
        <v>3897.5372206145153</v>
      </c>
      <c r="H10" s="1012">
        <f>tertiair!G16</f>
        <v>0</v>
      </c>
      <c r="I10" s="1012">
        <f>tertiair!H16</f>
        <v>0</v>
      </c>
      <c r="J10" s="1012">
        <f>tertiair!I16</f>
        <v>0</v>
      </c>
      <c r="K10" s="1012">
        <f>tertiair!J16</f>
        <v>0</v>
      </c>
      <c r="L10" s="1012">
        <f>tertiair!K16</f>
        <v>0</v>
      </c>
      <c r="M10" s="1012">
        <f ca="1">tertiair!L16</f>
        <v>0</v>
      </c>
      <c r="N10" s="1012">
        <f>tertiair!M16</f>
        <v>0</v>
      </c>
      <c r="O10" s="1012">
        <f ca="1">tertiair!N16</f>
        <v>807.20207737394583</v>
      </c>
      <c r="P10" s="1012">
        <f>tertiair!O16</f>
        <v>0</v>
      </c>
      <c r="Q10" s="1013">
        <f>tertiair!P16</f>
        <v>19.066666666666666</v>
      </c>
      <c r="R10" s="700">
        <f ca="1">SUM(C10:Q10)</f>
        <v>25711.127963099716</v>
      </c>
      <c r="S10" s="67"/>
    </row>
    <row r="11" spans="1:19" s="473" customFormat="1">
      <c r="A11" s="809" t="s">
        <v>225</v>
      </c>
      <c r="B11" s="814"/>
      <c r="C11" s="1012">
        <f>huishoudens!B8</f>
        <v>13567.316551416858</v>
      </c>
      <c r="D11" s="1012">
        <f>huishoudens!C8</f>
        <v>0</v>
      </c>
      <c r="E11" s="1012">
        <f>huishoudens!D8</f>
        <v>16703.990974</v>
      </c>
      <c r="F11" s="1012">
        <f>huishoudens!E8</f>
        <v>2098.7295881586883</v>
      </c>
      <c r="G11" s="1012">
        <f>huishoudens!F8</f>
        <v>28796.768345539003</v>
      </c>
      <c r="H11" s="1012">
        <f>huishoudens!G8</f>
        <v>0</v>
      </c>
      <c r="I11" s="1012">
        <f>huishoudens!H8</f>
        <v>0</v>
      </c>
      <c r="J11" s="1012">
        <f>huishoudens!I8</f>
        <v>0</v>
      </c>
      <c r="K11" s="1012">
        <f>huishoudens!J8</f>
        <v>216.68206084645519</v>
      </c>
      <c r="L11" s="1012">
        <f>huishoudens!K8</f>
        <v>0</v>
      </c>
      <c r="M11" s="1012">
        <f>huishoudens!L8</f>
        <v>0</v>
      </c>
      <c r="N11" s="1012">
        <f>huishoudens!M8</f>
        <v>0</v>
      </c>
      <c r="O11" s="1012">
        <f>huishoudens!N8</f>
        <v>12914.482670523976</v>
      </c>
      <c r="P11" s="1012">
        <f>huishoudens!O8</f>
        <v>136.01000000000002</v>
      </c>
      <c r="Q11" s="1013">
        <f>huishoudens!P8</f>
        <v>495.73333333333335</v>
      </c>
      <c r="R11" s="700">
        <f>SUM(C11:Q11)</f>
        <v>74929.713523818311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31455.79</v>
      </c>
      <c r="D13" s="1012">
        <f>industrie!C18</f>
        <v>0</v>
      </c>
      <c r="E13" s="1012">
        <f>industrie!D18</f>
        <v>5730.9535139999998</v>
      </c>
      <c r="F13" s="1012">
        <f>industrie!E18</f>
        <v>7502.377016064489</v>
      </c>
      <c r="G13" s="1012">
        <f>industrie!F18</f>
        <v>25423.520023106121</v>
      </c>
      <c r="H13" s="1012">
        <f>industrie!G18</f>
        <v>0</v>
      </c>
      <c r="I13" s="1012">
        <f>industrie!H18</f>
        <v>0</v>
      </c>
      <c r="J13" s="1012">
        <f>industrie!I18</f>
        <v>0</v>
      </c>
      <c r="K13" s="1012">
        <f>industrie!J18</f>
        <v>111.24639886228269</v>
      </c>
      <c r="L13" s="1012">
        <f>industrie!K18</f>
        <v>0</v>
      </c>
      <c r="M13" s="1012">
        <f>industrie!L18</f>
        <v>0</v>
      </c>
      <c r="N13" s="1012">
        <f>industrie!M18</f>
        <v>0</v>
      </c>
      <c r="O13" s="1012">
        <f>industrie!N18</f>
        <v>12321.240428016796</v>
      </c>
      <c r="P13" s="1012">
        <f>industrie!O18</f>
        <v>0</v>
      </c>
      <c r="Q13" s="1013">
        <f>industrie!P18</f>
        <v>0</v>
      </c>
      <c r="R13" s="700">
        <f>SUM(C13:Q13)</f>
        <v>82545.127380049686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61199.153551416857</v>
      </c>
      <c r="D16" s="732">
        <f t="shared" ref="D16:R16" ca="1" si="0">SUM(D9:D15)</f>
        <v>0</v>
      </c>
      <c r="E16" s="732">
        <f t="shared" ca="1" si="0"/>
        <v>27006.689094000001</v>
      </c>
      <c r="F16" s="732">
        <f t="shared" si="0"/>
        <v>9840.6369966677703</v>
      </c>
      <c r="G16" s="732">
        <f t="shared" ca="1" si="0"/>
        <v>58117.825589259635</v>
      </c>
      <c r="H16" s="732">
        <f t="shared" si="0"/>
        <v>0</v>
      </c>
      <c r="I16" s="732">
        <f t="shared" si="0"/>
        <v>0</v>
      </c>
      <c r="J16" s="732">
        <f t="shared" si="0"/>
        <v>0</v>
      </c>
      <c r="K16" s="732">
        <f t="shared" si="0"/>
        <v>327.92845970873788</v>
      </c>
      <c r="L16" s="732">
        <f t="shared" si="0"/>
        <v>0</v>
      </c>
      <c r="M16" s="732">
        <f t="shared" ca="1" si="0"/>
        <v>0</v>
      </c>
      <c r="N16" s="732">
        <f t="shared" si="0"/>
        <v>0</v>
      </c>
      <c r="O16" s="732">
        <f t="shared" ca="1" si="0"/>
        <v>26042.925175914716</v>
      </c>
      <c r="P16" s="732">
        <f t="shared" si="0"/>
        <v>136.01000000000002</v>
      </c>
      <c r="Q16" s="732">
        <f t="shared" si="0"/>
        <v>514.80000000000007</v>
      </c>
      <c r="R16" s="732">
        <f t="shared" ca="1" si="0"/>
        <v>183185.96886696771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422.56644051798554</v>
      </c>
      <c r="I19" s="1012">
        <f>transport!H54</f>
        <v>0</v>
      </c>
      <c r="J19" s="1012">
        <f>transport!I54</f>
        <v>0</v>
      </c>
      <c r="K19" s="1012">
        <f>transport!J54</f>
        <v>0</v>
      </c>
      <c r="L19" s="1012">
        <f>transport!K54</f>
        <v>0</v>
      </c>
      <c r="M19" s="1012">
        <f>transport!L54</f>
        <v>0</v>
      </c>
      <c r="N19" s="1012">
        <f>transport!M54</f>
        <v>13.107065626796139</v>
      </c>
      <c r="O19" s="1012">
        <f>transport!N54</f>
        <v>0</v>
      </c>
      <c r="P19" s="1012">
        <f>transport!O54</f>
        <v>0</v>
      </c>
      <c r="Q19" s="1013">
        <f>transport!P54</f>
        <v>0</v>
      </c>
      <c r="R19" s="700">
        <f>SUM(C19:Q19)</f>
        <v>435.6735061447817</v>
      </c>
      <c r="S19" s="67"/>
    </row>
    <row r="20" spans="1:19" s="473" customFormat="1">
      <c r="A20" s="809" t="s">
        <v>307</v>
      </c>
      <c r="B20" s="814"/>
      <c r="C20" s="1012">
        <f>transport!B14</f>
        <v>8.279043034672446</v>
      </c>
      <c r="D20" s="1012">
        <f>transport!C14</f>
        <v>0</v>
      </c>
      <c r="E20" s="1012">
        <f>transport!D14</f>
        <v>19.235214901408085</v>
      </c>
      <c r="F20" s="1012">
        <f>transport!E14</f>
        <v>73.804633404188564</v>
      </c>
      <c r="G20" s="1012">
        <f>transport!F14</f>
        <v>0</v>
      </c>
      <c r="H20" s="1012">
        <f>transport!G14</f>
        <v>22850.359808878875</v>
      </c>
      <c r="I20" s="1012">
        <f>transport!H14</f>
        <v>5156.8090076960971</v>
      </c>
      <c r="J20" s="1012">
        <f>transport!I14</f>
        <v>0</v>
      </c>
      <c r="K20" s="1012">
        <f>transport!J14</f>
        <v>0</v>
      </c>
      <c r="L20" s="1012">
        <f>transport!K14</f>
        <v>0</v>
      </c>
      <c r="M20" s="1012">
        <f>transport!L14</f>
        <v>0</v>
      </c>
      <c r="N20" s="1012">
        <f>transport!M14</f>
        <v>874.42781212760121</v>
      </c>
      <c r="O20" s="1012">
        <f>transport!N14</f>
        <v>0</v>
      </c>
      <c r="P20" s="1012">
        <f>transport!O14</f>
        <v>0</v>
      </c>
      <c r="Q20" s="1013">
        <f>transport!P14</f>
        <v>0</v>
      </c>
      <c r="R20" s="700">
        <f>SUM(C20:Q20)</f>
        <v>28982.915520042843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8.279043034672446</v>
      </c>
      <c r="D22" s="812">
        <f t="shared" ref="D22:R22" si="1">SUM(D18:D21)</f>
        <v>0</v>
      </c>
      <c r="E22" s="812">
        <f t="shared" si="1"/>
        <v>19.235214901408085</v>
      </c>
      <c r="F22" s="812">
        <f t="shared" si="1"/>
        <v>73.804633404188564</v>
      </c>
      <c r="G22" s="812">
        <f t="shared" si="1"/>
        <v>0</v>
      </c>
      <c r="H22" s="812">
        <f t="shared" si="1"/>
        <v>23272.92624939686</v>
      </c>
      <c r="I22" s="812">
        <f t="shared" si="1"/>
        <v>5156.8090076960971</v>
      </c>
      <c r="J22" s="812">
        <f t="shared" si="1"/>
        <v>0</v>
      </c>
      <c r="K22" s="812">
        <f t="shared" si="1"/>
        <v>0</v>
      </c>
      <c r="L22" s="812">
        <f t="shared" si="1"/>
        <v>0</v>
      </c>
      <c r="M22" s="812">
        <f t="shared" si="1"/>
        <v>0</v>
      </c>
      <c r="N22" s="812">
        <f t="shared" si="1"/>
        <v>887.53487775439737</v>
      </c>
      <c r="O22" s="812">
        <f t="shared" si="1"/>
        <v>0</v>
      </c>
      <c r="P22" s="812">
        <f t="shared" si="1"/>
        <v>0</v>
      </c>
      <c r="Q22" s="812">
        <f t="shared" si="1"/>
        <v>0</v>
      </c>
      <c r="R22" s="812">
        <f t="shared" si="1"/>
        <v>29418.589026187627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1623.6310000000001</v>
      </c>
      <c r="D24" s="1012">
        <f>+landbouw!C8</f>
        <v>0</v>
      </c>
      <c r="E24" s="1012">
        <f>+landbouw!D8</f>
        <v>2903.2908520000001</v>
      </c>
      <c r="F24" s="1012">
        <f>+landbouw!E8</f>
        <v>41.867209467704981</v>
      </c>
      <c r="G24" s="1012">
        <f>+landbouw!F8</f>
        <v>5934.6805105036319</v>
      </c>
      <c r="H24" s="1012">
        <f>+landbouw!G8</f>
        <v>0</v>
      </c>
      <c r="I24" s="1012">
        <f>+landbouw!H8</f>
        <v>0</v>
      </c>
      <c r="J24" s="1012">
        <f>+landbouw!I8</f>
        <v>0</v>
      </c>
      <c r="K24" s="1012">
        <f>+landbouw!J8</f>
        <v>233.74313604318817</v>
      </c>
      <c r="L24" s="1012">
        <f>+landbouw!K8</f>
        <v>0</v>
      </c>
      <c r="M24" s="1012">
        <f>+landbouw!L8</f>
        <v>0</v>
      </c>
      <c r="N24" s="1012">
        <f>+landbouw!M8</f>
        <v>0</v>
      </c>
      <c r="O24" s="1012">
        <f>+landbouw!N8</f>
        <v>0</v>
      </c>
      <c r="P24" s="1012">
        <f>+landbouw!O8</f>
        <v>0</v>
      </c>
      <c r="Q24" s="1013">
        <f>+landbouw!P8</f>
        <v>0</v>
      </c>
      <c r="R24" s="700">
        <f>SUM(C24:Q24)</f>
        <v>10737.212708014526</v>
      </c>
      <c r="S24" s="67"/>
    </row>
    <row r="25" spans="1:19" s="473" customFormat="1" ht="15" thickBot="1">
      <c r="A25" s="831" t="s">
        <v>848</v>
      </c>
      <c r="B25" s="1015"/>
      <c r="C25" s="1016">
        <f>IF(Onbekend_ele_kWh="---",0,Onbekend_ele_kWh)/1000+IF(REST_rest_ele_kWh="---",0,REST_rest_ele_kWh)/1000</f>
        <v>187.77699999999999</v>
      </c>
      <c r="D25" s="1016"/>
      <c r="E25" s="1016">
        <f>IF(onbekend_gas_kWh="---",0,onbekend_gas_kWh)/1000+IF(REST_rest_gas_kWh="---",0,REST_rest_gas_kWh)/1000</f>
        <v>267.392</v>
      </c>
      <c r="F25" s="1016"/>
      <c r="G25" s="1016"/>
      <c r="H25" s="1016"/>
      <c r="I25" s="1016"/>
      <c r="J25" s="1016"/>
      <c r="K25" s="1016"/>
      <c r="L25" s="1016"/>
      <c r="M25" s="1016"/>
      <c r="N25" s="1016"/>
      <c r="O25" s="1016"/>
      <c r="P25" s="1016"/>
      <c r="Q25" s="1017"/>
      <c r="R25" s="700">
        <f>SUM(C25:Q25)</f>
        <v>455.16899999999998</v>
      </c>
      <c r="S25" s="67"/>
    </row>
    <row r="26" spans="1:19" s="473" customFormat="1" ht="15.75" thickBot="1">
      <c r="A26" s="705" t="s">
        <v>849</v>
      </c>
      <c r="B26" s="817"/>
      <c r="C26" s="812">
        <f>SUM(C24:C25)</f>
        <v>1811.4080000000001</v>
      </c>
      <c r="D26" s="812">
        <f t="shared" ref="D26:R26" si="2">SUM(D24:D25)</f>
        <v>0</v>
      </c>
      <c r="E26" s="812">
        <f t="shared" si="2"/>
        <v>3170.6828519999999</v>
      </c>
      <c r="F26" s="812">
        <f t="shared" si="2"/>
        <v>41.867209467704981</v>
      </c>
      <c r="G26" s="812">
        <f t="shared" si="2"/>
        <v>5934.6805105036319</v>
      </c>
      <c r="H26" s="812">
        <f t="shared" si="2"/>
        <v>0</v>
      </c>
      <c r="I26" s="812">
        <f t="shared" si="2"/>
        <v>0</v>
      </c>
      <c r="J26" s="812">
        <f t="shared" si="2"/>
        <v>0</v>
      </c>
      <c r="K26" s="812">
        <f t="shared" si="2"/>
        <v>233.74313604318817</v>
      </c>
      <c r="L26" s="812">
        <f t="shared" si="2"/>
        <v>0</v>
      </c>
      <c r="M26" s="812">
        <f t="shared" si="2"/>
        <v>0</v>
      </c>
      <c r="N26" s="812">
        <f t="shared" si="2"/>
        <v>0</v>
      </c>
      <c r="O26" s="812">
        <f t="shared" si="2"/>
        <v>0</v>
      </c>
      <c r="P26" s="812">
        <f t="shared" si="2"/>
        <v>0</v>
      </c>
      <c r="Q26" s="812">
        <f t="shared" si="2"/>
        <v>0</v>
      </c>
      <c r="R26" s="812">
        <f t="shared" si="2"/>
        <v>11192.381708014525</v>
      </c>
      <c r="S26" s="67"/>
    </row>
    <row r="27" spans="1:19" s="473" customFormat="1" ht="17.25" thickTop="1" thickBot="1">
      <c r="A27" s="706" t="s">
        <v>116</v>
      </c>
      <c r="B27" s="805"/>
      <c r="C27" s="707">
        <f ca="1">C22+C16+C26</f>
        <v>63018.840594451533</v>
      </c>
      <c r="D27" s="707">
        <f t="shared" ref="D27:R27" ca="1" si="3">D22+D16+D26</f>
        <v>0</v>
      </c>
      <c r="E27" s="707">
        <f t="shared" ca="1" si="3"/>
        <v>30196.607160901411</v>
      </c>
      <c r="F27" s="707">
        <f t="shared" si="3"/>
        <v>9956.3088395396644</v>
      </c>
      <c r="G27" s="707">
        <f t="shared" ca="1" si="3"/>
        <v>64052.506099763268</v>
      </c>
      <c r="H27" s="707">
        <f t="shared" si="3"/>
        <v>23272.92624939686</v>
      </c>
      <c r="I27" s="707">
        <f t="shared" si="3"/>
        <v>5156.8090076960971</v>
      </c>
      <c r="J27" s="707">
        <f t="shared" si="3"/>
        <v>0</v>
      </c>
      <c r="K27" s="707">
        <f t="shared" si="3"/>
        <v>561.67159575192602</v>
      </c>
      <c r="L27" s="707">
        <f t="shared" si="3"/>
        <v>0</v>
      </c>
      <c r="M27" s="707">
        <f t="shared" ca="1" si="3"/>
        <v>0</v>
      </c>
      <c r="N27" s="707">
        <f t="shared" si="3"/>
        <v>887.53487775439737</v>
      </c>
      <c r="O27" s="707">
        <f t="shared" ca="1" si="3"/>
        <v>26042.925175914716</v>
      </c>
      <c r="P27" s="707">
        <f t="shared" si="3"/>
        <v>136.01000000000002</v>
      </c>
      <c r="Q27" s="707">
        <f t="shared" si="3"/>
        <v>514.80000000000007</v>
      </c>
      <c r="R27" s="707">
        <f t="shared" ca="1" si="3"/>
        <v>223796.93960116987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3312.1015188741239</v>
      </c>
      <c r="D40" s="1012">
        <f ca="1">tertiair!C20</f>
        <v>0</v>
      </c>
      <c r="E40" s="1012">
        <f ca="1">tertiair!D20</f>
        <v>923.49241041200014</v>
      </c>
      <c r="F40" s="1012">
        <f>tertiair!E20</f>
        <v>54.373399084922461</v>
      </c>
      <c r="G40" s="1012">
        <f ca="1">tertiair!F20</f>
        <v>1040.6424379040757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5330.6097662751217</v>
      </c>
    </row>
    <row r="41" spans="1:18">
      <c r="A41" s="822" t="s">
        <v>225</v>
      </c>
      <c r="B41" s="829"/>
      <c r="C41" s="1012">
        <f ca="1">huishoudens!B12</f>
        <v>2777.9549451725634</v>
      </c>
      <c r="D41" s="1012">
        <f ca="1">huishoudens!C12</f>
        <v>0</v>
      </c>
      <c r="E41" s="1012">
        <f>huishoudens!D12</f>
        <v>3374.2061767480004</v>
      </c>
      <c r="F41" s="1012">
        <f>huishoudens!E12</f>
        <v>476.41161651202225</v>
      </c>
      <c r="G41" s="1012">
        <f>huishoudens!F12</f>
        <v>7688.7371482589142</v>
      </c>
      <c r="H41" s="1012">
        <f>huishoudens!G12</f>
        <v>0</v>
      </c>
      <c r="I41" s="1012">
        <f>huishoudens!H12</f>
        <v>0</v>
      </c>
      <c r="J41" s="1012">
        <f>huishoudens!I12</f>
        <v>0</v>
      </c>
      <c r="K41" s="1012">
        <f>huishoudens!J12</f>
        <v>76.70544953964513</v>
      </c>
      <c r="L41" s="1012">
        <f>huishoudens!K12</f>
        <v>0</v>
      </c>
      <c r="M41" s="1012">
        <f>huishoudens!L12</f>
        <v>0</v>
      </c>
      <c r="N41" s="1012">
        <f>huishoudens!M12</f>
        <v>0</v>
      </c>
      <c r="O41" s="1012">
        <f>huishoudens!N12</f>
        <v>0</v>
      </c>
      <c r="P41" s="1012">
        <f>huishoudens!O12</f>
        <v>0</v>
      </c>
      <c r="Q41" s="774">
        <f>huishoudens!P12</f>
        <v>0</v>
      </c>
      <c r="R41" s="850">
        <f t="shared" ca="1" si="4"/>
        <v>14394.015336231147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6440.68169660891</v>
      </c>
      <c r="D43" s="1012">
        <f ca="1">industrie!C22</f>
        <v>0</v>
      </c>
      <c r="E43" s="1012">
        <f>industrie!D22</f>
        <v>1157.6526098280001</v>
      </c>
      <c r="F43" s="1012">
        <f>industrie!E22</f>
        <v>1703.039582646639</v>
      </c>
      <c r="G43" s="1012">
        <f>industrie!F22</f>
        <v>6788.0798461693348</v>
      </c>
      <c r="H43" s="1012">
        <f>industrie!G22</f>
        <v>0</v>
      </c>
      <c r="I43" s="1012">
        <f>industrie!H22</f>
        <v>0</v>
      </c>
      <c r="J43" s="1012">
        <f>industrie!I22</f>
        <v>0</v>
      </c>
      <c r="K43" s="1012">
        <f>industrie!J22</f>
        <v>39.381225197248071</v>
      </c>
      <c r="L43" s="1012">
        <f>industrie!K22</f>
        <v>0</v>
      </c>
      <c r="M43" s="1012">
        <f>industrie!L22</f>
        <v>0</v>
      </c>
      <c r="N43" s="1012">
        <f>industrie!M22</f>
        <v>0</v>
      </c>
      <c r="O43" s="1012">
        <f>industrie!N22</f>
        <v>0</v>
      </c>
      <c r="P43" s="1012">
        <f>industrie!O22</f>
        <v>0</v>
      </c>
      <c r="Q43" s="774">
        <f>industrie!P22</f>
        <v>0</v>
      </c>
      <c r="R43" s="849">
        <f t="shared" ca="1" si="4"/>
        <v>16128.834960450131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12530.738160655597</v>
      </c>
      <c r="D46" s="732">
        <f t="shared" ref="D46:Q46" ca="1" si="5">SUM(D39:D45)</f>
        <v>0</v>
      </c>
      <c r="E46" s="732">
        <f t="shared" ca="1" si="5"/>
        <v>5455.351196988001</v>
      </c>
      <c r="F46" s="732">
        <f t="shared" si="5"/>
        <v>2233.8245982435838</v>
      </c>
      <c r="G46" s="732">
        <f t="shared" ca="1" si="5"/>
        <v>15517.459432332325</v>
      </c>
      <c r="H46" s="732">
        <f t="shared" si="5"/>
        <v>0</v>
      </c>
      <c r="I46" s="732">
        <f t="shared" si="5"/>
        <v>0</v>
      </c>
      <c r="J46" s="732">
        <f t="shared" si="5"/>
        <v>0</v>
      </c>
      <c r="K46" s="732">
        <f t="shared" si="5"/>
        <v>116.0866747368932</v>
      </c>
      <c r="L46" s="732">
        <f t="shared" si="5"/>
        <v>0</v>
      </c>
      <c r="M46" s="732">
        <f t="shared" ca="1" si="5"/>
        <v>0</v>
      </c>
      <c r="N46" s="732">
        <f t="shared" si="5"/>
        <v>0</v>
      </c>
      <c r="O46" s="732">
        <f t="shared" ca="1" si="5"/>
        <v>0</v>
      </c>
      <c r="P46" s="732">
        <f t="shared" si="5"/>
        <v>0</v>
      </c>
      <c r="Q46" s="732">
        <f t="shared" si="5"/>
        <v>0</v>
      </c>
      <c r="R46" s="732">
        <f ca="1">SUM(R39:R45)</f>
        <v>35853.460062956394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112.82523961830215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112.82523961830215</v>
      </c>
    </row>
    <row r="50" spans="1:18">
      <c r="A50" s="825" t="s">
        <v>307</v>
      </c>
      <c r="B50" s="835"/>
      <c r="C50" s="703">
        <f ca="1">transport!B18</f>
        <v>1.6951626692209067</v>
      </c>
      <c r="D50" s="703">
        <f>transport!C18</f>
        <v>0</v>
      </c>
      <c r="E50" s="703">
        <f>transport!D18</f>
        <v>3.8855134100844335</v>
      </c>
      <c r="F50" s="703">
        <f>transport!E18</f>
        <v>16.753651782750804</v>
      </c>
      <c r="G50" s="703">
        <f>transport!F18</f>
        <v>0</v>
      </c>
      <c r="H50" s="703">
        <f>transport!G18</f>
        <v>6101.0460689706597</v>
      </c>
      <c r="I50" s="703">
        <f>transport!H18</f>
        <v>1284.0454429163281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7407.4258397490439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1.6951626692209067</v>
      </c>
      <c r="D52" s="732">
        <f t="shared" ref="D52:Q52" ca="1" si="6">SUM(D48:D51)</f>
        <v>0</v>
      </c>
      <c r="E52" s="732">
        <f t="shared" si="6"/>
        <v>3.8855134100844335</v>
      </c>
      <c r="F52" s="732">
        <f t="shared" si="6"/>
        <v>16.753651782750804</v>
      </c>
      <c r="G52" s="732">
        <f t="shared" si="6"/>
        <v>0</v>
      </c>
      <c r="H52" s="732">
        <f t="shared" si="6"/>
        <v>6213.8713085889622</v>
      </c>
      <c r="I52" s="732">
        <f t="shared" si="6"/>
        <v>1284.0454429163281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7520.2510793673464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332.4440576360289</v>
      </c>
      <c r="D54" s="703">
        <f ca="1">+landbouw!C12</f>
        <v>0</v>
      </c>
      <c r="E54" s="703">
        <f>+landbouw!D12</f>
        <v>586.46475210400001</v>
      </c>
      <c r="F54" s="703">
        <f>+landbouw!E12</f>
        <v>9.503856549169031</v>
      </c>
      <c r="G54" s="703">
        <f>+landbouw!F12</f>
        <v>1584.5596963044698</v>
      </c>
      <c r="H54" s="703">
        <f>+landbouw!G12</f>
        <v>0</v>
      </c>
      <c r="I54" s="703">
        <f>+landbouw!H12</f>
        <v>0</v>
      </c>
      <c r="J54" s="703">
        <f>+landbouw!I12</f>
        <v>0</v>
      </c>
      <c r="K54" s="703">
        <f>+landbouw!J12</f>
        <v>82.745070159288602</v>
      </c>
      <c r="L54" s="703">
        <f>+landbouw!K12</f>
        <v>0</v>
      </c>
      <c r="M54" s="703">
        <f>+landbouw!L12</f>
        <v>0</v>
      </c>
      <c r="N54" s="703">
        <f>+landbouw!M12</f>
        <v>0</v>
      </c>
      <c r="O54" s="703">
        <f>+landbouw!N12</f>
        <v>0</v>
      </c>
      <c r="P54" s="703">
        <f>+landbouw!O12</f>
        <v>0</v>
      </c>
      <c r="Q54" s="704">
        <f>+landbouw!P12</f>
        <v>0</v>
      </c>
      <c r="R54" s="731">
        <f ca="1">SUM(C54:Q54)</f>
        <v>2595.717432752956</v>
      </c>
    </row>
    <row r="55" spans="1:18" ht="15" thickBot="1">
      <c r="A55" s="825" t="s">
        <v>848</v>
      </c>
      <c r="B55" s="835"/>
      <c r="C55" s="703">
        <f ca="1">C25*'EF ele_warmte'!B12</f>
        <v>38.447989605224706</v>
      </c>
      <c r="D55" s="703"/>
      <c r="E55" s="703">
        <f>E25*EF_CO2_aardgas</f>
        <v>54.013184000000003</v>
      </c>
      <c r="F55" s="703"/>
      <c r="G55" s="703"/>
      <c r="H55" s="703"/>
      <c r="I55" s="703"/>
      <c r="J55" s="703"/>
      <c r="K55" s="703"/>
      <c r="L55" s="703"/>
      <c r="M55" s="703"/>
      <c r="N55" s="703"/>
      <c r="O55" s="703"/>
      <c r="P55" s="703"/>
      <c r="Q55" s="704"/>
      <c r="R55" s="731">
        <f ca="1">SUM(C55:Q55)</f>
        <v>92.461173605224701</v>
      </c>
    </row>
    <row r="56" spans="1:18" ht="15.75" thickBot="1">
      <c r="A56" s="823" t="s">
        <v>849</v>
      </c>
      <c r="B56" s="836"/>
      <c r="C56" s="732">
        <f ca="1">SUM(C54:C55)</f>
        <v>370.89204724125364</v>
      </c>
      <c r="D56" s="732">
        <f t="shared" ref="D56:Q56" ca="1" si="7">SUM(D54:D55)</f>
        <v>0</v>
      </c>
      <c r="E56" s="732">
        <f t="shared" si="7"/>
        <v>640.47793610400004</v>
      </c>
      <c r="F56" s="732">
        <f t="shared" si="7"/>
        <v>9.503856549169031</v>
      </c>
      <c r="G56" s="732">
        <f t="shared" si="7"/>
        <v>1584.5596963044698</v>
      </c>
      <c r="H56" s="732">
        <f t="shared" si="7"/>
        <v>0</v>
      </c>
      <c r="I56" s="732">
        <f t="shared" si="7"/>
        <v>0</v>
      </c>
      <c r="J56" s="732">
        <f t="shared" si="7"/>
        <v>0</v>
      </c>
      <c r="K56" s="732">
        <f t="shared" si="7"/>
        <v>82.745070159288602</v>
      </c>
      <c r="L56" s="732">
        <f t="shared" si="7"/>
        <v>0</v>
      </c>
      <c r="M56" s="732">
        <f t="shared" si="7"/>
        <v>0</v>
      </c>
      <c r="N56" s="732">
        <f t="shared" si="7"/>
        <v>0</v>
      </c>
      <c r="O56" s="732">
        <f t="shared" si="7"/>
        <v>0</v>
      </c>
      <c r="P56" s="732">
        <f t="shared" si="7"/>
        <v>0</v>
      </c>
      <c r="Q56" s="733">
        <f t="shared" si="7"/>
        <v>0</v>
      </c>
      <c r="R56" s="734">
        <f ca="1">SUM(R54:R55)</f>
        <v>2688.1786063581808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12903.325370566072</v>
      </c>
      <c r="D61" s="740">
        <f t="shared" ref="D61:Q61" ca="1" si="8">D46+D52+D56</f>
        <v>0</v>
      </c>
      <c r="E61" s="740">
        <f t="shared" ca="1" si="8"/>
        <v>6099.7146465020851</v>
      </c>
      <c r="F61" s="740">
        <f t="shared" si="8"/>
        <v>2260.0821065755035</v>
      </c>
      <c r="G61" s="740">
        <f t="shared" ca="1" si="8"/>
        <v>17102.019128636795</v>
      </c>
      <c r="H61" s="740">
        <f t="shared" si="8"/>
        <v>6213.8713085889622</v>
      </c>
      <c r="I61" s="740">
        <f t="shared" si="8"/>
        <v>1284.0454429163281</v>
      </c>
      <c r="J61" s="740">
        <f t="shared" si="8"/>
        <v>0</v>
      </c>
      <c r="K61" s="740">
        <f t="shared" si="8"/>
        <v>198.83174489618182</v>
      </c>
      <c r="L61" s="740">
        <f t="shared" si="8"/>
        <v>0</v>
      </c>
      <c r="M61" s="740">
        <f t="shared" ca="1" si="8"/>
        <v>0</v>
      </c>
      <c r="N61" s="740">
        <f t="shared" si="8"/>
        <v>0</v>
      </c>
      <c r="O61" s="740">
        <f t="shared" ca="1" si="8"/>
        <v>0</v>
      </c>
      <c r="P61" s="740">
        <f t="shared" si="8"/>
        <v>0</v>
      </c>
      <c r="Q61" s="740">
        <f t="shared" si="8"/>
        <v>0</v>
      </c>
      <c r="R61" s="740">
        <f ca="1">R46+R52+R56</f>
        <v>46061.889748681919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0.20475345545633761</v>
      </c>
      <c r="D63" s="781">
        <f t="shared" ca="1" si="9"/>
        <v>0</v>
      </c>
      <c r="E63" s="1023">
        <f t="shared" ca="1" si="9"/>
        <v>0.20200000000000001</v>
      </c>
      <c r="F63" s="781">
        <f t="shared" si="9"/>
        <v>0.22699999999999998</v>
      </c>
      <c r="G63" s="781">
        <f t="shared" ca="1" si="9"/>
        <v>0.26700000000000007</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4632.7529448312989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4632.7529448312989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4632.7529448312989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4632.7529448312989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13567.316551416858</v>
      </c>
      <c r="C4" s="477">
        <f>huishoudens!C8</f>
        <v>0</v>
      </c>
      <c r="D4" s="477">
        <f>huishoudens!D8</f>
        <v>16703.990974</v>
      </c>
      <c r="E4" s="477">
        <f>huishoudens!E8</f>
        <v>2098.7295881586883</v>
      </c>
      <c r="F4" s="477">
        <f>huishoudens!F8</f>
        <v>28796.768345539003</v>
      </c>
      <c r="G4" s="477">
        <f>huishoudens!G8</f>
        <v>0</v>
      </c>
      <c r="H4" s="477">
        <f>huishoudens!H8</f>
        <v>0</v>
      </c>
      <c r="I4" s="477">
        <f>huishoudens!I8</f>
        <v>0</v>
      </c>
      <c r="J4" s="477">
        <f>huishoudens!J8</f>
        <v>216.68206084645519</v>
      </c>
      <c r="K4" s="477">
        <f>huishoudens!K8</f>
        <v>0</v>
      </c>
      <c r="L4" s="477">
        <f>huishoudens!L8</f>
        <v>0</v>
      </c>
      <c r="M4" s="477">
        <f>huishoudens!M8</f>
        <v>0</v>
      </c>
      <c r="N4" s="477">
        <f>huishoudens!N8</f>
        <v>12914.482670523976</v>
      </c>
      <c r="O4" s="477">
        <f>huishoudens!O8</f>
        <v>136.01000000000002</v>
      </c>
      <c r="P4" s="478">
        <f>huishoudens!P8</f>
        <v>495.73333333333335</v>
      </c>
      <c r="Q4" s="479">
        <f>SUM(B4:P4)</f>
        <v>74929.713523818311</v>
      </c>
    </row>
    <row r="5" spans="1:17">
      <c r="A5" s="476" t="s">
        <v>156</v>
      </c>
      <c r="B5" s="477">
        <f ca="1">tertiair!B16</f>
        <v>15623.786</v>
      </c>
      <c r="C5" s="477">
        <f ca="1">tertiair!C16</f>
        <v>0</v>
      </c>
      <c r="D5" s="477">
        <f ca="1">tertiair!D16</f>
        <v>4571.7446060000002</v>
      </c>
      <c r="E5" s="477">
        <f>tertiair!E16</f>
        <v>239.53039244459234</v>
      </c>
      <c r="F5" s="477">
        <f ca="1">tertiair!F16</f>
        <v>3897.5372206145153</v>
      </c>
      <c r="G5" s="477">
        <f>tertiair!G16</f>
        <v>0</v>
      </c>
      <c r="H5" s="477">
        <f>tertiair!H16</f>
        <v>0</v>
      </c>
      <c r="I5" s="477">
        <f>tertiair!I16</f>
        <v>0</v>
      </c>
      <c r="J5" s="477">
        <f>tertiair!J16</f>
        <v>0</v>
      </c>
      <c r="K5" s="477">
        <f>tertiair!K16</f>
        <v>0</v>
      </c>
      <c r="L5" s="477">
        <f ca="1">tertiair!L16</f>
        <v>0</v>
      </c>
      <c r="M5" s="477">
        <f>tertiair!M16</f>
        <v>0</v>
      </c>
      <c r="N5" s="477">
        <f ca="1">tertiair!N16</f>
        <v>807.20207737394583</v>
      </c>
      <c r="O5" s="477">
        <f>tertiair!O16</f>
        <v>0</v>
      </c>
      <c r="P5" s="478">
        <f>tertiair!P16</f>
        <v>19.066666666666666</v>
      </c>
      <c r="Q5" s="476">
        <f t="shared" ref="Q5:Q14" ca="1" si="0">SUM(B5:P5)</f>
        <v>25158.866963099717</v>
      </c>
    </row>
    <row r="6" spans="1:17">
      <c r="A6" s="476" t="s">
        <v>194</v>
      </c>
      <c r="B6" s="477">
        <f>'openbare verlichting'!B8</f>
        <v>552.26099999999997</v>
      </c>
      <c r="C6" s="477"/>
      <c r="D6" s="477"/>
      <c r="E6" s="477"/>
      <c r="F6" s="477"/>
      <c r="G6" s="477"/>
      <c r="H6" s="477"/>
      <c r="I6" s="477"/>
      <c r="J6" s="477"/>
      <c r="K6" s="477"/>
      <c r="L6" s="477"/>
      <c r="M6" s="477"/>
      <c r="N6" s="477"/>
      <c r="O6" s="477"/>
      <c r="P6" s="478"/>
      <c r="Q6" s="476">
        <f t="shared" si="0"/>
        <v>552.26099999999997</v>
      </c>
    </row>
    <row r="7" spans="1:17">
      <c r="A7" s="476" t="s">
        <v>112</v>
      </c>
      <c r="B7" s="477">
        <f>landbouw!B8</f>
        <v>1623.6310000000001</v>
      </c>
      <c r="C7" s="477">
        <f>landbouw!C8</f>
        <v>0</v>
      </c>
      <c r="D7" s="477">
        <f>landbouw!D8</f>
        <v>2903.2908520000001</v>
      </c>
      <c r="E7" s="477">
        <f>landbouw!E8</f>
        <v>41.867209467704981</v>
      </c>
      <c r="F7" s="477">
        <f>landbouw!F8</f>
        <v>5934.6805105036319</v>
      </c>
      <c r="G7" s="477">
        <f>landbouw!G8</f>
        <v>0</v>
      </c>
      <c r="H7" s="477">
        <f>landbouw!H8</f>
        <v>0</v>
      </c>
      <c r="I7" s="477">
        <f>landbouw!I8</f>
        <v>0</v>
      </c>
      <c r="J7" s="477">
        <f>landbouw!J8</f>
        <v>233.74313604318817</v>
      </c>
      <c r="K7" s="477">
        <f>landbouw!K8</f>
        <v>0</v>
      </c>
      <c r="L7" s="477">
        <f>landbouw!L8</f>
        <v>0</v>
      </c>
      <c r="M7" s="477">
        <f>landbouw!M8</f>
        <v>0</v>
      </c>
      <c r="N7" s="477">
        <f>landbouw!N8</f>
        <v>0</v>
      </c>
      <c r="O7" s="477">
        <f>landbouw!O8</f>
        <v>0</v>
      </c>
      <c r="P7" s="478">
        <f>landbouw!P8</f>
        <v>0</v>
      </c>
      <c r="Q7" s="476">
        <f t="shared" si="0"/>
        <v>10737.212708014526</v>
      </c>
    </row>
    <row r="8" spans="1:17">
      <c r="A8" s="476" t="s">
        <v>638</v>
      </c>
      <c r="B8" s="477">
        <f>industrie!B18</f>
        <v>31455.79</v>
      </c>
      <c r="C8" s="477">
        <f>industrie!C18</f>
        <v>0</v>
      </c>
      <c r="D8" s="477">
        <f>industrie!D18</f>
        <v>5730.9535139999998</v>
      </c>
      <c r="E8" s="477">
        <f>industrie!E18</f>
        <v>7502.377016064489</v>
      </c>
      <c r="F8" s="477">
        <f>industrie!F18</f>
        <v>25423.520023106121</v>
      </c>
      <c r="G8" s="477">
        <f>industrie!G18</f>
        <v>0</v>
      </c>
      <c r="H8" s="477">
        <f>industrie!H18</f>
        <v>0</v>
      </c>
      <c r="I8" s="477">
        <f>industrie!I18</f>
        <v>0</v>
      </c>
      <c r="J8" s="477">
        <f>industrie!J18</f>
        <v>111.24639886228269</v>
      </c>
      <c r="K8" s="477">
        <f>industrie!K18</f>
        <v>0</v>
      </c>
      <c r="L8" s="477">
        <f>industrie!L18</f>
        <v>0</v>
      </c>
      <c r="M8" s="477">
        <f>industrie!M18</f>
        <v>0</v>
      </c>
      <c r="N8" s="477">
        <f>industrie!N18</f>
        <v>12321.240428016796</v>
      </c>
      <c r="O8" s="477">
        <f>industrie!O18</f>
        <v>0</v>
      </c>
      <c r="P8" s="478">
        <f>industrie!P18</f>
        <v>0</v>
      </c>
      <c r="Q8" s="476">
        <f t="shared" si="0"/>
        <v>82545.127380049686</v>
      </c>
    </row>
    <row r="9" spans="1:17" s="482" customFormat="1">
      <c r="A9" s="480" t="s">
        <v>564</v>
      </c>
      <c r="B9" s="481">
        <f>transport!B14</f>
        <v>8.279043034672446</v>
      </c>
      <c r="C9" s="481">
        <f>transport!C14</f>
        <v>0</v>
      </c>
      <c r="D9" s="481">
        <f>transport!D14</f>
        <v>19.235214901408085</v>
      </c>
      <c r="E9" s="481">
        <f>transport!E14</f>
        <v>73.804633404188564</v>
      </c>
      <c r="F9" s="481">
        <f>transport!F14</f>
        <v>0</v>
      </c>
      <c r="G9" s="481">
        <f>transport!G14</f>
        <v>22850.359808878875</v>
      </c>
      <c r="H9" s="481">
        <f>transport!H14</f>
        <v>5156.8090076960971</v>
      </c>
      <c r="I9" s="481">
        <f>transport!I14</f>
        <v>0</v>
      </c>
      <c r="J9" s="481">
        <f>transport!J14</f>
        <v>0</v>
      </c>
      <c r="K9" s="481">
        <f>transport!K14</f>
        <v>0</v>
      </c>
      <c r="L9" s="481">
        <f>transport!L14</f>
        <v>0</v>
      </c>
      <c r="M9" s="481">
        <f>transport!M14</f>
        <v>874.42781212760121</v>
      </c>
      <c r="N9" s="481">
        <f>transport!N14</f>
        <v>0</v>
      </c>
      <c r="O9" s="481">
        <f>transport!O14</f>
        <v>0</v>
      </c>
      <c r="P9" s="481">
        <f>transport!P14</f>
        <v>0</v>
      </c>
      <c r="Q9" s="480">
        <f>SUM(B9:P9)</f>
        <v>28982.915520042843</v>
      </c>
    </row>
    <row r="10" spans="1:17">
      <c r="A10" s="476" t="s">
        <v>554</v>
      </c>
      <c r="B10" s="477">
        <f>transport!B54</f>
        <v>0</v>
      </c>
      <c r="C10" s="477">
        <f>transport!C54</f>
        <v>0</v>
      </c>
      <c r="D10" s="477">
        <f>transport!D54</f>
        <v>0</v>
      </c>
      <c r="E10" s="477">
        <f>transport!E54</f>
        <v>0</v>
      </c>
      <c r="F10" s="477">
        <f>transport!F54</f>
        <v>0</v>
      </c>
      <c r="G10" s="477">
        <f>transport!G54</f>
        <v>422.56644051798554</v>
      </c>
      <c r="H10" s="477">
        <f>transport!H54</f>
        <v>0</v>
      </c>
      <c r="I10" s="477">
        <f>transport!I54</f>
        <v>0</v>
      </c>
      <c r="J10" s="477">
        <f>transport!J54</f>
        <v>0</v>
      </c>
      <c r="K10" s="477">
        <f>transport!K54</f>
        <v>0</v>
      </c>
      <c r="L10" s="477">
        <f>transport!L54</f>
        <v>0</v>
      </c>
      <c r="M10" s="477">
        <f>transport!M54</f>
        <v>13.107065626796139</v>
      </c>
      <c r="N10" s="477">
        <f>transport!N54</f>
        <v>0</v>
      </c>
      <c r="O10" s="477">
        <f>transport!O54</f>
        <v>0</v>
      </c>
      <c r="P10" s="478">
        <f>transport!P54</f>
        <v>0</v>
      </c>
      <c r="Q10" s="476">
        <f t="shared" si="0"/>
        <v>435.6735061447817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187.77699999999999</v>
      </c>
      <c r="C14" s="484"/>
      <c r="D14" s="484">
        <f>'SEAP template'!E25</f>
        <v>267.392</v>
      </c>
      <c r="E14" s="484"/>
      <c r="F14" s="484"/>
      <c r="G14" s="484"/>
      <c r="H14" s="484"/>
      <c r="I14" s="484"/>
      <c r="J14" s="484"/>
      <c r="K14" s="484"/>
      <c r="L14" s="484"/>
      <c r="M14" s="484"/>
      <c r="N14" s="484"/>
      <c r="O14" s="484"/>
      <c r="P14" s="485"/>
      <c r="Q14" s="476">
        <f t="shared" si="0"/>
        <v>455.16899999999998</v>
      </c>
    </row>
    <row r="15" spans="1:17" s="486" customFormat="1">
      <c r="A15" s="1038" t="s">
        <v>558</v>
      </c>
      <c r="B15" s="978">
        <f ca="1">SUM(B4:B14)</f>
        <v>63018.840594451533</v>
      </c>
      <c r="C15" s="978">
        <f t="shared" ref="C15:Q15" ca="1" si="1">SUM(C4:C14)</f>
        <v>0</v>
      </c>
      <c r="D15" s="978">
        <f t="shared" ca="1" si="1"/>
        <v>30196.607160901407</v>
      </c>
      <c r="E15" s="978">
        <f t="shared" si="1"/>
        <v>9956.3088395396626</v>
      </c>
      <c r="F15" s="978">
        <f t="shared" ca="1" si="1"/>
        <v>64052.506099763268</v>
      </c>
      <c r="G15" s="978">
        <f t="shared" si="1"/>
        <v>23272.92624939686</v>
      </c>
      <c r="H15" s="978">
        <f t="shared" si="1"/>
        <v>5156.8090076960971</v>
      </c>
      <c r="I15" s="978">
        <f t="shared" si="1"/>
        <v>0</v>
      </c>
      <c r="J15" s="978">
        <f t="shared" si="1"/>
        <v>561.67159575192602</v>
      </c>
      <c r="K15" s="978">
        <f t="shared" si="1"/>
        <v>0</v>
      </c>
      <c r="L15" s="978">
        <f t="shared" ca="1" si="1"/>
        <v>0</v>
      </c>
      <c r="M15" s="978">
        <f t="shared" si="1"/>
        <v>887.53487775439737</v>
      </c>
      <c r="N15" s="978">
        <f t="shared" ca="1" si="1"/>
        <v>26042.925175914716</v>
      </c>
      <c r="O15" s="978">
        <f t="shared" si="1"/>
        <v>136.01000000000002</v>
      </c>
      <c r="P15" s="978">
        <f t="shared" si="1"/>
        <v>514.80000000000007</v>
      </c>
      <c r="Q15" s="978">
        <f t="shared" ca="1" si="1"/>
        <v>223796.93960116987</v>
      </c>
    </row>
    <row r="17" spans="1:17">
      <c r="A17" s="487" t="s">
        <v>559</v>
      </c>
      <c r="B17" s="786">
        <f ca="1">huishoudens!B10</f>
        <v>0.20475345545633761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2777.9549451725634</v>
      </c>
      <c r="C22" s="477">
        <f t="shared" ref="C22:C32" ca="1" si="3">C4*$C$17</f>
        <v>0</v>
      </c>
      <c r="D22" s="477">
        <f t="shared" ref="D22:D32" si="4">D4*$D$17</f>
        <v>3374.2061767480004</v>
      </c>
      <c r="E22" s="477">
        <f t="shared" ref="E22:E32" si="5">E4*$E$17</f>
        <v>476.41161651202225</v>
      </c>
      <c r="F22" s="477">
        <f t="shared" ref="F22:F32" si="6">F4*$F$17</f>
        <v>7688.7371482589142</v>
      </c>
      <c r="G22" s="477">
        <f t="shared" ref="G22:G32" si="7">G4*$G$17</f>
        <v>0</v>
      </c>
      <c r="H22" s="477">
        <f t="shared" ref="H22:H32" si="8">H4*$H$17</f>
        <v>0</v>
      </c>
      <c r="I22" s="477">
        <f t="shared" ref="I22:I32" si="9">I4*$I$17</f>
        <v>0</v>
      </c>
      <c r="J22" s="477">
        <f t="shared" ref="J22:J32" si="10">J4*$J$17</f>
        <v>76.70544953964513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14394.015336231147</v>
      </c>
    </row>
    <row r="23" spans="1:17">
      <c r="A23" s="476" t="s">
        <v>156</v>
      </c>
      <c r="B23" s="477">
        <f t="shared" ca="1" si="2"/>
        <v>3199.0241708103513</v>
      </c>
      <c r="C23" s="477">
        <f t="shared" ca="1" si="3"/>
        <v>0</v>
      </c>
      <c r="D23" s="477">
        <f t="shared" ca="1" si="4"/>
        <v>923.49241041200014</v>
      </c>
      <c r="E23" s="477">
        <f t="shared" si="5"/>
        <v>54.373399084922461</v>
      </c>
      <c r="F23" s="477">
        <f t="shared" ca="1" si="6"/>
        <v>1040.6424379040757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5217.5324182113491</v>
      </c>
    </row>
    <row r="24" spans="1:17">
      <c r="A24" s="476" t="s">
        <v>194</v>
      </c>
      <c r="B24" s="477">
        <f t="shared" ca="1" si="2"/>
        <v>113.07734806377246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113.07734806377246</v>
      </c>
    </row>
    <row r="25" spans="1:17">
      <c r="A25" s="476" t="s">
        <v>112</v>
      </c>
      <c r="B25" s="477">
        <f t="shared" ca="1" si="2"/>
        <v>332.4440576360289</v>
      </c>
      <c r="C25" s="477">
        <f t="shared" ca="1" si="3"/>
        <v>0</v>
      </c>
      <c r="D25" s="477">
        <f t="shared" si="4"/>
        <v>586.46475210400001</v>
      </c>
      <c r="E25" s="477">
        <f t="shared" si="5"/>
        <v>9.503856549169031</v>
      </c>
      <c r="F25" s="477">
        <f t="shared" si="6"/>
        <v>1584.5596963044698</v>
      </c>
      <c r="G25" s="477">
        <f t="shared" si="7"/>
        <v>0</v>
      </c>
      <c r="H25" s="477">
        <f t="shared" si="8"/>
        <v>0</v>
      </c>
      <c r="I25" s="477">
        <f t="shared" si="9"/>
        <v>0</v>
      </c>
      <c r="J25" s="477">
        <f t="shared" si="10"/>
        <v>82.745070159288602</v>
      </c>
      <c r="K25" s="477">
        <f t="shared" si="11"/>
        <v>0</v>
      </c>
      <c r="L25" s="477">
        <f t="shared" si="12"/>
        <v>0</v>
      </c>
      <c r="M25" s="477">
        <f t="shared" si="13"/>
        <v>0</v>
      </c>
      <c r="N25" s="477">
        <f t="shared" si="14"/>
        <v>0</v>
      </c>
      <c r="O25" s="477">
        <f t="shared" si="15"/>
        <v>0</v>
      </c>
      <c r="P25" s="478">
        <f t="shared" si="16"/>
        <v>0</v>
      </c>
      <c r="Q25" s="476">
        <f t="shared" ca="1" si="17"/>
        <v>2595.717432752956</v>
      </c>
    </row>
    <row r="26" spans="1:17">
      <c r="A26" s="476" t="s">
        <v>638</v>
      </c>
      <c r="B26" s="477">
        <f t="shared" ca="1" si="2"/>
        <v>6440.68169660891</v>
      </c>
      <c r="C26" s="477">
        <f t="shared" ca="1" si="3"/>
        <v>0</v>
      </c>
      <c r="D26" s="477">
        <f t="shared" si="4"/>
        <v>1157.6526098280001</v>
      </c>
      <c r="E26" s="477">
        <f t="shared" si="5"/>
        <v>1703.039582646639</v>
      </c>
      <c r="F26" s="477">
        <f t="shared" si="6"/>
        <v>6788.0798461693348</v>
      </c>
      <c r="G26" s="477">
        <f t="shared" si="7"/>
        <v>0</v>
      </c>
      <c r="H26" s="477">
        <f t="shared" si="8"/>
        <v>0</v>
      </c>
      <c r="I26" s="477">
        <f t="shared" si="9"/>
        <v>0</v>
      </c>
      <c r="J26" s="477">
        <f t="shared" si="10"/>
        <v>39.381225197248071</v>
      </c>
      <c r="K26" s="477">
        <f t="shared" si="11"/>
        <v>0</v>
      </c>
      <c r="L26" s="477">
        <f t="shared" si="12"/>
        <v>0</v>
      </c>
      <c r="M26" s="477">
        <f t="shared" si="13"/>
        <v>0</v>
      </c>
      <c r="N26" s="477">
        <f t="shared" si="14"/>
        <v>0</v>
      </c>
      <c r="O26" s="477">
        <f t="shared" si="15"/>
        <v>0</v>
      </c>
      <c r="P26" s="478">
        <f t="shared" si="16"/>
        <v>0</v>
      </c>
      <c r="Q26" s="476">
        <f t="shared" ca="1" si="17"/>
        <v>16128.834960450131</v>
      </c>
    </row>
    <row r="27" spans="1:17" s="482" customFormat="1">
      <c r="A27" s="480" t="s">
        <v>564</v>
      </c>
      <c r="B27" s="780">
        <f t="shared" ca="1" si="2"/>
        <v>1.6951626692209067</v>
      </c>
      <c r="C27" s="481">
        <f t="shared" ca="1" si="3"/>
        <v>0</v>
      </c>
      <c r="D27" s="481">
        <f t="shared" si="4"/>
        <v>3.8855134100844335</v>
      </c>
      <c r="E27" s="481">
        <f t="shared" si="5"/>
        <v>16.753651782750804</v>
      </c>
      <c r="F27" s="481">
        <f t="shared" si="6"/>
        <v>0</v>
      </c>
      <c r="G27" s="481">
        <f t="shared" si="7"/>
        <v>6101.0460689706597</v>
      </c>
      <c r="H27" s="481">
        <f t="shared" si="8"/>
        <v>1284.0454429163281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7407.4258397490439</v>
      </c>
    </row>
    <row r="28" spans="1:17">
      <c r="A28" s="476" t="s">
        <v>554</v>
      </c>
      <c r="B28" s="477">
        <f t="shared" ca="1" si="2"/>
        <v>0</v>
      </c>
      <c r="C28" s="477">
        <f t="shared" ca="1" si="3"/>
        <v>0</v>
      </c>
      <c r="D28" s="477">
        <f t="shared" si="4"/>
        <v>0</v>
      </c>
      <c r="E28" s="477">
        <f t="shared" si="5"/>
        <v>0</v>
      </c>
      <c r="F28" s="477">
        <f t="shared" si="6"/>
        <v>0</v>
      </c>
      <c r="G28" s="477">
        <f t="shared" si="7"/>
        <v>112.82523961830215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112.82523961830215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38.447989605224706</v>
      </c>
      <c r="C32" s="477">
        <f t="shared" ca="1" si="3"/>
        <v>0</v>
      </c>
      <c r="D32" s="477">
        <f t="shared" si="4"/>
        <v>54.013184000000003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92.461173605224701</v>
      </c>
    </row>
    <row r="33" spans="1:17" s="486" customFormat="1">
      <c r="A33" s="1038" t="s">
        <v>558</v>
      </c>
      <c r="B33" s="978">
        <f ca="1">SUM(B22:B32)</f>
        <v>12903.325370566072</v>
      </c>
      <c r="C33" s="978">
        <f t="shared" ref="C33:Q33" ca="1" si="18">SUM(C22:C32)</f>
        <v>0</v>
      </c>
      <c r="D33" s="978">
        <f t="shared" ca="1" si="18"/>
        <v>6099.7146465020851</v>
      </c>
      <c r="E33" s="978">
        <f t="shared" si="18"/>
        <v>2260.0821065755035</v>
      </c>
      <c r="F33" s="978">
        <f t="shared" ca="1" si="18"/>
        <v>17102.019128636795</v>
      </c>
      <c r="G33" s="978">
        <f t="shared" si="18"/>
        <v>6213.8713085889622</v>
      </c>
      <c r="H33" s="978">
        <f t="shared" si="18"/>
        <v>1284.0454429163281</v>
      </c>
      <c r="I33" s="978">
        <f t="shared" si="18"/>
        <v>0</v>
      </c>
      <c r="J33" s="978">
        <f t="shared" si="18"/>
        <v>198.83174489618182</v>
      </c>
      <c r="K33" s="978">
        <f t="shared" si="18"/>
        <v>0</v>
      </c>
      <c r="L33" s="978">
        <f t="shared" ca="1" si="18"/>
        <v>0</v>
      </c>
      <c r="M33" s="978">
        <f t="shared" si="18"/>
        <v>0</v>
      </c>
      <c r="N33" s="978">
        <f t="shared" ca="1" si="18"/>
        <v>0</v>
      </c>
      <c r="O33" s="978">
        <f t="shared" si="18"/>
        <v>0</v>
      </c>
      <c r="P33" s="978">
        <f t="shared" si="18"/>
        <v>0</v>
      </c>
      <c r="Q33" s="978">
        <f t="shared" ca="1" si="18"/>
        <v>46061.889748681926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4632.7529448312989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4632.7529448312989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0.20475345545633761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0.20475345545633761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2019-08-12T08:26:41Z</dcterms:modified>
</cp:coreProperties>
</file>