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F19"/>
  <c r="E19"/>
  <c r="O19" s="1"/>
  <c r="D19"/>
  <c r="C19"/>
  <c r="D89" i="14" s="1"/>
  <c r="D19" i="59" s="1"/>
  <c r="B19" i="18"/>
  <c r="N18"/>
  <c r="L88" i="14" s="1"/>
  <c r="L18" i="59" s="1"/>
  <c r="M18" i="18"/>
  <c r="L18"/>
  <c r="K18"/>
  <c r="J18"/>
  <c r="J88" i="14" s="1"/>
  <c r="J18" i="59" s="1"/>
  <c r="I18" i="18"/>
  <c r="I88" i="14" s="1"/>
  <c r="I18" i="59" s="1"/>
  <c r="H18" i="18"/>
  <c r="M88" i="14" s="1"/>
  <c r="M18" i="59" s="1"/>
  <c r="G18" i="18"/>
  <c r="F18"/>
  <c r="F20" s="1"/>
  <c r="E18"/>
  <c r="D18"/>
  <c r="C18"/>
  <c r="B18"/>
  <c r="L9"/>
  <c r="K9"/>
  <c r="N77" i="14" s="1"/>
  <c r="N9" i="59" s="1"/>
  <c r="G9" i="18"/>
  <c r="F9"/>
  <c r="E9"/>
  <c r="F77" i="14" s="1"/>
  <c r="F9" i="59" s="1"/>
  <c r="D9" i="18"/>
  <c r="C9"/>
  <c r="D77" i="14" s="1"/>
  <c r="D9" i="59" s="1"/>
  <c r="B9" i="18"/>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H9" s="1"/>
  <c r="M77" i="14" s="1"/>
  <c r="M9" i="59" s="1"/>
  <c r="V89" i="18"/>
  <c r="U89"/>
  <c r="T89"/>
  <c r="I9" s="1"/>
  <c r="I77" i="14" s="1"/>
  <c r="I9" i="59" s="1"/>
  <c r="S89" i="18"/>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G20"/>
  <c r="G12"/>
  <c r="F12"/>
  <c r="E12"/>
  <c r="D12"/>
  <c r="C12"/>
  <c r="G10"/>
  <c r="F10"/>
  <c r="B8"/>
  <c r="B6"/>
  <c r="B74" i="14" s="1"/>
  <c r="B6" i="59" s="1"/>
  <c r="B5" i="18"/>
  <c r="B4"/>
  <c r="C6" i="17"/>
  <c r="D5"/>
  <c r="B19" i="6"/>
  <c r="B18"/>
  <c r="B5"/>
  <c r="B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O17"/>
  <c r="O32" s="1"/>
  <c r="M4"/>
  <c r="L4"/>
  <c r="K4"/>
  <c r="I4"/>
  <c r="H4"/>
  <c r="G4"/>
  <c r="P11"/>
  <c r="O11"/>
  <c r="O29" s="1"/>
  <c r="N11"/>
  <c r="M11"/>
  <c r="L11"/>
  <c r="K11"/>
  <c r="J11"/>
  <c r="I11"/>
  <c r="H11"/>
  <c r="G11"/>
  <c r="F11"/>
  <c r="E11"/>
  <c r="D11"/>
  <c r="C11"/>
  <c r="B11"/>
  <c r="P28"/>
  <c r="O28"/>
  <c r="O27"/>
  <c r="M89" i="14"/>
  <c r="M19" i="59" s="1"/>
  <c r="L89" i="14"/>
  <c r="L19" i="59" s="1"/>
  <c r="K89" i="14"/>
  <c r="K19" i="59" s="1"/>
  <c r="H89" i="14"/>
  <c r="H19" i="59" s="1"/>
  <c r="G89" i="14"/>
  <c r="G19" i="59" s="1"/>
  <c r="O88" i="14"/>
  <c r="O18" i="59" s="1"/>
  <c r="N88" i="14"/>
  <c r="N18" i="59" s="1"/>
  <c r="K88" i="14"/>
  <c r="K18" i="59" s="1"/>
  <c r="H88" i="14"/>
  <c r="F88"/>
  <c r="F18" i="59" s="1"/>
  <c r="E88" i="14"/>
  <c r="E18" i="59" s="1"/>
  <c r="D88" i="14"/>
  <c r="D18" i="59" s="1"/>
  <c r="O87" i="14"/>
  <c r="O17" i="59" s="1"/>
  <c r="N87" i="14"/>
  <c r="N17" i="59" s="1"/>
  <c r="L87" i="14"/>
  <c r="K87"/>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3" i="14"/>
  <c r="B5" i="59" s="1"/>
  <c r="B72" i="14"/>
  <c r="B4" i="59" s="1"/>
  <c r="C64" i="14"/>
  <c r="C29"/>
  <c r="Q54"/>
  <c r="P54"/>
  <c r="L54"/>
  <c r="J54"/>
  <c r="J56" s="1"/>
  <c r="I54"/>
  <c r="H54"/>
  <c r="H56" s="1"/>
  <c r="Q24"/>
  <c r="P24"/>
  <c r="N24"/>
  <c r="L24"/>
  <c r="L26" s="1"/>
  <c r="J24"/>
  <c r="J26" s="1"/>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O18"/>
  <c r="M18"/>
  <c r="M22" s="1"/>
  <c r="L18"/>
  <c r="K18"/>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G78"/>
  <c r="K78"/>
  <c r="P56"/>
  <c r="L56"/>
  <c r="Q56"/>
  <c r="I56"/>
  <c r="R44"/>
  <c r="E25"/>
  <c r="C25"/>
  <c r="Q26"/>
  <c r="P26"/>
  <c r="N26"/>
  <c r="H26"/>
  <c r="L22"/>
  <c r="Q22"/>
  <c r="P22"/>
  <c r="O22"/>
  <c r="R12"/>
  <c r="E55" l="1"/>
  <c r="D14" i="48"/>
  <c r="B14"/>
  <c r="R25" i="14"/>
  <c r="L17" i="59"/>
  <c r="L20" s="1"/>
  <c r="L90" i="14"/>
  <c r="O77"/>
  <c r="L10" i="18"/>
  <c r="D20"/>
  <c r="E89" i="14"/>
  <c r="E19" i="59" s="1"/>
  <c r="E20" s="1"/>
  <c r="O19"/>
  <c r="O20" s="1"/>
  <c r="O90" i="14"/>
  <c r="K17" i="59"/>
  <c r="K90" i="14"/>
  <c r="N19" i="59"/>
  <c r="N20" s="1"/>
  <c r="N90" i="14"/>
  <c r="L78"/>
  <c r="L8" i="59"/>
  <c r="L10" s="1"/>
  <c r="B98" i="18"/>
  <c r="E102" s="1"/>
  <c r="E17" s="1"/>
  <c r="B17"/>
  <c r="B20" s="1"/>
  <c r="D10"/>
  <c r="E77" i="14"/>
  <c r="E9" i="59" s="1"/>
  <c r="E10" s="1"/>
  <c r="P32" i="48"/>
  <c r="P29"/>
  <c r="N10" i="59"/>
  <c r="L20" i="18"/>
  <c r="R9" i="14"/>
  <c r="K22"/>
  <c r="P52"/>
  <c r="Q11" i="48"/>
  <c r="H90" i="14"/>
  <c r="H18" i="59"/>
  <c r="H78" i="14"/>
  <c r="H8" i="59"/>
  <c r="H10" s="1"/>
  <c r="K10"/>
  <c r="H20"/>
  <c r="C98" i="18"/>
  <c r="E101" s="1"/>
  <c r="E8" s="1"/>
  <c r="B10"/>
  <c r="K10"/>
  <c r="B13" i="15"/>
  <c r="K20" i="59"/>
  <c r="F13" i="15"/>
  <c r="L13"/>
  <c r="N13"/>
  <c r="Q77" i="14"/>
  <c r="P9" i="59" s="1"/>
  <c r="O9" i="18"/>
  <c r="O18"/>
  <c r="B89" i="14"/>
  <c r="B19" i="59" s="1"/>
  <c r="G88" i="14"/>
  <c r="F89"/>
  <c r="H101" i="18"/>
  <c r="D101"/>
  <c r="G101"/>
  <c r="C101"/>
  <c r="H102"/>
  <c r="D102"/>
  <c r="G102"/>
  <c r="C102"/>
  <c r="F102"/>
  <c r="B102"/>
  <c r="C17" s="1"/>
  <c r="B77" i="14"/>
  <c r="B9" i="59" s="1"/>
  <c r="Q14" i="48"/>
  <c r="O24"/>
  <c r="O30"/>
  <c r="P24"/>
  <c r="P30"/>
  <c r="C88" i="14"/>
  <c r="C18" i="59" s="1"/>
  <c r="E90" i="14"/>
  <c r="N78"/>
  <c r="O78" l="1"/>
  <c r="O9" i="59"/>
  <c r="O10" s="1"/>
  <c r="G90" i="14"/>
  <c r="G18" i="59"/>
  <c r="G20" s="1"/>
  <c r="C89" i="14"/>
  <c r="C19" i="59" s="1"/>
  <c r="F19"/>
  <c r="C77" i="14"/>
  <c r="C9" i="59" s="1"/>
  <c r="F101" i="18"/>
  <c r="I8" s="1"/>
  <c r="O8" s="1"/>
  <c r="O10" s="1"/>
  <c r="B101"/>
  <c r="C8" s="1"/>
  <c r="C10" s="1"/>
  <c r="Q88" i="14"/>
  <c r="P18" i="59" s="1"/>
  <c r="I102" i="18"/>
  <c r="H17" s="1"/>
  <c r="M87" i="14" s="1"/>
  <c r="I101" i="18"/>
  <c r="H8" s="1"/>
  <c r="E78" i="14"/>
  <c r="B88"/>
  <c r="B18" i="59" s="1"/>
  <c r="Q89" i="14"/>
  <c r="P19" i="59" s="1"/>
  <c r="C20" i="18"/>
  <c r="D87" i="14"/>
  <c r="D17" i="59" s="1"/>
  <c r="D20" s="1"/>
  <c r="J17" i="18"/>
  <c r="J8"/>
  <c r="F87" i="14"/>
  <c r="E20" i="18"/>
  <c r="E10"/>
  <c r="F76" i="14"/>
  <c r="F8" i="59" s="1"/>
  <c r="F10" s="1"/>
  <c r="I17" i="18"/>
  <c r="O17" s="1"/>
  <c r="O20" s="1"/>
  <c r="H20"/>
  <c r="M76" i="14"/>
  <c r="H10" i="18"/>
  <c r="H14" i="15"/>
  <c r="H16" s="1"/>
  <c r="G14"/>
  <c r="G16" s="1"/>
  <c r="M90" i="14" l="1"/>
  <c r="M17" i="59"/>
  <c r="M20" s="1"/>
  <c r="M78" i="14"/>
  <c r="M8" i="59"/>
  <c r="M10" s="1"/>
  <c r="F90" i="14"/>
  <c r="F17" i="59"/>
  <c r="F20" s="1"/>
  <c r="H5" i="48"/>
  <c r="I10" i="14"/>
  <c r="I16" s="1"/>
  <c r="G5" i="48"/>
  <c r="H10" i="14"/>
  <c r="H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27"/>
  <c r="K32"/>
  <c r="K29"/>
  <c r="K25"/>
  <c r="K31"/>
  <c r="K26"/>
  <c r="K30"/>
  <c r="K24"/>
  <c r="K22"/>
  <c r="C24" i="14"/>
  <c r="C26" s="1"/>
  <c r="B7" i="48"/>
  <c r="J27"/>
  <c r="J32"/>
  <c r="J31"/>
  <c r="J29"/>
  <c r="J28"/>
  <c r="J30"/>
  <c r="J24"/>
  <c r="P4"/>
  <c r="Q11" i="14"/>
  <c r="O4" i="48"/>
  <c r="P11" i="14"/>
  <c r="I32" i="48"/>
  <c r="I31"/>
  <c r="I25"/>
  <c r="I29"/>
  <c r="I26"/>
  <c r="I30"/>
  <c r="I27"/>
  <c r="I24"/>
  <c r="I22"/>
  <c r="I28"/>
  <c r="D4"/>
  <c r="D22" s="1"/>
  <c r="E11" i="14"/>
  <c r="H32" i="48"/>
  <c r="H25"/>
  <c r="H29"/>
  <c r="H26"/>
  <c r="H28"/>
  <c r="H24"/>
  <c r="H22"/>
  <c r="H30"/>
  <c r="H23"/>
  <c r="C4"/>
  <c r="D11" i="14"/>
  <c r="G32" i="48"/>
  <c r="G25"/>
  <c r="G26"/>
  <c r="G22"/>
  <c r="G30"/>
  <c r="G29"/>
  <c r="G24"/>
  <c r="G23"/>
  <c r="B4"/>
  <c r="C11" i="14"/>
  <c r="F28" i="48"/>
  <c r="F32"/>
  <c r="F27"/>
  <c r="F31"/>
  <c r="F29"/>
  <c r="F30"/>
  <c r="F24"/>
  <c r="N28"/>
  <c r="N32"/>
  <c r="N27"/>
  <c r="N29"/>
  <c r="N30"/>
  <c r="N24"/>
  <c r="N31"/>
  <c r="C19" i="14"/>
  <c r="B10" i="48"/>
  <c r="E28"/>
  <c r="E32"/>
  <c r="E31"/>
  <c r="E30"/>
  <c r="E29"/>
  <c r="E24"/>
  <c r="M32"/>
  <c r="M25"/>
  <c r="M26"/>
  <c r="M22"/>
  <c r="M29"/>
  <c r="M24"/>
  <c r="M30"/>
  <c r="M23"/>
  <c r="L10" i="14"/>
  <c r="L16" s="1"/>
  <c r="L27" s="1"/>
  <c r="K5" i="48"/>
  <c r="D28"/>
  <c r="D30"/>
  <c r="D31"/>
  <c r="D24"/>
  <c r="D29"/>
  <c r="D32"/>
  <c r="L28"/>
  <c r="L27"/>
  <c r="L32"/>
  <c r="L31"/>
  <c r="L24"/>
  <c r="L29"/>
  <c r="L22"/>
  <c r="L30"/>
  <c r="P5"/>
  <c r="P23" s="1"/>
  <c r="Q10" i="14"/>
  <c r="N46"/>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I5"/>
  <c r="J10" i="14"/>
  <c r="J16" s="1"/>
  <c r="J27" s="1"/>
  <c r="K23" i="48"/>
  <c r="K15"/>
  <c r="M12" i="22"/>
  <c r="M13" i="48"/>
  <c r="M31" s="1"/>
  <c r="N18" i="14"/>
  <c r="H18"/>
  <c r="G13" i="48"/>
  <c r="I18" i="14"/>
  <c r="H13" i="48"/>
  <c r="H31" s="1"/>
  <c r="P8"/>
  <c r="P26" s="1"/>
  <c r="Q13" i="14"/>
  <c r="P15" i="48"/>
  <c r="P22"/>
  <c r="P33" s="1"/>
  <c r="F20" i="14"/>
  <c r="F22" s="1"/>
  <c r="E9" i="48"/>
  <c r="E27" s="1"/>
  <c r="E20" i="14"/>
  <c r="E22" s="1"/>
  <c r="D9" i="48"/>
  <c r="D27" s="1"/>
  <c r="O5"/>
  <c r="O23" s="1"/>
  <c r="P10" i="14"/>
  <c r="J7" i="48"/>
  <c r="J25" s="1"/>
  <c r="K24" i="14"/>
  <c r="K26" s="1"/>
  <c r="O22" i="48"/>
  <c r="B9"/>
  <c r="C20" i="14"/>
  <c r="J46"/>
  <c r="J61" s="1"/>
  <c r="Q16"/>
  <c r="Q27" s="1"/>
  <c r="Q63" s="1"/>
  <c r="K33" i="48"/>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H9"/>
  <c r="I20" i="14"/>
  <c r="M10" i="48"/>
  <c r="M28" s="1"/>
  <c r="N19" i="14"/>
  <c r="G10" i="48"/>
  <c r="H19" i="14"/>
  <c r="R19" s="1"/>
  <c r="R18"/>
  <c r="E12" i="13"/>
  <c r="F41" i="14" s="1"/>
  <c r="E4" i="48"/>
  <c r="F11" i="14"/>
  <c r="G31" i="48"/>
  <c r="Q13"/>
  <c r="I23"/>
  <c r="I33" s="1"/>
  <c r="I15"/>
  <c r="J4"/>
  <c r="K11" i="14"/>
  <c r="F24"/>
  <c r="F26" s="1"/>
  <c r="E7" i="48"/>
  <c r="E25" s="1"/>
  <c r="N20" i="14"/>
  <c r="M9" i="48"/>
  <c r="O22" i="16"/>
  <c r="P43" i="14" s="1"/>
  <c r="P46" s="1"/>
  <c r="P61" s="1"/>
  <c r="P63" s="1"/>
  <c r="P13"/>
  <c r="O8" i="48"/>
  <c r="N22" i="14"/>
  <c r="N27" s="1"/>
  <c r="I22"/>
  <c r="I27" s="1"/>
  <c r="J63"/>
  <c r="G14" i="22"/>
  <c r="C22" i="14"/>
  <c r="P16"/>
  <c r="P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E5" i="48" l="1"/>
  <c r="E23" s="1"/>
  <c r="F10" i="14"/>
  <c r="J5" i="48"/>
  <c r="J23" s="1"/>
  <c r="K10" i="14"/>
  <c r="O26" i="48"/>
  <c r="O33" s="1"/>
  <c r="O15"/>
  <c r="J22"/>
  <c r="H27"/>
  <c r="H33" s="1"/>
  <c r="H15"/>
  <c r="E22"/>
  <c r="Q4"/>
  <c r="H20" i="14"/>
  <c r="R20" s="1"/>
  <c r="G9" i="48"/>
  <c r="M27"/>
  <c r="M33" s="1"/>
  <c r="M15"/>
  <c r="G28"/>
  <c r="Q10"/>
  <c r="H22" i="14"/>
  <c r="H27" s="1"/>
  <c r="R22"/>
  <c r="R24"/>
  <c r="R26" s="1"/>
  <c r="R11"/>
  <c r="J20" i="15"/>
  <c r="K40" i="14" s="1"/>
  <c r="Q7" i="48"/>
  <c r="E20" i="15"/>
  <c r="F40" i="14" s="1"/>
  <c r="J18" i="16"/>
  <c r="E18"/>
  <c r="F18"/>
  <c r="F22" s="1"/>
  <c r="G43" i="14" s="1"/>
  <c r="N18" i="16"/>
  <c r="G18" i="22"/>
  <c r="H50" i="14" s="1"/>
  <c r="H52" s="1"/>
  <c r="H61" s="1"/>
  <c r="H63" s="1"/>
  <c r="E22" i="16"/>
  <c r="F43" i="14" s="1"/>
  <c r="H18" i="22"/>
  <c r="I50" i="14" s="1"/>
  <c r="I52" s="1"/>
  <c r="I61" s="1"/>
  <c r="I63" s="1"/>
  <c r="J22" i="16" l="1"/>
  <c r="K43" i="14" s="1"/>
  <c r="K46" s="1"/>
  <c r="K61" s="1"/>
  <c r="K63" s="1"/>
  <c r="J8" i="48"/>
  <c r="J26" s="1"/>
  <c r="K13" i="14"/>
  <c r="K16" s="1"/>
  <c r="K27" s="1"/>
  <c r="E8" i="48"/>
  <c r="E26" s="1"/>
  <c r="E33" s="1"/>
  <c r="F13" i="14"/>
  <c r="G27" i="48"/>
  <c r="G33" s="1"/>
  <c r="G15"/>
  <c r="Q9"/>
  <c r="J33"/>
  <c r="F16" i="14"/>
  <c r="F27" s="1"/>
  <c r="F46"/>
  <c r="F61" s="1"/>
  <c r="J15" i="48"/>
  <c r="N8"/>
  <c r="N26" s="1"/>
  <c r="O13" i="14"/>
  <c r="N22" i="16"/>
  <c r="O43" i="14" s="1"/>
  <c r="G13"/>
  <c r="F8" i="48"/>
  <c r="R13" i="14" l="1"/>
  <c r="F63"/>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<sst xmlns="http://schemas.openxmlformats.org/spreadsheetml/2006/main" count="2401" uniqueCount="896">
  <si>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</si>
  <si>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</si>
  <si>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</si>
  <si>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</si>
  <si>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</si>
  <si>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</si>
  <si>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</si>
  <si>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</si>
  <si>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</si>
  <si>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</si>
  <si>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</si>
  <si>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</si>
  <si>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</si>
  <si>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</si>
  <si>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</si>
  <si>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</si>
  <si>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</si>
  <si>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</si>
  <si>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</si>
  <si>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</si>
  <si>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</si>
  <si>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</si>
  <si>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</si>
  <si>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</si>
  <si>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</si>
  <si>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</si>
  <si>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</si>
  <si>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</si>
  <si>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</si>
  <si>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</si>
  <si>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</si>
  <si>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</si>
  <si>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</si>
  <si>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</si>
  <si>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</si>
  <si>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</si>
  <si>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</si>
  <si>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</si>
  <si>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</si>
  <si>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</si>
  <si>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</si>
  <si>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</si>
  <si>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</si>
  <si>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</si>
  <si>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</si>
  <si>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</si>
  <si>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</si>
  <si>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</si>
  <si>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</si>
  <si>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</si>
  <si>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</si>
  <si>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</si>
  <si>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</si>
  <si>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</si>
  <si>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</si>
  <si>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</si>
  <si>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</si>
  <si>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</si>
  <si>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</si>
  <si>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</si>
  <si>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</si>
  <si>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</si>
  <si>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</si>
  <si>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</si>
  <si>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</si>
  <si>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</si>
  <si>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</si>
  <si>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</si>
  <si>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</si>
  <si>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</si>
  <si>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</si>
  <si>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</si>
  <si>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</si>
  <si>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</si>
  <si>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</si>
  <si>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</si>
  <si>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</si>
  <si>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</si>
  <si>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</si>
  <si>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</si>
  <si>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</si>
  <si>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</si>
  <si>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</si>
  <si>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</si>
  <si>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</si>
  <si>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</si>
  <si>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</si>
  <si>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</si>
  <si>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</si>
  <si>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</si>
  <si>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</si>
  <si>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</si>
  <si>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</si>
  <si>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</si>
  <si>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</si>
  <si>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</si>
  <si>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</si>
  <si>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</si>
  <si>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</si>
  <si>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</si>
  <si>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</si>
  <si>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</si>
  <si>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</si>
  <si>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</si>
  <si>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</si>
  <si>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</si>
  <si>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</si>
  <si>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</si>
  <si>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</si>
  <si>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</si>
  <si>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</si>
  <si>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</si>
  <si>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</si>
  <si>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</si>
  <si>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</si>
  <si>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</si>
  <si>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</si>
  <si>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</si>
  <si>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</si>
  <si>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</si>
  <si>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</si>
  <si>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</si>
  <si>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</si>
  <si>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</si>
  <si>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</si>
  <si>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</si>
  <si>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</si>
  <si>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</si>
  <si>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</si>
  <si>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</si>
  <si>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</si>
  <si>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</si>
  <si>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</si>
  <si>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</si>
  <si>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</si>
  <si>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</si>
  <si>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</si>
  <si>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</si>
  <si>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</si>
  <si>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</si>
  <si>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</si>
  <si>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</si>
  <si>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</si>
  <si>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</si>
  <si>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</si>
  <si>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</si>
  <si>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</si>
  <si>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</si>
  <si>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</si>
  <si>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</si>
  <si>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</si>
  <si>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</si>
  <si>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</si>
  <si>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</si>
  <si>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</si>
  <si>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</si>
  <si>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</si>
  <si>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</si>
  <si>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</si>
  <si>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</si>
  <si>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</si>
  <si>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</si>
  <si>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</si>
  <si>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</si>
  <si>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</si>
  <si>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</si>
  <si>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</si>
  <si>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</si>
  <si>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</si>
  <si>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</si>
  <si>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</si>
  <si>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</si>
  <si>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</si>
  <si>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</si>
  <si>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</si>
  <si>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</si>
  <si>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</si>
  <si>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</si>
  <si>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</si>
  <si>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</si>
  <si>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</si>
  <si>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</si>
  <si>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</si>
  <si>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</si>
  <si>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</si>
  <si>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</si>
  <si>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</si>
  <si>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</si>
  <si>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</si>
  <si>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</si>
  <si>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</si>
  <si>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</si>
  <si>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</si>
  <si>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</si>
  <si>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</si>
  <si>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</si>
  <si>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</si>
  <si>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</si>
  <si>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</si>
  <si>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</si>
  <si>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</si>
  <si>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</si>
  <si>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</si>
  <si>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</si>
  <si>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</si>
  <si>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</si>
  <si>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</si>
  <si>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</si>
  <si>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</si>
  <si>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</si>
  <si>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</si>
  <si>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</si>
  <si>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</si>
  <si>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</si>
  <si>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</si>
  <si>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</si>
  <si>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</si>
  <si>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</si>
  <si>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</si>
  <si>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</si>
  <si>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</si>
  <si>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</si>
  <si>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</si>
  <si>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</si>
  <si>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</si>
  <si>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</si>
  <si>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</si>
  <si>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</si>
  <si>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</si>
  <si>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</si>
  <si>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</si>
  <si>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</si>
  <si>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</si>
  <si>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</si>
  <si>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</si>
  <si>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</si>
  <si>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</si>
  <si>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</si>
  <si>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</si>
  <si>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</si>
  <si>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</si>
  <si>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</si>
  <si>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</si>
  <si>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</si>
  <si>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</si>
  <si>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</si>
  <si>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</si>
  <si>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</si>
  <si>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</si>
  <si>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</si>
  <si>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</si>
  <si>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</si>
  <si>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</si>
  <si>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</si>
  <si>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</si>
  <si>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</si>
  <si>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</si>
  <si>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</si>
  <si>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</si>
  <si>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</si>
  <si>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</si>
  <si>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</si>
  <si>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</si>
  <si>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</si>
  <si>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</si>
  <si>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</si>
  <si>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</si>
  <si>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</si>
  <si>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</si>
  <si>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</si>
  <si>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</si>
  <si>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</si>
  <si>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</si>
  <si>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</si>
  <si>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</si>
  <si>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</si>
  <si>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</si>
  <si>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</si>
  <si>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</si>
  <si>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</si>
  <si>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</si>
  <si>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</si>
  <si>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</si>
  <si>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</si>
  <si>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</si>
  <si>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</si>
  <si>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</si>
  <si>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</si>
  <si>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</si>
  <si>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</si>
  <si>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</si>
  <si>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</si>
  <si>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</si>
  <si>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</si>
  <si>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</si>
  <si>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</si>
  <si>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</si>
  <si>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</si>
  <si>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</si>
  <si>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</si>
  <si>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</si>
  <si>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</si>
  <si>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</si>
  <si>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</si>
  <si>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</si>
  <si>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</si>
  <si>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</si>
  <si>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</si>
  <si>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</si>
  <si>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</si>
  <si>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</si>
  <si>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</si>
  <si>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</si>
  <si>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</si>
  <si>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</si>
  <si>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</si>
  <si>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</si>
  <si>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</si>
  <si>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</si>
  <si>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</si>
  <si>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</si>
  <si>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</si>
  <si>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</si>
  <si>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</si>
  <si>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</si>
  <si>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</si>
  <si>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</si>
  <si>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</si>
  <si>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</si>
  <si>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</si>
  <si>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</si>
  <si>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</si>
  <si>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</si>
  <si>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</si>
  <si>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</si>
  <si>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</si>
  <si>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</si>
  <si>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</si>
  <si>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</si>
  <si>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</si>
  <si>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</si>
  <si>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</si>
  <si>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</si>
  <si>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</si>
  <si>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</si>
  <si>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</si>
  <si>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</si>
  <si>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</si>
  <si>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</si>
  <si>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</si>
  <si>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</si>
  <si>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</si>
  <si>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</si>
  <si>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</si>
  <si>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</si>
  <si>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</si>
  <si>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</si>
  <si>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</si>
  <si>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</si>
  <si>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</si>
  <si>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</si>
  <si>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</si>
  <si>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</si>
  <si>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</si>
  <si>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</si>
  <si>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</si>
  <si>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</si>
  <si>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</si>
  <si>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</si>
  <si>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</si>
  <si>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</si>
  <si>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</si>
  <si>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</si>
  <si>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</si>
  <si>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</si>
  <si>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</si>
  <si>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</si>
  <si>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</si>
  <si>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</si>
  <si>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</si>
  <si>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</si>
  <si>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</si>
  <si>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</si>
  <si>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</si>
  <si>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</si>
  <si>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</si>
  <si>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</si>
  <si>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</si>
  <si>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</si>
  <si>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</si>
  <si>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</si>
  <si>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</si>
  <si>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</si>
  <si>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</si>
  <si>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</si>
  <si>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</si>
  <si>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</si>
  <si>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</si>
  <si>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</si>
  <si>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</si>
  <si>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</si>
  <si>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</si>
  <si>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</si>
  <si>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</si>
  <si>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</si>
  <si>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</si>
  <si>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</si>
  <si>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</si>
  <si>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</si>
  <si>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</si>
  <si>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</si>
  <si>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</si>
  <si>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</si>
  <si>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</si>
  <si>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</si>
  <si>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</si>
  <si>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</si>
  <si>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</si>
  <si>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</si>
  <si>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</si>
  <si>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</si>
  <si>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</si>
  <si>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</si>
  <si>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</si>
  <si>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</si>
  <si>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</si>
  <si>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</si>
  <si>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</si>
  <si>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</si>
  <si>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</si>
  <si>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</si>
  <si>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</si>
  <si>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</si>
  <si>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</si>
  <si>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</si>
  <si>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</si>
  <si>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</si>
  <si>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</si>
  <si>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</si>
  <si>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</si>
  <si>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</si>
  <si>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</si>
  <si>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</si>
  <si>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</si>
  <si>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</si>
  <si>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</si>
  <si>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</si>
  <si>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</si>
  <si>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</si>
  <si>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</si>
  <si>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</si>
  <si>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</si>
  <si>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</si>
  <si>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</si>
  <si>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</si>
  <si>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</si>
  <si>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</si>
  <si>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</si>
  <si>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</si>
  <si>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</si>
  <si>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</si>
  <si>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</si>
  <si>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</si>
  <si>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</si>
  <si>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</si>
  <si>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</si>
  <si>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</si>
  <si>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</si>
  <si>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</si>
  <si>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</si>
  <si>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</si>
  <si>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</si>
  <si>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</si>
  <si>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</si>
  <si>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</si>
  <si>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</si>
  <si>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</si>
  <si>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</si>
  <si>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</si>
  <si>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</si>
  <si>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</si>
  <si>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</si>
  <si>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</si>
  <si>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</si>
  <si>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</si>
  <si>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</si>
  <si>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</si>
  <si>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</si>
  <si>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</si>
  <si>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</si>
  <si>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</si>
  <si>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</si>
  <si>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</si>
  <si>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</si>
  <si>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</si>
  <si>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</si>
  <si>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</si>
  <si>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</si>
  <si>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</si>
  <si>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</si>
  <si>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</si>
  <si>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</si>
  <si>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</si>
  <si>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</si>
  <si>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</si>
  <si>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</si>
  <si>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</si>
  <si>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</si>
  <si>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</si>
  <si>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</si>
  <si>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</si>
  <si>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</si>
  <si>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</si>
  <si>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</si>
  <si>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</si>
  <si>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</si>
  <si>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</si>
  <si>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</si>
  <si>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</si>
  <si>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</si>
  <si>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</si>
  <si>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</si>
  <si>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</si>
  <si>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</si>
  <si>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</si>
  <si>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</si>
  <si>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</si>
  <si>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</si>
  <si>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</si>
  <si>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</si>
  <si>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</si>
  <si>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</si>
  <si>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</si>
  <si>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</si>
  <si>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</si>
  <si>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</si>
  <si>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</si>
  <si>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</si>
  <si>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</si>
  <si>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</si>
  <si>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</si>
  <si>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</si>
  <si>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</si>
  <si>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</si>
  <si>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</si>
  <si>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</si>
  <si>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</si>
  <si>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</si>
  <si>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</si>
  <si>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</si>
  <si>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</si>
  <si>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</si>
  <si>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</si>
  <si>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</si>
  <si>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</si>
  <si>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</si>
  <si>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</si>
  <si>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</si>
  <si>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</si>
  <si>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</si>
  <si>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</si>
  <si>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</si>
  <si>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</si>
  <si>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</si>
  <si>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</si>
  <si>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</si>
  <si>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</si>
  <si>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</si>
  <si>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</si>
  <si>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</si>
  <si>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</si>
  <si>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</si>
  <si>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</si>
  <si>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</si>
  <si>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</si>
  <si>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</si>
  <si>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</si>
  <si>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</si>
  <si>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</si>
  <si>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</si>
  <si>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</si>
  <si>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</si>
  <si>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</si>
  <si>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</si>
  <si>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</si>
  <si>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</si>
  <si>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</si>
  <si>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</si>
  <si>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</si>
  <si>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</si>
  <si>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</si>
  <si>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</si>
  <si>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</si>
  <si>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</si>
  <si>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</si>
  <si>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</si>
  <si>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</si>
  <si>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</si>
  <si>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</si>
  <si>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</si>
  <si>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</si>
  <si>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</si>
  <si>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</si>
  <si>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</si>
  <si>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</si>
  <si>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</si>
  <si>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</si>
  <si>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</si>
  <si>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</si>
  <si>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</si>
  <si>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</si>
  <si>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</si>
  <si>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</si>
  <si>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</si>
  <si>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</si>
  <si>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</si>
  <si>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</si>
  <si>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</si>
  <si>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</si>
  <si>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</si>
  <si>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</si>
  <si>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</si>
  <si>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</si>
  <si>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</si>
  <si>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</si>
  <si>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</si>
  <si>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</si>
  <si>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</si>
  <si>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</si>
  <si>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</si>
  <si>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</si>
  <si>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</si>
  <si>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</si>
  <si>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</si>
  <si>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</si>
  <si>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</si>
  <si>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</si>
  <si>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</si>
  <si>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</si>
  <si>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</si>
  <si>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</si>
  <si>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</si>
  <si>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</si>
  <si>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</si>
  <si>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</si>
  <si>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</si>
  <si>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</si>
  <si>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</si>
  <si>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</si>
  <si>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</si>
  <si>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</si>
  <si>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</si>
  <si>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</si>
  <si>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</si>
  <si>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</si>
  <si>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</si>
  <si>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</si>
  <si>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</si>
  <si>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</si>
  <si>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</si>
  <si>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</si>
  <si>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</si>
  <si>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</si>
  <si>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</si>
  <si>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</si>
  <si>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</si>
  <si>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</si>
  <si>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</si>
  <si>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</si>
  <si>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</si>
  <si>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</si>
  <si>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</si>
  <si>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</si>
  <si>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</si>
  <si>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</si>
  <si>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</si>
  <si>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</si>
  <si>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</si>
  <si>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</si>
  <si>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</si>
  <si>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</si>
  <si>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</si>
  <si>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</si>
  <si>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</si>
  <si>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</si>
  <si>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</si>
  <si>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</si>
  <si>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</si>
  <si>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</si>
  <si>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</si>
  <si>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</si>
  <si>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</si>
  <si>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</si>
  <si>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</si>
  <si>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</si>
  <si>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</si>
  <si>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</si>
  <si>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</si>
  <si>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</si>
  <si>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</si>
  <si>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</si>
  <si>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</si>
  <si>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</si>
  <si>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</si>
  <si>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</si>
  <si>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</si>
  <si>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</si>
  <si>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</si>
  <si>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</si>
  <si>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</si>
  <si>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</si>
  <si>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</si>
  <si>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</si>
  <si>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</si>
  <si>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</si>
  <si>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</si>
  <si>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</si>
  <si>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</si>
  <si>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</si>
  <si>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</si>
  <si>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</si>
  <si>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</si>
  <si>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</si>
  <si>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</si>
  <si>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</si>
  <si>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</si>
  <si>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</si>
  <si>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</si>
  <si>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</si>
  <si>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</si>
  <si>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</si>
  <si>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</si>
  <si>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</si>
  <si>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</si>
  <si>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</si>
  <si>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</si>
  <si>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</si>
  <si>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</si>
  <si>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</si>
  <si>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</si>
  <si>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</si>
  <si>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</si>
  <si>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</si>
  <si>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</si>
  <si>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</si>
  <si>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</si>
  <si>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</si>
  <si>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</si>
  <si>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</si>
  <si>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</si>
  <si>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</si>
  <si>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</si>
  <si>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</si>
  <si>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</si>
  <si>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</si>
  <si>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</si>
  <si>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</si>
  <si>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</si>
  <si>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</si>
  <si>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</si>
  <si>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</si>
  <si>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</si>
  <si>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</si>
  <si>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</si>
  <si>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</si>
  <si>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</si>
  <si>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</si>
  <si>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</si>
  <si>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</si>
  <si>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</si>
  <si>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</si>
  <si>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</si>
  <si>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</si>
  <si>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</si>
  <si>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</si>
  <si>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</si>
  <si>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</si>
  <si>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</si>
  <si>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</si>
  <si>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</si>
  <si>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</si>
  <si>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</si>
  <si>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</si>
  <si>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</si>
  <si>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</si>
  <si>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</si>
  <si>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</si>
  <si>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</si>
  <si>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</si>
  <si>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</si>
  <si>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</si>
  <si>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</si>
  <si>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</si>
  <si>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</si>
  <si>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</si>
  <si>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</si>
  <si>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</si>
  <si>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</si>
  <si>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</si>
  <si>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</si>
  <si>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</si>
  <si>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</si>
  <si>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</si>
  <si>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</si>
  <si>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</si>
  <si>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</si>
  <si>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</si>
  <si>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</si>
  <si>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</si>
  <si>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</si>
  <si>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</si>
  <si>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</si>
  <si>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</si>
  <si>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</si>
  <si>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</si>
  <si>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</si>
  <si>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</si>
  <si>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</si>
  <si>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</si>
  <si>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</si>
  <si>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</si>
  <si>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</si>
  <si>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</si>
  <si>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</si>
  <si>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</si>
  <si>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</si>
  <si>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</si>
  <si>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</si>
  <si>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</si>
  <si>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</si>
  <si>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</si>
  <si>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</si>
  <si>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</si>
  <si>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</si>
  <si>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</si>
  <si>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</si>
  <si>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</si>
  <si>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</si>
  <si>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</si>
  <si>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</si>
  <si>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</si>
  <si>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</si>
  <si>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</si>
  <si>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</si>
  <si>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</si>
  <si>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</si>
  <si>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</si>
  <si>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</si>
  <si>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</si>
  <si>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</si>
  <si>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</si>
  <si>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</si>
  <si>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</si>
  <si>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</si>
  <si>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</si>
  <si>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</si>
  <si>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</si>
  <si>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</si>
  <si>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</si>
  <si>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</si>
  <si>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</si>
  <si>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</si>
  <si>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</si>
  <si>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</si>
  <si>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</si>
  <si>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</si>
  <si>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</si>
  <si>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</si>
  <si>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</si>
  <si>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</si>
  <si>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</si>
  <si>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</si>
  <si>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</si>
  <si>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</si>
  <si>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</si>
  <si>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</si>
  <si>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</si>
  <si>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</si>
  <si>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</si>
  <si>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</si>
  <si>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</si>
  <si>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</si>
  <si>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73083</t>
  </si>
  <si>
    <t>TONGEREN</t>
  </si>
  <si>
    <t>Paarden&amp;pony's 200 - 600 kg</t>
  </si>
  <si>
    <t>Paarden&amp;pony's &lt; 200 kg</t>
  </si>
  <si>
    <t>referentietaak LNE (2017); Jaarverslag De Lijn (2015)</t>
  </si>
  <si>
    <t>op basis van VEA (maart 2018) en Inventaris Hernieuwbare Energiebronnen (juni 2018)</t>
  </si>
  <si>
    <t>VEA (januari 2017)</t>
  </si>
  <si>
    <t>VEA (juni 2018)</t>
  </si>
  <si>
    <t>Biopower Tongeren NV</t>
  </si>
  <si>
    <t>Michielenweg 1 a, 3700 Tongeren</t>
  </si>
  <si>
    <t>WKK-0460 Biopower Tongeren</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</si>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</sst>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275269.25743692205</c:v>
                </c:pt>
                <c:pt idx="1">
                  <c:v>134017.76704379354</c:v>
                </c:pt>
                <c:pt idx="2">
                  <c:v>2038.8230000000001</c:v>
                </c:pt>
                <c:pt idx="3">
                  <c:v>28956.279621881338</c:v>
                </c:pt>
                <c:pt idx="4">
                  <c:v>63570.679218413941</c:v>
                </c:pt>
                <c:pt idx="5">
                  <c:v>171376.32924043015</c:v>
                </c:pt>
                <c:pt idx="6">
                  <c:v>5283.1920358421439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5344"/>
        <c:axId val="131626880"/>
      </c:barChart>
      <c:catAx>
        <c:axId val="131625344"/>
        <c:scaling>
          <c:orientation val="minMax"/>
        </c:scaling>
        <c:axPos val="b"/>
        <c:numFmt formatCode="General" sourceLinked="0"/>
        <c:tickLblPos val="nextTo"/>
        <c:crossAx val="131626880"/>
        <c:crosses val="autoZero"/>
        <c:auto val="1"/>
        <c:lblAlgn val="ctr"/>
        <c:lblOffset val="100"/>
      </c:catAx>
      <c:valAx>
        <c:axId val="131626880"/>
        <c:scaling>
          <c:orientation val="minMax"/>
        </c:scaling>
        <c:axPos val="l"/>
        <c:majorGridlines/>
        <c:numFmt formatCode="#,##0" sourceLinked="1"/>
        <c:tickLblPos val="nextTo"/>
        <c:crossAx val="1316253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275269.25743692205</c:v>
                </c:pt>
                <c:pt idx="1">
                  <c:v>134017.76704379354</c:v>
                </c:pt>
                <c:pt idx="2">
                  <c:v>2038.8230000000001</c:v>
                </c:pt>
                <c:pt idx="3">
                  <c:v>28956.279621881338</c:v>
                </c:pt>
                <c:pt idx="4">
                  <c:v>63570.679218413941</c:v>
                </c:pt>
                <c:pt idx="5">
                  <c:v>171376.32924043015</c:v>
                </c:pt>
                <c:pt idx="6">
                  <c:v>5283.1920358421439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54978.389224840539</c:v>
                </c:pt>
                <c:pt idx="2">
                  <c:v>25355.191202331942</c:v>
                </c:pt>
                <c:pt idx="3">
                  <c:v>352.03240121439927</c:v>
                </c:pt>
                <c:pt idx="4">
                  <c:v>2667.5338295796751</c:v>
                </c:pt>
                <c:pt idx="5">
                  <c:v>12238.445527599817</c:v>
                </c:pt>
                <c:pt idx="6">
                  <c:v>43836.854018389968</c:v>
                </c:pt>
                <c:pt idx="7">
                  <c:v>1368.1745595870793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3424"/>
        <c:axId val="149865216"/>
      </c:barChart>
      <c:catAx>
        <c:axId val="149863424"/>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634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54978.389224840539</c:v>
                </c:pt>
                <c:pt idx="2">
                  <c:v>25355.191202331942</c:v>
                </c:pt>
                <c:pt idx="3">
                  <c:v>352.03240121439927</c:v>
                </c:pt>
                <c:pt idx="4">
                  <c:v>2667.5338295796751</c:v>
                </c:pt>
                <c:pt idx="5">
                  <c:v>12238.445527599817</c:v>
                </c:pt>
                <c:pt idx="6">
                  <c:v>43836.854018389968</c:v>
                </c:pt>
                <c:pt idx="7">
                  <c:v>1368.1745595870793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73083</v>
      </c>
      <c r="B6" s="415"/>
      <c r="C6" s="416"/>
    </row>
    <row r="7" spans="1:7" s="413" customFormat="1" ht="15.75" customHeight="1">
      <c r="A7" s="417" t="str">
        <f>txtMunicipality</f>
        <v>TONGEREN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0.17266452321481524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0.17266452321481524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73083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13218</v>
      </c>
      <c r="C9" s="342">
        <v>13327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5747.86</v>
      </c>
    </row>
    <row r="15" spans="1:6">
      <c r="A15" s="348" t="s">
        <v>184</v>
      </c>
      <c r="B15" s="334">
        <v>14</v>
      </c>
    </row>
    <row r="16" spans="1:6">
      <c r="A16" s="348" t="s">
        <v>6</v>
      </c>
      <c r="B16" s="334">
        <v>512</v>
      </c>
    </row>
    <row r="17" spans="1:6">
      <c r="A17" s="348" t="s">
        <v>7</v>
      </c>
      <c r="B17" s="334">
        <v>1167</v>
      </c>
    </row>
    <row r="18" spans="1:6">
      <c r="A18" s="348" t="s">
        <v>8</v>
      </c>
      <c r="B18" s="334">
        <v>1297</v>
      </c>
    </row>
    <row r="19" spans="1:6">
      <c r="A19" s="348" t="s">
        <v>9</v>
      </c>
      <c r="B19" s="334">
        <v>1053</v>
      </c>
    </row>
    <row r="20" spans="1:6">
      <c r="A20" s="348" t="s">
        <v>10</v>
      </c>
      <c r="B20" s="334">
        <v>732</v>
      </c>
    </row>
    <row r="21" spans="1:6">
      <c r="A21" s="348" t="s">
        <v>11</v>
      </c>
      <c r="B21" s="334">
        <v>5344</v>
      </c>
    </row>
    <row r="22" spans="1:6">
      <c r="A22" s="348" t="s">
        <v>12</v>
      </c>
      <c r="B22" s="334">
        <v>14573</v>
      </c>
    </row>
    <row r="23" spans="1:6">
      <c r="A23" s="348" t="s">
        <v>13</v>
      </c>
      <c r="B23" s="334">
        <v>176</v>
      </c>
    </row>
    <row r="24" spans="1:6">
      <c r="A24" s="348" t="s">
        <v>14</v>
      </c>
      <c r="B24" s="334">
        <v>7</v>
      </c>
    </row>
    <row r="25" spans="1:6">
      <c r="A25" s="348" t="s">
        <v>15</v>
      </c>
      <c r="B25" s="334">
        <v>1137</v>
      </c>
    </row>
    <row r="26" spans="1:6">
      <c r="A26" s="348" t="s">
        <v>16</v>
      </c>
      <c r="B26" s="334">
        <v>124</v>
      </c>
    </row>
    <row r="27" spans="1:6">
      <c r="A27" s="348" t="s">
        <v>17</v>
      </c>
      <c r="B27" s="334">
        <v>0</v>
      </c>
    </row>
    <row r="28" spans="1:6" s="356" customFormat="1">
      <c r="A28" s="355" t="s">
        <v>18</v>
      </c>
      <c r="B28" s="355">
        <v>151727</v>
      </c>
    </row>
    <row r="29" spans="1:6">
      <c r="A29" s="355" t="s">
        <v>884</v>
      </c>
      <c r="B29" s="355">
        <v>65</v>
      </c>
      <c r="C29" s="356"/>
      <c r="D29" s="356"/>
      <c r="E29" s="356"/>
      <c r="F29" s="356"/>
    </row>
    <row r="30" spans="1:6">
      <c r="A30" s="355" t="s">
        <v>885</v>
      </c>
      <c r="B30" s="341">
        <v>19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29069</v>
      </c>
    </row>
    <row r="36" spans="1:6">
      <c r="A36" s="348" t="s">
        <v>25</v>
      </c>
      <c r="B36" s="348" t="s">
        <v>27</v>
      </c>
      <c r="C36" s="334">
        <v>0</v>
      </c>
      <c r="D36" s="334">
        <v>0</v>
      </c>
      <c r="E36" s="334">
        <v>12</v>
      </c>
      <c r="F36" s="334">
        <v>334225</v>
      </c>
    </row>
    <row r="37" spans="1:6">
      <c r="A37" s="348" t="s">
        <v>25</v>
      </c>
      <c r="B37" s="348" t="s">
        <v>28</v>
      </c>
      <c r="C37" s="334">
        <v>0</v>
      </c>
      <c r="D37" s="334">
        <v>0</v>
      </c>
      <c r="E37" s="334">
        <v>0</v>
      </c>
      <c r="F37" s="334">
        <v>0</v>
      </c>
    </row>
    <row r="38" spans="1:6">
      <c r="A38" s="348" t="s">
        <v>25</v>
      </c>
      <c r="B38" s="348" t="s">
        <v>29</v>
      </c>
      <c r="C38" s="334">
        <v>0</v>
      </c>
      <c r="D38" s="334">
        <v>306217</v>
      </c>
      <c r="E38" s="334">
        <v>0</v>
      </c>
      <c r="F38" s="334">
        <v>13111</v>
      </c>
    </row>
    <row r="39" spans="1:6">
      <c r="A39" s="348" t="s">
        <v>30</v>
      </c>
      <c r="B39" s="348" t="s">
        <v>31</v>
      </c>
      <c r="C39" s="334">
        <v>7336</v>
      </c>
      <c r="D39" s="334">
        <v>112115062</v>
      </c>
      <c r="E39" s="334">
        <v>13371</v>
      </c>
      <c r="F39" s="334">
        <v>44353909</v>
      </c>
    </row>
    <row r="40" spans="1:6">
      <c r="A40" s="348" t="s">
        <v>30</v>
      </c>
      <c r="B40" s="348" t="s">
        <v>29</v>
      </c>
      <c r="C40" s="334">
        <v>0</v>
      </c>
      <c r="D40" s="334">
        <v>0</v>
      </c>
      <c r="E40" s="334">
        <v>0</v>
      </c>
      <c r="F40" s="334">
        <v>0</v>
      </c>
    </row>
    <row r="41" spans="1:6">
      <c r="A41" s="348" t="s">
        <v>32</v>
      </c>
      <c r="B41" s="348" t="s">
        <v>33</v>
      </c>
      <c r="C41" s="334">
        <v>110</v>
      </c>
      <c r="D41" s="334">
        <v>11012357</v>
      </c>
      <c r="E41" s="334">
        <v>279</v>
      </c>
      <c r="F41" s="334">
        <v>15181535</v>
      </c>
    </row>
    <row r="42" spans="1:6">
      <c r="A42" s="348" t="s">
        <v>32</v>
      </c>
      <c r="B42" s="348" t="s">
        <v>34</v>
      </c>
      <c r="C42" s="334">
        <v>0</v>
      </c>
      <c r="D42" s="334">
        <v>0</v>
      </c>
      <c r="E42" s="334">
        <v>0</v>
      </c>
      <c r="F42" s="334">
        <v>0</v>
      </c>
    </row>
    <row r="43" spans="1:6">
      <c r="A43" s="348" t="s">
        <v>32</v>
      </c>
      <c r="B43" s="348" t="s">
        <v>35</v>
      </c>
      <c r="C43" s="334">
        <v>0</v>
      </c>
      <c r="D43" s="334">
        <v>0</v>
      </c>
      <c r="E43" s="334">
        <v>4</v>
      </c>
      <c r="F43" s="334">
        <v>127593</v>
      </c>
    </row>
    <row r="44" spans="1:6">
      <c r="A44" s="348" t="s">
        <v>32</v>
      </c>
      <c r="B44" s="348" t="s">
        <v>36</v>
      </c>
      <c r="C44" s="334">
        <v>20</v>
      </c>
      <c r="D44" s="334">
        <v>6217625</v>
      </c>
      <c r="E44" s="334">
        <v>44</v>
      </c>
      <c r="F44" s="334">
        <v>4905075</v>
      </c>
    </row>
    <row r="45" spans="1:6">
      <c r="A45" s="348" t="s">
        <v>32</v>
      </c>
      <c r="B45" s="348" t="s">
        <v>37</v>
      </c>
      <c r="C45" s="334">
        <v>0</v>
      </c>
      <c r="D45" s="334">
        <v>0</v>
      </c>
      <c r="E45" s="334">
        <v>4</v>
      </c>
      <c r="F45" s="334">
        <v>437168</v>
      </c>
    </row>
    <row r="46" spans="1:6">
      <c r="A46" s="348" t="s">
        <v>32</v>
      </c>
      <c r="B46" s="348" t="s">
        <v>38</v>
      </c>
      <c r="C46" s="334">
        <v>0</v>
      </c>
      <c r="D46" s="334">
        <v>0</v>
      </c>
      <c r="E46" s="334">
        <v>5</v>
      </c>
      <c r="F46" s="334">
        <v>60850</v>
      </c>
    </row>
    <row r="47" spans="1:6">
      <c r="A47" s="348" t="s">
        <v>32</v>
      </c>
      <c r="B47" s="348" t="s">
        <v>39</v>
      </c>
      <c r="C47" s="334">
        <v>5</v>
      </c>
      <c r="D47" s="334">
        <v>118024</v>
      </c>
      <c r="E47" s="334">
        <v>4</v>
      </c>
      <c r="F47" s="334">
        <v>35319</v>
      </c>
    </row>
    <row r="48" spans="1:6">
      <c r="A48" s="348" t="s">
        <v>32</v>
      </c>
      <c r="B48" s="348" t="s">
        <v>29</v>
      </c>
      <c r="C48" s="334">
        <v>5</v>
      </c>
      <c r="D48" s="334">
        <v>336806</v>
      </c>
      <c r="E48" s="334">
        <v>0</v>
      </c>
      <c r="F48" s="334">
        <v>39469</v>
      </c>
    </row>
    <row r="49" spans="1:6">
      <c r="A49" s="348" t="s">
        <v>32</v>
      </c>
      <c r="B49" s="348" t="s">
        <v>40</v>
      </c>
      <c r="C49" s="334">
        <v>4</v>
      </c>
      <c r="D49" s="334">
        <v>468345</v>
      </c>
      <c r="E49" s="334">
        <v>6</v>
      </c>
      <c r="F49" s="334">
        <v>236686</v>
      </c>
    </row>
    <row r="50" spans="1:6">
      <c r="A50" s="348" t="s">
        <v>32</v>
      </c>
      <c r="B50" s="348" t="s">
        <v>41</v>
      </c>
      <c r="C50" s="334">
        <v>14</v>
      </c>
      <c r="D50" s="334">
        <v>559713</v>
      </c>
      <c r="E50" s="334">
        <v>26</v>
      </c>
      <c r="F50" s="334">
        <v>727300</v>
      </c>
    </row>
    <row r="51" spans="1:6">
      <c r="A51" s="348" t="s">
        <v>42</v>
      </c>
      <c r="B51" s="348" t="s">
        <v>43</v>
      </c>
      <c r="C51" s="334">
        <v>21</v>
      </c>
      <c r="D51" s="334">
        <v>647170</v>
      </c>
      <c r="E51" s="334">
        <v>164</v>
      </c>
      <c r="F51" s="334">
        <v>2115133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122</v>
      </c>
      <c r="F54" s="334">
        <v>2038823</v>
      </c>
    </row>
    <row r="55" spans="1:6">
      <c r="A55" s="348" t="s">
        <v>46</v>
      </c>
      <c r="B55" s="348" t="s">
        <v>29</v>
      </c>
      <c r="C55" s="334">
        <v>0</v>
      </c>
      <c r="D55" s="334">
        <v>0</v>
      </c>
      <c r="E55" s="334">
        <v>0</v>
      </c>
      <c r="F55" s="334">
        <v>0</v>
      </c>
    </row>
    <row r="56" spans="1:6">
      <c r="A56" s="348" t="s">
        <v>48</v>
      </c>
      <c r="B56" s="348" t="s">
        <v>29</v>
      </c>
      <c r="C56" s="334">
        <v>120</v>
      </c>
      <c r="D56" s="334">
        <v>3835394</v>
      </c>
      <c r="E56" s="334">
        <v>273</v>
      </c>
      <c r="F56" s="334">
        <v>963951</v>
      </c>
    </row>
    <row r="57" spans="1:6">
      <c r="A57" s="348" t="s">
        <v>49</v>
      </c>
      <c r="B57" s="348" t="s">
        <v>50</v>
      </c>
      <c r="C57" s="334">
        <v>92</v>
      </c>
      <c r="D57" s="334">
        <v>4693849</v>
      </c>
      <c r="E57" s="334">
        <v>269</v>
      </c>
      <c r="F57" s="334">
        <v>6359122</v>
      </c>
    </row>
    <row r="58" spans="1:6">
      <c r="A58" s="348" t="s">
        <v>49</v>
      </c>
      <c r="B58" s="348" t="s">
        <v>51</v>
      </c>
      <c r="C58" s="334">
        <v>65</v>
      </c>
      <c r="D58" s="334">
        <v>13386446</v>
      </c>
      <c r="E58" s="334">
        <v>111</v>
      </c>
      <c r="F58" s="334">
        <v>5371351</v>
      </c>
    </row>
    <row r="59" spans="1:6">
      <c r="A59" s="348" t="s">
        <v>49</v>
      </c>
      <c r="B59" s="348" t="s">
        <v>52</v>
      </c>
      <c r="C59" s="334">
        <v>248</v>
      </c>
      <c r="D59" s="334">
        <v>13304631</v>
      </c>
      <c r="E59" s="334">
        <v>508</v>
      </c>
      <c r="F59" s="334">
        <v>22273228</v>
      </c>
    </row>
    <row r="60" spans="1:6">
      <c r="A60" s="348" t="s">
        <v>49</v>
      </c>
      <c r="B60" s="348" t="s">
        <v>53</v>
      </c>
      <c r="C60" s="334">
        <v>102</v>
      </c>
      <c r="D60" s="334">
        <v>5029617</v>
      </c>
      <c r="E60" s="334">
        <v>154</v>
      </c>
      <c r="F60" s="334">
        <v>5161979</v>
      </c>
    </row>
    <row r="61" spans="1:6">
      <c r="A61" s="348" t="s">
        <v>49</v>
      </c>
      <c r="B61" s="348" t="s">
        <v>54</v>
      </c>
      <c r="C61" s="334">
        <v>276</v>
      </c>
      <c r="D61" s="334">
        <v>25997769</v>
      </c>
      <c r="E61" s="334">
        <v>641</v>
      </c>
      <c r="F61" s="334">
        <v>11067230</v>
      </c>
    </row>
    <row r="62" spans="1:6">
      <c r="A62" s="348" t="s">
        <v>49</v>
      </c>
      <c r="B62" s="348" t="s">
        <v>55</v>
      </c>
      <c r="C62" s="334">
        <v>31</v>
      </c>
      <c r="D62" s="334">
        <v>7503487</v>
      </c>
      <c r="E62" s="334">
        <v>38</v>
      </c>
      <c r="F62" s="334">
        <v>1765469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12</v>
      </c>
      <c r="D68" s="334">
        <v>2518276</v>
      </c>
      <c r="E68" s="334">
        <v>23</v>
      </c>
      <c r="F68" s="334">
        <v>1001527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156757865</v>
      </c>
      <c r="E73" s="475">
        <v>163722688.327299</v>
      </c>
    </row>
    <row r="74" spans="1:6">
      <c r="A74" s="348" t="s">
        <v>64</v>
      </c>
      <c r="B74" s="348" t="s">
        <v>667</v>
      </c>
      <c r="C74" s="1294" t="s">
        <v>669</v>
      </c>
      <c r="D74" s="475">
        <v>12762617.322697172</v>
      </c>
      <c r="E74" s="475">
        <v>13044559.921803383</v>
      </c>
    </row>
    <row r="75" spans="1:6">
      <c r="A75" s="348" t="s">
        <v>65</v>
      </c>
      <c r="B75" s="348" t="s">
        <v>666</v>
      </c>
      <c r="C75" s="1294" t="s">
        <v>670</v>
      </c>
      <c r="D75" s="475">
        <v>36221801</v>
      </c>
      <c r="E75" s="475">
        <v>37863168.629733533</v>
      </c>
    </row>
    <row r="76" spans="1:6">
      <c r="A76" s="348" t="s">
        <v>65</v>
      </c>
      <c r="B76" s="348" t="s">
        <v>667</v>
      </c>
      <c r="C76" s="1294" t="s">
        <v>671</v>
      </c>
      <c r="D76" s="475">
        <v>1393880.3226971717</v>
      </c>
      <c r="E76" s="475">
        <v>1415035.6286223915</v>
      </c>
    </row>
    <row r="77" spans="1:6">
      <c r="A77" s="348" t="s">
        <v>66</v>
      </c>
      <c r="B77" s="348" t="s">
        <v>666</v>
      </c>
      <c r="C77" s="1294" t="s">
        <v>672</v>
      </c>
      <c r="D77" s="475">
        <v>5772127</v>
      </c>
      <c r="E77" s="475">
        <v>5947846.2423654459</v>
      </c>
    </row>
    <row r="78" spans="1:6">
      <c r="A78" s="341" t="s">
        <v>66</v>
      </c>
      <c r="B78" s="341" t="s">
        <v>667</v>
      </c>
      <c r="C78" s="341" t="s">
        <v>673</v>
      </c>
      <c r="D78" s="1295">
        <v>1242299</v>
      </c>
      <c r="E78" s="1295">
        <v>1229886.8693468955</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1418993.3546056566</v>
      </c>
      <c r="C83" s="475">
        <v>1418993.3546056566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19.408284023668639</v>
      </c>
    </row>
    <row r="90" spans="1:6">
      <c r="A90" s="348" t="s">
        <v>552</v>
      </c>
      <c r="B90" s="1296">
        <v>0</v>
      </c>
    </row>
    <row r="91" spans="1:6">
      <c r="A91" s="348" t="s">
        <v>68</v>
      </c>
      <c r="B91" s="334">
        <v>5466.5857229680241</v>
      </c>
    </row>
    <row r="92" spans="1:6">
      <c r="A92" s="341" t="s">
        <v>69</v>
      </c>
      <c r="B92" s="342">
        <v>9952.8258982482439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4164</v>
      </c>
    </row>
    <row r="98" spans="1:6">
      <c r="A98" s="348" t="s">
        <v>72</v>
      </c>
      <c r="B98" s="334">
        <v>7</v>
      </c>
    </row>
    <row r="99" spans="1:6">
      <c r="A99" s="348" t="s">
        <v>73</v>
      </c>
      <c r="B99" s="334">
        <v>116</v>
      </c>
    </row>
    <row r="100" spans="1:6">
      <c r="A100" s="348" t="s">
        <v>74</v>
      </c>
      <c r="B100" s="334">
        <v>384</v>
      </c>
    </row>
    <row r="101" spans="1:6">
      <c r="A101" s="348" t="s">
        <v>75</v>
      </c>
      <c r="B101" s="334">
        <v>107</v>
      </c>
    </row>
    <row r="102" spans="1:6">
      <c r="A102" s="348" t="s">
        <v>76</v>
      </c>
      <c r="B102" s="334">
        <v>176</v>
      </c>
    </row>
    <row r="103" spans="1:6">
      <c r="A103" s="348" t="s">
        <v>77</v>
      </c>
      <c r="B103" s="334">
        <v>455</v>
      </c>
    </row>
    <row r="104" spans="1:6">
      <c r="A104" s="348" t="s">
        <v>78</v>
      </c>
      <c r="B104" s="334">
        <v>6268</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80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168</v>
      </c>
    </row>
    <row r="130" spans="1:6">
      <c r="A130" s="348" t="s">
        <v>295</v>
      </c>
      <c r="B130" s="334">
        <v>1</v>
      </c>
    </row>
    <row r="131" spans="1:6">
      <c r="A131" s="348" t="s">
        <v>296</v>
      </c>
      <c r="B131" s="334">
        <v>3</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128734.35027261915</v>
      </c>
      <c r="C3" s="43" t="s">
        <v>170</v>
      </c>
      <c r="D3" s="43"/>
      <c r="E3" s="154"/>
      <c r="F3" s="43"/>
      <c r="G3" s="43"/>
      <c r="H3" s="43"/>
      <c r="I3" s="43"/>
      <c r="J3" s="43"/>
      <c r="K3" s="96"/>
    </row>
    <row r="4" spans="1:11">
      <c r="A4" s="383" t="s">
        <v>171</v>
      </c>
      <c r="B4" s="49">
        <f>IF(ISERROR('SEAP template'!B78+'SEAP template'!C78),0,'SEAP template'!B78+'SEAP template'!C78)</f>
        <v>28155.819905239936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0.17266452321481524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18167.142857142859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2038.8230000000001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2038.8230000000001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0.17266452321481524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352.03240121439927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44353.909</v>
      </c>
      <c r="C5" s="17">
        <f>IF(ISERROR('Eigen informatie GS &amp; warmtenet'!B57),0,'Eigen informatie GS &amp; warmtenet'!B57)</f>
        <v>0</v>
      </c>
      <c r="D5" s="30">
        <f>(SUM(HH_hh_gas_kWh,HH_rest_gas_kWh)/1000)*0.902</f>
        <v>101127.78592400001</v>
      </c>
      <c r="E5" s="17">
        <f>B46*B57</f>
        <v>9932.7926078872079</v>
      </c>
      <c r="F5" s="17">
        <f>B51*B62</f>
        <v>83084.640504643889</v>
      </c>
      <c r="G5" s="18"/>
      <c r="H5" s="17"/>
      <c r="I5" s="17"/>
      <c r="J5" s="17">
        <f>B50*B61+C50*C61</f>
        <v>4265.5411406630737</v>
      </c>
      <c r="K5" s="17"/>
      <c r="L5" s="17"/>
      <c r="M5" s="17"/>
      <c r="N5" s="17">
        <f>B48*B59+C48*C59</f>
        <v>26021.095870093133</v>
      </c>
      <c r="O5" s="17">
        <f>B69*B70*B71</f>
        <v>387.70666666666671</v>
      </c>
      <c r="P5" s="17">
        <f>B77*B78*B79/1000-B77*B78*B79/1000/B80</f>
        <v>629.20000000000005</v>
      </c>
    </row>
    <row r="6" spans="1:16">
      <c r="A6" s="16" t="s">
        <v>624</v>
      </c>
      <c r="B6" s="788">
        <f>kWh_PV_kleiner_dan_10kW</f>
        <v>5466.5857229680241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49820.494722968026</v>
      </c>
      <c r="C8" s="21">
        <f>C5</f>
        <v>0</v>
      </c>
      <c r="D8" s="21">
        <f>D5</f>
        <v>101127.78592400001</v>
      </c>
      <c r="E8" s="21">
        <f>E5</f>
        <v>9932.7926078872079</v>
      </c>
      <c r="F8" s="21">
        <f>F5</f>
        <v>83084.640504643889</v>
      </c>
      <c r="G8" s="21"/>
      <c r="H8" s="21"/>
      <c r="I8" s="21"/>
      <c r="J8" s="21">
        <f>J5</f>
        <v>4265.5411406630737</v>
      </c>
      <c r="K8" s="21"/>
      <c r="L8" s="21">
        <f>L5</f>
        <v>0</v>
      </c>
      <c r="M8" s="21">
        <f>M5</f>
        <v>0</v>
      </c>
      <c r="N8" s="21">
        <f>N5</f>
        <v>26021.095870093133</v>
      </c>
      <c r="O8" s="21">
        <f>O5</f>
        <v>387.70666666666671</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0.17266452321481524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8602.2319676674924</v>
      </c>
      <c r="C12" s="23">
        <f ca="1">C10*C8</f>
        <v>0</v>
      </c>
      <c r="D12" s="23">
        <f>D8*D10</f>
        <v>20427.812756648003</v>
      </c>
      <c r="E12" s="23">
        <f>E10*E8</f>
        <v>2254.7439219903963</v>
      </c>
      <c r="F12" s="23">
        <f>F10*F8</f>
        <v>22183.599014739921</v>
      </c>
      <c r="G12" s="23"/>
      <c r="H12" s="23"/>
      <c r="I12" s="23"/>
      <c r="J12" s="23">
        <f>J10*J8</f>
        <v>1510.0015637947281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4164</v>
      </c>
      <c r="C18" s="166" t="s">
        <v>111</v>
      </c>
      <c r="D18" s="228"/>
      <c r="E18" s="15"/>
    </row>
    <row r="19" spans="1:7">
      <c r="A19" s="171" t="s">
        <v>72</v>
      </c>
      <c r="B19" s="37">
        <f>aantalw2001_ander</f>
        <v>7</v>
      </c>
      <c r="C19" s="166" t="s">
        <v>111</v>
      </c>
      <c r="D19" s="229"/>
      <c r="E19" s="15"/>
    </row>
    <row r="20" spans="1:7">
      <c r="A20" s="171" t="s">
        <v>73</v>
      </c>
      <c r="B20" s="37">
        <f>aantalw2001_propaan</f>
        <v>116</v>
      </c>
      <c r="C20" s="167">
        <f>IF(ISERROR(B20/SUM($B$20,$B$21,$B$22)*100),0,B20/SUM($B$20,$B$21,$B$22)*100)</f>
        <v>19.110378912685338</v>
      </c>
      <c r="D20" s="229"/>
      <c r="E20" s="15"/>
    </row>
    <row r="21" spans="1:7">
      <c r="A21" s="171" t="s">
        <v>74</v>
      </c>
      <c r="B21" s="37">
        <f>aantalw2001_elektriciteit</f>
        <v>384</v>
      </c>
      <c r="C21" s="167">
        <f>IF(ISERROR(B21/SUM($B$20,$B$21,$B$22)*100),0,B21/SUM($B$20,$B$21,$B$22)*100)</f>
        <v>63.261943986820427</v>
      </c>
      <c r="D21" s="229"/>
      <c r="E21" s="15"/>
    </row>
    <row r="22" spans="1:7">
      <c r="A22" s="171" t="s">
        <v>75</v>
      </c>
      <c r="B22" s="37">
        <f>aantalw2001_hout</f>
        <v>107</v>
      </c>
      <c r="C22" s="167">
        <f>IF(ISERROR(B22/SUM($B$20,$B$21,$B$22)*100),0,B22/SUM($B$20,$B$21,$B$22)*100)</f>
        <v>17.627677100494235</v>
      </c>
      <c r="D22" s="229"/>
      <c r="E22" s="15"/>
    </row>
    <row r="23" spans="1:7">
      <c r="A23" s="171" t="s">
        <v>76</v>
      </c>
      <c r="B23" s="37">
        <f>aantalw2001_niet_gespec</f>
        <v>176</v>
      </c>
      <c r="C23" s="166" t="s">
        <v>111</v>
      </c>
      <c r="D23" s="228"/>
      <c r="E23" s="15"/>
    </row>
    <row r="24" spans="1:7">
      <c r="A24" s="171" t="s">
        <v>77</v>
      </c>
      <c r="B24" s="37">
        <f>aantalw2001_steenkool</f>
        <v>455</v>
      </c>
      <c r="C24" s="166" t="s">
        <v>111</v>
      </c>
      <c r="D24" s="229"/>
      <c r="E24" s="15"/>
    </row>
    <row r="25" spans="1:7">
      <c r="A25" s="171" t="s">
        <v>78</v>
      </c>
      <c r="B25" s="37">
        <f>aantalw2001_stookolie</f>
        <v>6268</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13218</v>
      </c>
      <c r="C28" s="36"/>
      <c r="D28" s="228"/>
    </row>
    <row r="29" spans="1:7" s="15" customFormat="1">
      <c r="A29" s="230" t="s">
        <v>699</v>
      </c>
      <c r="B29" s="37">
        <f>SUM(HH_hh_gas_aantal,HH_rest_gas_aantal)</f>
        <v>7336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7336</v>
      </c>
      <c r="C32" s="167">
        <f>IF(ISERROR(B32/SUM($B$32,$B$34,$B$35,$B$36,$B$38,$B$39)*100),0,B32/SUM($B$32,$B$34,$B$35,$B$36,$B$38,$B$39)*100)</f>
        <v>55.638983693591207</v>
      </c>
      <c r="D32" s="233"/>
      <c r="G32" s="15"/>
    </row>
    <row r="33" spans="1:7">
      <c r="A33" s="171" t="s">
        <v>72</v>
      </c>
      <c r="B33" s="34" t="s">
        <v>111</v>
      </c>
      <c r="C33" s="167"/>
      <c r="D33" s="233"/>
      <c r="G33" s="15"/>
    </row>
    <row r="34" spans="1:7">
      <c r="A34" s="171" t="s">
        <v>73</v>
      </c>
      <c r="B34" s="33">
        <f>IF((($B$28-$B$32-$B$39-$B$77-$B$38)*C20/100)&lt;0,0,($B$28-$B$32-$B$39-$B$77-$B$38)*C20/100)</f>
        <v>439.15650741350908</v>
      </c>
      <c r="C34" s="167">
        <f>IF(ISERROR(B34/SUM($B$32,$B$34,$B$35,$B$36,$B$38,$B$39)*100),0,B34/SUM($B$32,$B$34,$B$35,$B$36,$B$38,$B$39)*100)</f>
        <v>3.3307281563406073</v>
      </c>
      <c r="D34" s="233"/>
      <c r="G34" s="15"/>
    </row>
    <row r="35" spans="1:7">
      <c r="A35" s="171" t="s">
        <v>74</v>
      </c>
      <c r="B35" s="33">
        <f>IF((($B$28-$B$32-$B$39-$B$77-$B$38)*C21/100)&lt;0,0,($B$28-$B$32-$B$39-$B$77-$B$38)*C21/100)</f>
        <v>1453.7594728171334</v>
      </c>
      <c r="C35" s="167">
        <f>IF(ISERROR(B35/SUM($B$32,$B$34,$B$35,$B$36,$B$38,$B$39)*100),0,B35/SUM($B$32,$B$34,$B$35,$B$36,$B$38,$B$39)*100)</f>
        <v>11.025858724437871</v>
      </c>
      <c r="D35" s="233"/>
      <c r="G35" s="15"/>
    </row>
    <row r="36" spans="1:7">
      <c r="A36" s="171" t="s">
        <v>75</v>
      </c>
      <c r="B36" s="33">
        <f>IF((($B$28-$B$32-$B$39-$B$77-$B$38)*C22/100)&lt;0,0,($B$28-$B$32-$B$39-$B$77-$B$38)*C22/100)</f>
        <v>405.08401976935755</v>
      </c>
      <c r="C36" s="167">
        <f>IF(ISERROR(B36/SUM($B$32,$B$34,$B$35,$B$36,$B$38,$B$39)*100),0,B36/SUM($B$32,$B$34,$B$35,$B$36,$B$38,$B$39)*100)</f>
        <v>3.0723095924865951</v>
      </c>
      <c r="D36" s="233"/>
      <c r="G36" s="15"/>
    </row>
    <row r="37" spans="1:7">
      <c r="A37" s="171" t="s">
        <v>76</v>
      </c>
      <c r="B37" s="34" t="s">
        <v>111</v>
      </c>
      <c r="C37" s="167"/>
      <c r="D37" s="173"/>
      <c r="G37" s="15"/>
    </row>
    <row r="38" spans="1:7">
      <c r="A38" s="171" t="s">
        <v>77</v>
      </c>
      <c r="B38" s="33">
        <f>IF((B24-(B29-B18)*0.1)&lt;0,0,B24-(B29-B18)*0.1)</f>
        <v>137.79999999999995</v>
      </c>
      <c r="C38" s="167">
        <f>IF(ISERROR(B38/SUM($B$32,$B$34,$B$35,$B$36,$B$38,$B$39)*100),0,B38/SUM($B$32,$B$34,$B$35,$B$36,$B$38,$B$39)*100)</f>
        <v>1.0451270383010993</v>
      </c>
      <c r="D38" s="234"/>
      <c r="G38" s="15"/>
    </row>
    <row r="39" spans="1:7">
      <c r="A39" s="171" t="s">
        <v>78</v>
      </c>
      <c r="B39" s="33">
        <f>IF((B25-(B29-B18))&lt;0,0,B25-(B29-B18)*0.9)</f>
        <v>3413.2</v>
      </c>
      <c r="C39" s="167">
        <f>IF(ISERROR(B39/SUM($B$32,$B$34,$B$35,$B$36,$B$38,$B$39)*100),0,B39/SUM($B$32,$B$34,$B$35,$B$36,$B$38,$B$39)*100)</f>
        <v>25.886992794842623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7336</v>
      </c>
      <c r="C44" s="34" t="s">
        <v>111</v>
      </c>
      <c r="D44" s="174"/>
    </row>
    <row r="45" spans="1:7">
      <c r="A45" s="171" t="s">
        <v>72</v>
      </c>
      <c r="B45" s="33" t="str">
        <f t="shared" si="0"/>
        <v>-</v>
      </c>
      <c r="C45" s="34" t="s">
        <v>111</v>
      </c>
      <c r="D45" s="174"/>
    </row>
    <row r="46" spans="1:7">
      <c r="A46" s="171" t="s">
        <v>73</v>
      </c>
      <c r="B46" s="33">
        <f t="shared" si="0"/>
        <v>439.15650741350908</v>
      </c>
      <c r="C46" s="34" t="s">
        <v>111</v>
      </c>
      <c r="D46" s="174"/>
    </row>
    <row r="47" spans="1:7">
      <c r="A47" s="171" t="s">
        <v>74</v>
      </c>
      <c r="B47" s="33">
        <f t="shared" si="0"/>
        <v>1453.7594728171334</v>
      </c>
      <c r="C47" s="34" t="s">
        <v>111</v>
      </c>
      <c r="D47" s="174"/>
    </row>
    <row r="48" spans="1:7">
      <c r="A48" s="171" t="s">
        <v>75</v>
      </c>
      <c r="B48" s="33">
        <f t="shared" si="0"/>
        <v>405.08401976935755</v>
      </c>
      <c r="C48" s="33">
        <f>B48*10</f>
        <v>4050.8401976935756</v>
      </c>
      <c r="D48" s="234"/>
    </row>
    <row r="49" spans="1:6">
      <c r="A49" s="171" t="s">
        <v>76</v>
      </c>
      <c r="B49" s="33" t="str">
        <f t="shared" si="0"/>
        <v>-</v>
      </c>
      <c r="C49" s="34" t="s">
        <v>111</v>
      </c>
      <c r="D49" s="234"/>
    </row>
    <row r="50" spans="1:6">
      <c r="A50" s="171" t="s">
        <v>77</v>
      </c>
      <c r="B50" s="33">
        <f t="shared" si="0"/>
        <v>137.79999999999995</v>
      </c>
      <c r="C50" s="33">
        <f>B50*2</f>
        <v>275.59999999999991</v>
      </c>
      <c r="D50" s="234"/>
    </row>
    <row r="51" spans="1:6">
      <c r="A51" s="171" t="s">
        <v>78</v>
      </c>
      <c r="B51" s="33">
        <f t="shared" si="0"/>
        <v>3413.2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51998.379000000001</v>
      </c>
      <c r="C5" s="17">
        <f>IF(ISERROR('Eigen informatie GS &amp; warmtenet'!B58),0,'Eigen informatie GS &amp; warmtenet'!B58)</f>
        <v>0</v>
      </c>
      <c r="D5" s="30">
        <f>SUM(D6:D12)</f>
        <v>63064.050698000014</v>
      </c>
      <c r="E5" s="17">
        <f>SUM(E6:E12)</f>
        <v>1032.0503403044702</v>
      </c>
      <c r="F5" s="17">
        <f>SUM(F6:F12)</f>
        <v>12747.948374938434</v>
      </c>
      <c r="G5" s="18"/>
      <c r="H5" s="17"/>
      <c r="I5" s="17"/>
      <c r="J5" s="17">
        <f>SUM(J6:J12)</f>
        <v>0</v>
      </c>
      <c r="K5" s="17"/>
      <c r="L5" s="17"/>
      <c r="M5" s="17"/>
      <c r="N5" s="17">
        <f>SUM(N6:N12)</f>
        <v>5116.5752972172722</v>
      </c>
      <c r="O5" s="17">
        <f>B38*B39*B40</f>
        <v>1.5633333333333335</v>
      </c>
      <c r="P5" s="17">
        <f>B46*B47*B48/1000-B46*B47*B48/1000/B49</f>
        <v>57.2</v>
      </c>
      <c r="R5" s="32"/>
    </row>
    <row r="6" spans="1:18">
      <c r="A6" s="32" t="s">
        <v>54</v>
      </c>
      <c r="B6" s="37">
        <f>B26</f>
        <v>11067.23</v>
      </c>
      <c r="C6" s="33"/>
      <c r="D6" s="37">
        <f>IF(ISERROR(TER_kantoor_gas_kWh/1000),0,TER_kantoor_gas_kWh/1000)*0.902</f>
        <v>23449.987638000002</v>
      </c>
      <c r="E6" s="33">
        <f>$C$26*'E Balans VL '!I12/100/3.6*1000000</f>
        <v>144.8836735505418</v>
      </c>
      <c r="F6" s="33">
        <f>$C$26*('E Balans VL '!L12+'E Balans VL '!N12)/100/3.6*1000000</f>
        <v>2822.0292855172547</v>
      </c>
      <c r="G6" s="34"/>
      <c r="H6" s="33"/>
      <c r="I6" s="33"/>
      <c r="J6" s="33">
        <f>$C$26*('E Balans VL '!D12+'E Balans VL '!E12)/100/3.6*1000000</f>
        <v>0</v>
      </c>
      <c r="K6" s="33"/>
      <c r="L6" s="33"/>
      <c r="M6" s="33"/>
      <c r="N6" s="33">
        <f>$C$26*'E Balans VL '!Y12/100/3.6*1000000</f>
        <v>11.10449830423307</v>
      </c>
      <c r="O6" s="33"/>
      <c r="P6" s="33"/>
      <c r="R6" s="32"/>
    </row>
    <row r="7" spans="1:18">
      <c r="A7" s="32" t="s">
        <v>53</v>
      </c>
      <c r="B7" s="37">
        <f t="shared" ref="B7:B12" si="0">B27</f>
        <v>5161.9790000000003</v>
      </c>
      <c r="C7" s="33"/>
      <c r="D7" s="37">
        <f>IF(ISERROR(TER_horeca_gas_kWh/1000),0,TER_horeca_gas_kWh/1000)*0.902</f>
        <v>4536.7145340000006</v>
      </c>
      <c r="E7" s="33">
        <f>$C$27*'E Balans VL '!I9/100/3.6*1000000</f>
        <v>170.8301056350609</v>
      </c>
      <c r="F7" s="33">
        <f>$C$27*('E Balans VL '!L9+'E Balans VL '!N9)/100/3.6*1000000</f>
        <v>2219.6311869001797</v>
      </c>
      <c r="G7" s="34"/>
      <c r="H7" s="33"/>
      <c r="I7" s="33"/>
      <c r="J7" s="33">
        <f>$C$27*('E Balans VL '!D9+'E Balans VL '!E9)/100/3.6*1000000</f>
        <v>0</v>
      </c>
      <c r="K7" s="33"/>
      <c r="L7" s="33"/>
      <c r="M7" s="33"/>
      <c r="N7" s="33">
        <f>$C$27*'E Balans VL '!Y9/100/3.6*1000000</f>
        <v>1.2425633054612744</v>
      </c>
      <c r="O7" s="33"/>
      <c r="P7" s="33"/>
      <c r="R7" s="32"/>
    </row>
    <row r="8" spans="1:18">
      <c r="A8" s="6" t="s">
        <v>52</v>
      </c>
      <c r="B8" s="37">
        <f t="shared" si="0"/>
        <v>22273.227999999999</v>
      </c>
      <c r="C8" s="33"/>
      <c r="D8" s="37">
        <f>IF(ISERROR(TER_handel_gas_kWh/1000),0,TER_handel_gas_kWh/1000)*0.902</f>
        <v>12000.777162</v>
      </c>
      <c r="E8" s="33">
        <f>$C$28*'E Balans VL '!I13/100/3.6*1000000</f>
        <v>702.97710815935341</v>
      </c>
      <c r="F8" s="33">
        <f>$C$28*('E Balans VL '!L13+'E Balans VL '!N13)/100/3.6*1000000</f>
        <v>4368.1722179946992</v>
      </c>
      <c r="G8" s="34"/>
      <c r="H8" s="33"/>
      <c r="I8" s="33"/>
      <c r="J8" s="33">
        <f>$C$28*('E Balans VL '!D13+'E Balans VL '!E13)/100/3.6*1000000</f>
        <v>0</v>
      </c>
      <c r="K8" s="33"/>
      <c r="L8" s="33"/>
      <c r="M8" s="33"/>
      <c r="N8" s="33">
        <f>$C$28*'E Balans VL '!Y13/100/3.6*1000000</f>
        <v>26.433997341870853</v>
      </c>
      <c r="O8" s="33"/>
      <c r="P8" s="33"/>
      <c r="R8" s="32"/>
    </row>
    <row r="9" spans="1:18">
      <c r="A9" s="32" t="s">
        <v>51</v>
      </c>
      <c r="B9" s="37">
        <f t="shared" si="0"/>
        <v>5371.3509999999997</v>
      </c>
      <c r="C9" s="33"/>
      <c r="D9" s="37">
        <f>IF(ISERROR(TER_gezond_gas_kWh/1000),0,TER_gezond_gas_kWh/1000)*0.902</f>
        <v>12074.574292000001</v>
      </c>
      <c r="E9" s="33">
        <f>$C$29*'E Balans VL '!I10/100/3.6*1000000</f>
        <v>0.68769006338696537</v>
      </c>
      <c r="F9" s="33">
        <f>$C$29*('E Balans VL '!L10+'E Balans VL '!N10)/100/3.6*1000000</f>
        <v>1119.0775472524467</v>
      </c>
      <c r="G9" s="34"/>
      <c r="H9" s="33"/>
      <c r="I9" s="33"/>
      <c r="J9" s="33">
        <f>$C$29*('E Balans VL '!D10+'E Balans VL '!E10)/100/3.6*1000000</f>
        <v>0</v>
      </c>
      <c r="K9" s="33"/>
      <c r="L9" s="33"/>
      <c r="M9" s="33"/>
      <c r="N9" s="33">
        <f>$C$29*'E Balans VL '!Y10/100/3.6*1000000</f>
        <v>63.089056329252536</v>
      </c>
      <c r="O9" s="33"/>
      <c r="P9" s="33"/>
      <c r="R9" s="32"/>
    </row>
    <row r="10" spans="1:18">
      <c r="A10" s="32" t="s">
        <v>50</v>
      </c>
      <c r="B10" s="37">
        <f t="shared" si="0"/>
        <v>6359.1220000000003</v>
      </c>
      <c r="C10" s="33"/>
      <c r="D10" s="37">
        <f>IF(ISERROR(TER_ander_gas_kWh/1000),0,TER_ander_gas_kWh/1000)*0.902</f>
        <v>4233.8517980000006</v>
      </c>
      <c r="E10" s="33">
        <f>$C$30*'E Balans VL '!I14/100/3.6*1000000</f>
        <v>9.5626240413362122</v>
      </c>
      <c r="F10" s="33">
        <f>$C$30*('E Balans VL '!L14+'E Balans VL '!N14)/100/3.6*1000000</f>
        <v>1403.8891538651358</v>
      </c>
      <c r="G10" s="34"/>
      <c r="H10" s="33"/>
      <c r="I10" s="33"/>
      <c r="J10" s="33">
        <f>$C$30*('E Balans VL '!D14+'E Balans VL '!E14)/100/3.6*1000000</f>
        <v>0</v>
      </c>
      <c r="K10" s="33"/>
      <c r="L10" s="33"/>
      <c r="M10" s="33"/>
      <c r="N10" s="33">
        <f>$C$30*'E Balans VL '!Y14/100/3.6*1000000</f>
        <v>5011.4160887751741</v>
      </c>
      <c r="O10" s="33"/>
      <c r="P10" s="33"/>
      <c r="R10" s="32"/>
    </row>
    <row r="11" spans="1:18">
      <c r="A11" s="32" t="s">
        <v>55</v>
      </c>
      <c r="B11" s="37">
        <f t="shared" si="0"/>
        <v>1765.4690000000001</v>
      </c>
      <c r="C11" s="33"/>
      <c r="D11" s="37">
        <f>IF(ISERROR(TER_onderwijs_gas_kWh/1000),0,TER_onderwijs_gas_kWh/1000)*0.902</f>
        <v>6768.1452740000004</v>
      </c>
      <c r="E11" s="33">
        <f>$C$31*'E Balans VL '!I11/100/3.6*1000000</f>
        <v>3.1091388547908045</v>
      </c>
      <c r="F11" s="33">
        <f>$C$31*('E Balans VL '!L11+'E Balans VL '!N11)/100/3.6*1000000</f>
        <v>815.14898340871844</v>
      </c>
      <c r="G11" s="34"/>
      <c r="H11" s="33"/>
      <c r="I11" s="33"/>
      <c r="J11" s="33">
        <f>$C$31*('E Balans VL '!D11+'E Balans VL '!E11)/100/3.6*1000000</f>
        <v>0</v>
      </c>
      <c r="K11" s="33"/>
      <c r="L11" s="33"/>
      <c r="M11" s="33"/>
      <c r="N11" s="33">
        <f>$C$31*'E Balans VL '!Y11/100/3.6*1000000</f>
        <v>3.2890931612801215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51998.379000000001</v>
      </c>
      <c r="C16" s="21">
        <f t="shared" ca="1" si="1"/>
        <v>0</v>
      </c>
      <c r="D16" s="21">
        <f t="shared" ca="1" si="1"/>
        <v>63064.050698000014</v>
      </c>
      <c r="E16" s="21">
        <f t="shared" si="1"/>
        <v>1032.0503403044702</v>
      </c>
      <c r="F16" s="21">
        <f t="shared" ca="1" si="1"/>
        <v>12747.948374938434</v>
      </c>
      <c r="G16" s="21">
        <f t="shared" si="1"/>
        <v>0</v>
      </c>
      <c r="H16" s="21">
        <f t="shared" si="1"/>
        <v>0</v>
      </c>
      <c r="I16" s="21">
        <f t="shared" si="1"/>
        <v>0</v>
      </c>
      <c r="J16" s="21">
        <f t="shared" si="1"/>
        <v>0</v>
      </c>
      <c r="K16" s="21">
        <f t="shared" si="1"/>
        <v>0</v>
      </c>
      <c r="L16" s="21">
        <f t="shared" ca="1" si="1"/>
        <v>0</v>
      </c>
      <c r="M16" s="21">
        <f t="shared" si="1"/>
        <v>0</v>
      </c>
      <c r="N16" s="21">
        <f t="shared" ca="1" si="1"/>
        <v>5116.5752972172722</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0.17266452321481524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8978.2753179782612</v>
      </c>
      <c r="C20" s="23">
        <f t="shared" ref="C20:P20" ca="1" si="2">C16*C18</f>
        <v>0</v>
      </c>
      <c r="D20" s="23">
        <f t="shared" ca="1" si="2"/>
        <v>12738.938240996004</v>
      </c>
      <c r="E20" s="23">
        <f t="shared" si="2"/>
        <v>234.27542724911473</v>
      </c>
      <c r="F20" s="23">
        <f t="shared" ca="1" si="2"/>
        <v>3403.702216108562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11067.23</v>
      </c>
      <c r="C26" s="39">
        <f>IF(ISERROR(B26*3.6/1000000/'E Balans VL '!Z12*100),0,B26*3.6/1000000/'E Balans VL '!Z12*100)</f>
        <v>0.23706866439619287</v>
      </c>
      <c r="D26" s="237" t="s">
        <v>660</v>
      </c>
      <c r="F26" s="6"/>
    </row>
    <row r="27" spans="1:18">
      <c r="A27" s="231" t="s">
        <v>53</v>
      </c>
      <c r="B27" s="33">
        <f>IF(ISERROR(TER_horeca_ele_kWh/1000),0,TER_horeca_ele_kWh/1000)</f>
        <v>5161.9790000000003</v>
      </c>
      <c r="C27" s="39">
        <f>IF(ISERROR(B27*3.6/1000000/'E Balans VL '!Z9*100),0,B27*3.6/1000000/'E Balans VL '!Z9*100)</f>
        <v>0.41423087189414176</v>
      </c>
      <c r="D27" s="237" t="s">
        <v>660</v>
      </c>
      <c r="F27" s="6"/>
    </row>
    <row r="28" spans="1:18">
      <c r="A28" s="171" t="s">
        <v>52</v>
      </c>
      <c r="B28" s="33">
        <f>IF(ISERROR(TER_handel_ele_kWh/1000),0,TER_handel_ele_kWh/1000)</f>
        <v>22273.227999999999</v>
      </c>
      <c r="C28" s="39">
        <f>IF(ISERROR(B28*3.6/1000000/'E Balans VL '!Z13*100),0,B28*3.6/1000000/'E Balans VL '!Z13*100)</f>
        <v>0.65693247185989079</v>
      </c>
      <c r="D28" s="237" t="s">
        <v>660</v>
      </c>
      <c r="F28" s="6"/>
    </row>
    <row r="29" spans="1:18">
      <c r="A29" s="231" t="s">
        <v>51</v>
      </c>
      <c r="B29" s="33">
        <f>IF(ISERROR(TER_gezond_ele_kWh/1000),0,TER_gezond_ele_kWh/1000)</f>
        <v>5371.3509999999997</v>
      </c>
      <c r="C29" s="39">
        <f>IF(ISERROR(B29*3.6/1000000/'E Balans VL '!Z10*100),0,B29*3.6/1000000/'E Balans VL '!Z10*100)</f>
        <v>0.57351627547930994</v>
      </c>
      <c r="D29" s="237" t="s">
        <v>660</v>
      </c>
      <c r="F29" s="6"/>
    </row>
    <row r="30" spans="1:18">
      <c r="A30" s="231" t="s">
        <v>50</v>
      </c>
      <c r="B30" s="33">
        <f>IF(ISERROR(TER_ander_ele_kWh/1000),0,TER_ander_ele_kWh/1000)</f>
        <v>6359.1220000000003</v>
      </c>
      <c r="C30" s="39">
        <f>IF(ISERROR(B30*3.6/1000000/'E Balans VL '!Z14*100),0,B30*3.6/1000000/'E Balans VL '!Z14*100)</f>
        <v>0.48032945592483622</v>
      </c>
      <c r="D30" s="237" t="s">
        <v>660</v>
      </c>
      <c r="F30" s="6"/>
    </row>
    <row r="31" spans="1:18">
      <c r="A31" s="231" t="s">
        <v>55</v>
      </c>
      <c r="B31" s="33">
        <f>IF(ISERROR(TER_onderwijs_ele_kWh/1000),0,TER_onderwijs_ele_kWh/1000)</f>
        <v>1765.4690000000001</v>
      </c>
      <c r="C31" s="39">
        <f>IF(ISERROR(B31*3.6/1000000/'E Balans VL '!Z11*100),0,B31*3.6/1000000/'E Balans VL '!Z11*100)</f>
        <v>0.35650712700826714</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21750.995000000003</v>
      </c>
      <c r="C5" s="17">
        <f>IF(ISERROR('Eigen informatie GS &amp; warmtenet'!B59),0,'Eigen informatie GS &amp; warmtenet'!B59)</f>
        <v>0</v>
      </c>
      <c r="D5" s="30">
        <f>SUM(D6:D15)</f>
        <v>16879.008739999997</v>
      </c>
      <c r="E5" s="17">
        <f>SUM(E6:E15)</f>
        <v>4081.9605509317457</v>
      </c>
      <c r="F5" s="17">
        <f>SUM(F6:F15)</f>
        <v>15486.0926110741</v>
      </c>
      <c r="G5" s="18"/>
      <c r="H5" s="17"/>
      <c r="I5" s="17"/>
      <c r="J5" s="17">
        <f>SUM(J6:J15)</f>
        <v>33.527708414395143</v>
      </c>
      <c r="K5" s="17"/>
      <c r="L5" s="17"/>
      <c r="M5" s="17"/>
      <c r="N5" s="17">
        <f>SUM(N6:N15)</f>
        <v>5339.0946079936975</v>
      </c>
      <c r="O5" s="17">
        <f>B43*B44*B45</f>
        <v>0</v>
      </c>
      <c r="P5" s="17">
        <f>B51*B52*B53/1000-B51*B52*B53/1000/B54</f>
        <v>0</v>
      </c>
      <c r="R5" s="32"/>
    </row>
    <row r="6" spans="1:18">
      <c r="A6" s="6" t="s">
        <v>35</v>
      </c>
      <c r="B6" s="37">
        <f>IF( ISERROR(IND_ijzer_ele_kWh/1000),0,IND_ijzer_ele_kWh/1000)</f>
        <v>127.593</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60.85</v>
      </c>
      <c r="C7" s="33"/>
      <c r="D7" s="37">
        <f>IF( ISERROR(IND_nonf_gas_kWhh/1000),0,IND_nonf_gas_kWh/1000)*0.902</f>
        <v>0</v>
      </c>
      <c r="E7" s="33">
        <f>C29*'E Balans VL '!I17/100/3.6*1000000</f>
        <v>0.75584806928167814</v>
      </c>
      <c r="F7" s="33">
        <f>C29*'E Balans VL '!L17/100/3.6*1000000+C29*'E Balans VL '!N17/100/3.6*1000000</f>
        <v>16.101862016295279</v>
      </c>
      <c r="G7" s="34"/>
      <c r="H7" s="33"/>
      <c r="I7" s="33"/>
      <c r="J7" s="40">
        <f>C29*'E Balans VL '!D17/100/3.6*1000000+C29*'E Balans VL '!E17/100/3.6*1000000</f>
        <v>30.333973820715297</v>
      </c>
      <c r="K7" s="33"/>
      <c r="L7" s="33"/>
      <c r="M7" s="33"/>
      <c r="N7" s="33">
        <f>C29*'E Balans VL '!Y17/100/3.6*1000000</f>
        <v>0</v>
      </c>
      <c r="O7" s="33"/>
      <c r="P7" s="33"/>
      <c r="R7" s="32"/>
    </row>
    <row r="8" spans="1:18">
      <c r="A8" s="6" t="s">
        <v>36</v>
      </c>
      <c r="B8" s="37">
        <f t="shared" si="0"/>
        <v>4905.0749999999998</v>
      </c>
      <c r="C8" s="33"/>
      <c r="D8" s="37">
        <f>IF( ISERROR(IND_metaal_Gas_kWH/1000),0,IND_metaal_Gas_kWH/1000)*0.902</f>
        <v>5608.2977499999997</v>
      </c>
      <c r="E8" s="33">
        <f>C30*'E Balans VL '!I18/100/3.6*1000000</f>
        <v>176.49943735777154</v>
      </c>
      <c r="F8" s="33">
        <f>C30*'E Balans VL '!L18/100/3.6*1000000+C30*'E Balans VL '!N18/100/3.6*1000000</f>
        <v>2141.8872470758729</v>
      </c>
      <c r="G8" s="34"/>
      <c r="H8" s="33"/>
      <c r="I8" s="33"/>
      <c r="J8" s="40">
        <f>C30*'E Balans VL '!D18/100/3.6*1000000+C30*'E Balans VL '!E18/100/3.6*1000000</f>
        <v>0</v>
      </c>
      <c r="K8" s="33"/>
      <c r="L8" s="33"/>
      <c r="M8" s="33"/>
      <c r="N8" s="33">
        <f>C30*'E Balans VL '!Y18/100/3.6*1000000</f>
        <v>245.83902564833684</v>
      </c>
      <c r="O8" s="33"/>
      <c r="P8" s="33"/>
      <c r="R8" s="32"/>
    </row>
    <row r="9" spans="1:18">
      <c r="A9" s="6" t="s">
        <v>33</v>
      </c>
      <c r="B9" s="37">
        <f t="shared" si="0"/>
        <v>15181.535</v>
      </c>
      <c r="C9" s="33"/>
      <c r="D9" s="37">
        <f>IF( ISERROR(IND_andere_gas_kWh/1000),0,IND_andere_gas_kWh/1000)*0.902</f>
        <v>9933.1460139999999</v>
      </c>
      <c r="E9" s="33">
        <f>C31*'E Balans VL '!I19/100/3.6*1000000</f>
        <v>3873.9842401497758</v>
      </c>
      <c r="F9" s="33">
        <f>C31*'E Balans VL '!L19/100/3.6*1000000+C31*'E Balans VL '!N19/100/3.6*1000000</f>
        <v>13070.160546467687</v>
      </c>
      <c r="G9" s="34"/>
      <c r="H9" s="33"/>
      <c r="I9" s="33"/>
      <c r="J9" s="40">
        <f>C31*'E Balans VL '!D19/100/3.6*1000000+C31*'E Balans VL '!E19/100/3.6*1000000</f>
        <v>0</v>
      </c>
      <c r="K9" s="33"/>
      <c r="L9" s="33"/>
      <c r="M9" s="33"/>
      <c r="N9" s="33">
        <f>C31*'E Balans VL '!Y19/100/3.6*1000000</f>
        <v>4747.7859077746416</v>
      </c>
      <c r="O9" s="33"/>
      <c r="P9" s="33"/>
      <c r="R9" s="32"/>
    </row>
    <row r="10" spans="1:18">
      <c r="A10" s="6" t="s">
        <v>41</v>
      </c>
      <c r="B10" s="37">
        <f t="shared" si="0"/>
        <v>727.3</v>
      </c>
      <c r="C10" s="33"/>
      <c r="D10" s="37">
        <f>IF( ISERROR(IND_voed_gas_kWh/1000),0,IND_voed_gas_kWh/1000)*0.902</f>
        <v>504.86112599999996</v>
      </c>
      <c r="E10" s="33">
        <f>C32*'E Balans VL '!I20/100/3.6*1000000</f>
        <v>18.488964664738887</v>
      </c>
      <c r="F10" s="33">
        <f>C32*'E Balans VL '!L20/100/3.6*1000000+C32*'E Balans VL '!N20/100/3.6*1000000</f>
        <v>164.57707228545564</v>
      </c>
      <c r="G10" s="34"/>
      <c r="H10" s="33"/>
      <c r="I10" s="33"/>
      <c r="J10" s="40">
        <f>C32*'E Balans VL '!D20/100/3.6*1000000+C32*'E Balans VL '!E20/100/3.6*1000000</f>
        <v>0</v>
      </c>
      <c r="K10" s="33"/>
      <c r="L10" s="33"/>
      <c r="M10" s="33"/>
      <c r="N10" s="33">
        <f>C32*'E Balans VL '!Y20/100/3.6*1000000</f>
        <v>272.75721424193324</v>
      </c>
      <c r="O10" s="33"/>
      <c r="P10" s="33"/>
      <c r="R10" s="32"/>
    </row>
    <row r="11" spans="1:18">
      <c r="A11" s="6" t="s">
        <v>40</v>
      </c>
      <c r="B11" s="37">
        <f t="shared" si="0"/>
        <v>236.68600000000001</v>
      </c>
      <c r="C11" s="33"/>
      <c r="D11" s="37">
        <f>IF( ISERROR(IND_textiel_gas_kWh/1000),0,IND_textiel_gas_kWh/1000)*0.902</f>
        <v>422.44719000000003</v>
      </c>
      <c r="E11" s="33">
        <f>C33*'E Balans VL '!I21/100/3.6*1000000</f>
        <v>0.64976672027371885</v>
      </c>
      <c r="F11" s="33">
        <f>C33*'E Balans VL '!L21/100/3.6*1000000+C33*'E Balans VL '!N21/100/3.6*1000000</f>
        <v>12.548105322336767</v>
      </c>
      <c r="G11" s="34"/>
      <c r="H11" s="33"/>
      <c r="I11" s="33"/>
      <c r="J11" s="40">
        <f>C33*'E Balans VL '!D21/100/3.6*1000000+C33*'E Balans VL '!E21/100/3.6*1000000</f>
        <v>0</v>
      </c>
      <c r="K11" s="33"/>
      <c r="L11" s="33"/>
      <c r="M11" s="33"/>
      <c r="N11" s="33">
        <f>C33*'E Balans VL '!Y21/100/3.6*1000000</f>
        <v>0.47569969258385542</v>
      </c>
      <c r="O11" s="33"/>
      <c r="P11" s="33"/>
      <c r="R11" s="32"/>
    </row>
    <row r="12" spans="1:18">
      <c r="A12" s="6" t="s">
        <v>37</v>
      </c>
      <c r="B12" s="37">
        <f t="shared" si="0"/>
        <v>437.16800000000001</v>
      </c>
      <c r="C12" s="33"/>
      <c r="D12" s="37">
        <f>IF( ISERROR(IND_min_gas_kWh/1000),0,IND_min_gas_kWh/1000)*0.902</f>
        <v>0</v>
      </c>
      <c r="E12" s="33">
        <f>C34*'E Balans VL '!I22/100/3.6*1000000</f>
        <v>9.2887243598467251</v>
      </c>
      <c r="F12" s="33">
        <f>C34*'E Balans VL '!L22/100/3.6*1000000+C34*'E Balans VL '!N22/100/3.6*1000000</f>
        <v>71.327684788807574</v>
      </c>
      <c r="G12" s="34"/>
      <c r="H12" s="33"/>
      <c r="I12" s="33"/>
      <c r="J12" s="40">
        <f>C34*'E Balans VL '!D22/100/3.6*1000000+C34*'E Balans VL '!E22/100/3.6*1000000</f>
        <v>0.50934151674156847</v>
      </c>
      <c r="K12" s="33"/>
      <c r="L12" s="33"/>
      <c r="M12" s="33"/>
      <c r="N12" s="33">
        <f>C34*'E Balans VL '!Y22/100/3.6*1000000</f>
        <v>0</v>
      </c>
      <c r="O12" s="33"/>
      <c r="P12" s="33"/>
      <c r="R12" s="32"/>
    </row>
    <row r="13" spans="1:18">
      <c r="A13" s="6" t="s">
        <v>39</v>
      </c>
      <c r="B13" s="37">
        <f t="shared" si="0"/>
        <v>35.319000000000003</v>
      </c>
      <c r="C13" s="33"/>
      <c r="D13" s="37">
        <f>IF( ISERROR(IND_papier_gas_kWh/1000),0,IND_papier_gas_kWh/1000)*0.902</f>
        <v>106.45764800000001</v>
      </c>
      <c r="E13" s="33">
        <f>C35*'E Balans VL '!I23/100/3.6*1000000</f>
        <v>0.15147291607480204</v>
      </c>
      <c r="F13" s="33">
        <f>C35*'E Balans VL '!L23/100/3.6*1000000+C35*'E Balans VL '!N23/100/3.6*1000000</f>
        <v>0.8876760931973825</v>
      </c>
      <c r="G13" s="34"/>
      <c r="H13" s="33"/>
      <c r="I13" s="33"/>
      <c r="J13" s="40">
        <f>C35*'E Balans VL '!D23/100/3.6*1000000+C35*'E Balans VL '!E23/100/3.6*1000000</f>
        <v>2.364413333253724</v>
      </c>
      <c r="K13" s="33"/>
      <c r="L13" s="33"/>
      <c r="M13" s="33"/>
      <c r="N13" s="33">
        <f>C35*'E Balans VL '!Y23/100/3.6*1000000</f>
        <v>64.28897917864856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39.469000000000001</v>
      </c>
      <c r="C15" s="33"/>
      <c r="D15" s="37">
        <f>IF( ISERROR(IND_rest_gas_kWh/1000),0,IND_rest_gas_kWh/1000)*0.902</f>
        <v>303.799012</v>
      </c>
      <c r="E15" s="33">
        <f>C37*'E Balans VL '!I15/100/3.6*1000000</f>
        <v>2.1420966939824142</v>
      </c>
      <c r="F15" s="33">
        <f>C37*'E Balans VL '!L15/100/3.6*1000000+C37*'E Balans VL '!N15/100/3.6*1000000</f>
        <v>8.6024170244446996</v>
      </c>
      <c r="G15" s="34"/>
      <c r="H15" s="33"/>
      <c r="I15" s="33"/>
      <c r="J15" s="40">
        <f>C37*'E Balans VL '!D15/100/3.6*1000000+C37*'E Balans VL '!E15/100/3.6*1000000</f>
        <v>0.31997974368455473</v>
      </c>
      <c r="K15" s="33"/>
      <c r="L15" s="33"/>
      <c r="M15" s="33"/>
      <c r="N15" s="33">
        <f>C37*'E Balans VL '!Y15/100/3.6*1000000</f>
        <v>7.9477814575536101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21750.995000000003</v>
      </c>
      <c r="C18" s="21">
        <f>C5+C16</f>
        <v>0</v>
      </c>
      <c r="D18" s="21">
        <f>MAX((D5+D16),0)</f>
        <v>16879.008739999997</v>
      </c>
      <c r="E18" s="21">
        <f>MAX((E5+E16),0)</f>
        <v>4081.9605509317457</v>
      </c>
      <c r="F18" s="21">
        <f>MAX((F5+F16),0)</f>
        <v>15486.0926110741</v>
      </c>
      <c r="G18" s="21"/>
      <c r="H18" s="21"/>
      <c r="I18" s="21"/>
      <c r="J18" s="21">
        <f>MAX((J5+J16),0)</f>
        <v>33.527708414395143</v>
      </c>
      <c r="K18" s="21"/>
      <c r="L18" s="21">
        <f>MAX((L5+L16),0)</f>
        <v>0</v>
      </c>
      <c r="M18" s="21"/>
      <c r="N18" s="21">
        <f>MAX((N5+N16),0)</f>
        <v>5339.0946079936975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0.17266452321481524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3755.6251811228308</v>
      </c>
      <c r="C22" s="23">
        <f ca="1">C18*C20</f>
        <v>0</v>
      </c>
      <c r="D22" s="23">
        <f>D18*D20</f>
        <v>3409.5597654799999</v>
      </c>
      <c r="E22" s="23">
        <f>E18*E20</f>
        <v>926.6050450615063</v>
      </c>
      <c r="F22" s="23">
        <f>F18*F20</f>
        <v>4134.7867271567848</v>
      </c>
      <c r="G22" s="23"/>
      <c r="H22" s="23"/>
      <c r="I22" s="23"/>
      <c r="J22" s="23">
        <f>J18*J20</f>
        <v>11.868808778695881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60.85</v>
      </c>
      <c r="C29" s="39">
        <f>IF(ISERROR(B29*3.6/1000000/'E Balans VL '!Z17*100),0,B29*3.6/1000000/'E Balans VL '!Z17*100)</f>
        <v>6.4976310181891136E-2</v>
      </c>
      <c r="D29" s="237" t="s">
        <v>660</v>
      </c>
    </row>
    <row r="30" spans="1:18">
      <c r="A30" s="171" t="s">
        <v>36</v>
      </c>
      <c r="B30" s="37">
        <f>IF( ISERROR(IND_metaal_ele_kWh/1000),0,IND_metaal_ele_kWh/1000)</f>
        <v>4905.0749999999998</v>
      </c>
      <c r="C30" s="39">
        <f>IF(ISERROR(B30*3.6/1000000/'E Balans VL '!Z18*100),0,B30*3.6/1000000/'E Balans VL '!Z18*100)</f>
        <v>1.0392802304636024</v>
      </c>
      <c r="D30" s="237" t="s">
        <v>660</v>
      </c>
    </row>
    <row r="31" spans="1:18">
      <c r="A31" s="6" t="s">
        <v>33</v>
      </c>
      <c r="B31" s="37">
        <f>IF( ISERROR(IND_ander_ele_kWh/1000),0,IND_ander_ele_kWh/1000)</f>
        <v>15181.535</v>
      </c>
      <c r="C31" s="39">
        <f>IF(ISERROR(B31*3.6/1000000/'E Balans VL '!Z19*100),0,B31*3.6/1000000/'E Balans VL '!Z19*100)</f>
        <v>0.63902528033223849</v>
      </c>
      <c r="D31" s="237" t="s">
        <v>660</v>
      </c>
    </row>
    <row r="32" spans="1:18">
      <c r="A32" s="171" t="s">
        <v>41</v>
      </c>
      <c r="B32" s="37">
        <f>IF( ISERROR(IND_voed_ele_kWh/1000),0,IND_voed_ele_kWh/1000)</f>
        <v>727.3</v>
      </c>
      <c r="C32" s="39">
        <f>IF(ISERROR(B32*3.6/1000000/'E Balans VL '!Z20*100),0,B32*3.6/1000000/'E Balans VL '!Z20*100)</f>
        <v>0.12150369383354818</v>
      </c>
      <c r="D32" s="237" t="s">
        <v>660</v>
      </c>
    </row>
    <row r="33" spans="1:5">
      <c r="A33" s="171" t="s">
        <v>40</v>
      </c>
      <c r="B33" s="37">
        <f>IF( ISERROR(IND_textiel_ele_kWh/1000),0,IND_textiel_ele_kWh/1000)</f>
        <v>236.68600000000001</v>
      </c>
      <c r="C33" s="39">
        <f>IF(ISERROR(B33*3.6/1000000/'E Balans VL '!Z21*100),0,B33*3.6/1000000/'E Balans VL '!Z21*100)</f>
        <v>1.3818436966851283E-2</v>
      </c>
      <c r="D33" s="237" t="s">
        <v>660</v>
      </c>
    </row>
    <row r="34" spans="1:5">
      <c r="A34" s="171" t="s">
        <v>37</v>
      </c>
      <c r="B34" s="37">
        <f>IF( ISERROR(IND_min_ele_kWh/1000),0,IND_min_ele_kWh/1000)</f>
        <v>437.16800000000001</v>
      </c>
      <c r="C34" s="39">
        <f>IF(ISERROR(B34*3.6/1000000/'E Balans VL '!Z22*100),0,B34*3.6/1000000/'E Balans VL '!Z22*100)</f>
        <v>5.5413401640060804E-2</v>
      </c>
      <c r="D34" s="237" t="s">
        <v>660</v>
      </c>
    </row>
    <row r="35" spans="1:5">
      <c r="A35" s="171" t="s">
        <v>39</v>
      </c>
      <c r="B35" s="37">
        <f>IF( ISERROR(IND_papier_ele_kWh/1000),0,IND_papier_ele_kWh/1000)</f>
        <v>35.319000000000003</v>
      </c>
      <c r="C35" s="39">
        <f>IF(ISERROR(B35*3.6/1000000/'E Balans VL '!Z22*100),0,B35*3.6/1000000/'E Balans VL '!Z22*100)</f>
        <v>4.4768737248044397E-3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39.469000000000001</v>
      </c>
      <c r="C37" s="39">
        <f>IF(ISERROR(B37*3.6/1000000/'E Balans VL '!Z15*100),0,B37*3.6/1000000/'E Balans VL '!Z15*100)</f>
        <v>3.1864852009728158E-4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2115.1329999999998</v>
      </c>
      <c r="C5" s="17">
        <f>'Eigen informatie GS &amp; warmtenet'!B60</f>
        <v>0</v>
      </c>
      <c r="D5" s="30">
        <f>IF(ISERROR(SUM(LB_lb_gas_kWh,LB_rest_gas_kWh)/1000),0,SUM(LB_lb_gas_kWh,LB_rest_gas_kWh)/1000)*0.902</f>
        <v>583.74734000000001</v>
      </c>
      <c r="E5" s="17">
        <f>B17*'E Balans VL '!I25/3.6*1000000/100</f>
        <v>54.541158898207293</v>
      </c>
      <c r="F5" s="17">
        <f>B17*('E Balans VL '!L25/3.6*1000000+'E Balans VL '!N25/3.6*1000000)/100</f>
        <v>7731.213922512613</v>
      </c>
      <c r="G5" s="18"/>
      <c r="H5" s="17"/>
      <c r="I5" s="17"/>
      <c r="J5" s="17">
        <f>('E Balans VL '!D25+'E Balans VL '!E25)/3.6*1000000*landbouw!B17/100</f>
        <v>304.50134332766288</v>
      </c>
      <c r="K5" s="17"/>
      <c r="L5" s="17">
        <f>L6*(-1)</f>
        <v>0</v>
      </c>
      <c r="M5" s="17"/>
      <c r="N5" s="17">
        <f>N6*(-1)</f>
        <v>36334.285714285717</v>
      </c>
      <c r="O5" s="17"/>
      <c r="P5" s="17"/>
      <c r="R5" s="32"/>
    </row>
    <row r="6" spans="1:18">
      <c r="A6" s="16" t="s">
        <v>491</v>
      </c>
      <c r="B6" s="17" t="s">
        <v>211</v>
      </c>
      <c r="C6" s="17">
        <f>'lokale energieproductie'!O92+'lokale energieproductie'!O61</f>
        <v>18167.142857142859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-36334.285714285717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2115.1329999999998</v>
      </c>
      <c r="C8" s="21">
        <f>C5+C6</f>
        <v>18167.142857142859</v>
      </c>
      <c r="D8" s="21">
        <f>MAX((D5+D6),0)</f>
        <v>583.74734000000001</v>
      </c>
      <c r="E8" s="21">
        <f>MAX((E5+E6),0)</f>
        <v>54.541158898207293</v>
      </c>
      <c r="F8" s="21">
        <f>MAX((F5+F6),0)</f>
        <v>7731.213922512613</v>
      </c>
      <c r="G8" s="21"/>
      <c r="H8" s="21"/>
      <c r="I8" s="21"/>
      <c r="J8" s="21">
        <f>MAX((J5+J6),0)</f>
        <v>304.50134332766288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0.17266452321481524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365.20843098092178</v>
      </c>
      <c r="C12" s="23">
        <f ca="1">C8*C10</f>
        <v>0</v>
      </c>
      <c r="D12" s="23">
        <f>D8*D10</f>
        <v>117.91696268000001</v>
      </c>
      <c r="E12" s="23">
        <f>E8*E10</f>
        <v>12.380843069893055</v>
      </c>
      <c r="F12" s="23">
        <f>F8*F10</f>
        <v>2064.234117310868</v>
      </c>
      <c r="G12" s="23"/>
      <c r="H12" s="23"/>
      <c r="I12" s="23"/>
      <c r="J12" s="23">
        <f>J8*J10</f>
        <v>107.79347553799265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0.29824776332684022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347.29675242730337</v>
      </c>
      <c r="C26" s="247">
        <f>B26*'GWP N2O_CH4'!B5</f>
        <v>7293.2318009733708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129.61879347189594</v>
      </c>
      <c r="C27" s="247">
        <f>B27*'GWP N2O_CH4'!B5</f>
        <v>2721.9946629098149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5.1031774948528392</v>
      </c>
      <c r="C28" s="247">
        <f>B28*'GWP N2O_CH4'!B4</f>
        <v>1581.9850234043802</v>
      </c>
      <c r="D28" s="50"/>
    </row>
    <row r="29" spans="1:4">
      <c r="A29" s="41" t="s">
        <v>277</v>
      </c>
      <c r="B29" s="247">
        <f>B34*'ha_N2O bodem landbouw'!B4</f>
        <v>37.919095788727311</v>
      </c>
      <c r="C29" s="247">
        <f>B29*'GWP N2O_CH4'!B4</f>
        <v>11754.919694505466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8.5338571360699354E-3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1.6766837874410422E-4</v>
      </c>
      <c r="C5" s="463" t="s">
        <v>211</v>
      </c>
      <c r="D5" s="448">
        <f>SUM(D6:D11)</f>
        <v>3.8040405951301906E-4</v>
      </c>
      <c r="E5" s="448">
        <f>SUM(E6:E11)</f>
        <v>1.4750288607708044E-3</v>
      </c>
      <c r="F5" s="461" t="s">
        <v>211</v>
      </c>
      <c r="G5" s="448">
        <f>SUM(G6:G11)</f>
        <v>0.49403576112172615</v>
      </c>
      <c r="H5" s="448">
        <f>SUM(H6:H11)</f>
        <v>0.10226707909482874</v>
      </c>
      <c r="I5" s="463" t="s">
        <v>211</v>
      </c>
      <c r="J5" s="463" t="s">
        <v>211</v>
      </c>
      <c r="K5" s="463" t="s">
        <v>211</v>
      </c>
      <c r="L5" s="463" t="s">
        <v>211</v>
      </c>
      <c r="M5" s="448">
        <f>SUM(M6:M11)</f>
        <v>1.862884374996561E-2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1.322420124277176E-4</v>
      </c>
      <c r="C6" s="449"/>
      <c r="D6" s="892">
        <f>vkm_2011_GW_PW*SUMIFS(TableVerdeelsleutelVkm[CNG],TableVerdeelsleutelVkm[Voertuigtype],"Lichte voertuigen")*SUMIFS(TableECFTransport[EnergieConsumptieFactor (PJ per km)],TableECFTransport[Index],CONCATENATE($A6,"_CNG_CNG"))</f>
        <v>2.6276719511564284E-4</v>
      </c>
      <c r="E6" s="892">
        <f>vkm_2011_GW_PW*SUMIFS(TableVerdeelsleutelVkm[LPG],TableVerdeelsleutelVkm[Voertuigtype],"Lichte voertuigen")*SUMIFS(TableECFTransport[EnergieConsumptieFactor (PJ per km)],TableECFTransport[Index],CONCATENATE($A6,"_LPG_LPG"))</f>
        <v>1.0340831077582271E-3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0.24586948156449506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7.1138984894102766E-2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9.8782765447478736E-3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0.1222939221591697</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3.9506160459807724E-5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3.8532943682321424E-3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3.0556960303052833E-5</v>
      </c>
      <c r="C8" s="449"/>
      <c r="D8" s="451">
        <f>vkm_2011_NGW_PW*SUMIFS(TableVerdeelsleutelVkm[CNG],TableVerdeelsleutelVkm[Voertuigtype],"Lichte voertuigen")*SUMIFS(TableECFTransport[EnergieConsumptieFactor (PJ per km)],TableECFTransport[Index],CONCATENATE($A8,"_CNG_CNG"))</f>
        <v>1.0750803937620166E-4</v>
      </c>
      <c r="E8" s="451">
        <f>vkm_2011_NGW_PW*SUMIFS(TableVerdeelsleutelVkm[LPG],TableVerdeelsleutelVkm[Voertuigtype],"Lichte voertuigen")*SUMIFS(TableECFTransport[EnergieConsumptieFactor (PJ per km)],TableECFTransport[Index],CONCATENATE($A8,"_LPG_LPG"))</f>
        <v>3.9127672935525726E-4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8.6874433106185006E-2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2.8222434612068147E-2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3.5829205801144472E-3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1.7048191702364362E-2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5.2083671184858178E-6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5.3715346972674075E-4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4.8694060133337767E-6</v>
      </c>
      <c r="C10" s="449"/>
      <c r="D10" s="451">
        <f>vkm_2011_SW_PW*SUMIFS(TableVerdeelsleutelVkm[CNG],TableVerdeelsleutelVkm[Voertuigtype],"Lichte voertuigen")*SUMIFS(TableECFTransport[EnergieConsumptieFactor (PJ per km)],TableECFTransport[Index],CONCATENATE($A10,"_CNG_CNG"))</f>
        <v>1.0128825021174591E-5</v>
      </c>
      <c r="E10" s="451">
        <f>vkm_2011_SW_PW*SUMIFS(TableVerdeelsleutelVkm[LPG],TableVerdeelsleutelVkm[Voertuigtype],"Lichte voertuigen")*SUMIFS(TableECFTransport[EnergieConsumptieFactor (PJ per km)],TableECFTransport[Index],CONCATENATE($A10,"_LPG_LPG"))</f>
        <v>4.9669023657319981E-5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1.0578931757967952E-2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2.8569873573123456E-3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4.1891371957723881E-4</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1.1370800831544004E-2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3.9577037671875467E-6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3.5828506756716607E-4</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46.57454965114006</v>
      </c>
      <c r="C14" s="21"/>
      <c r="D14" s="21">
        <f t="shared" ref="D14:M14" si="0">((D5)*10^9/3600)+D12</f>
        <v>105.66779430917195</v>
      </c>
      <c r="E14" s="21">
        <f t="shared" si="0"/>
        <v>409.73023910300122</v>
      </c>
      <c r="F14" s="21"/>
      <c r="G14" s="21">
        <f t="shared" si="0"/>
        <v>137232.15586714615</v>
      </c>
      <c r="H14" s="21">
        <f t="shared" si="0"/>
        <v>28407.521970785761</v>
      </c>
      <c r="I14" s="21"/>
      <c r="J14" s="21"/>
      <c r="K14" s="21"/>
      <c r="L14" s="21"/>
      <c r="M14" s="21">
        <f t="shared" si="0"/>
        <v>5174.678819434891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0.17266452321481524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8.0417724094588383</v>
      </c>
      <c r="C18" s="23"/>
      <c r="D18" s="23">
        <f t="shared" ref="D18:M18" si="1">D14*D16</f>
        <v>21.344894450452735</v>
      </c>
      <c r="E18" s="23">
        <f t="shared" si="1"/>
        <v>93.008764276381285</v>
      </c>
      <c r="F18" s="23"/>
      <c r="G18" s="23">
        <f t="shared" si="1"/>
        <v>36640.985616528022</v>
      </c>
      <c r="H18" s="23">
        <f t="shared" si="1"/>
        <v>7073.4729707256547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1.844729743263478E-2</v>
      </c>
      <c r="H50" s="321">
        <f t="shared" si="2"/>
        <v>0</v>
      </c>
      <c r="I50" s="321">
        <f t="shared" si="2"/>
        <v>0</v>
      </c>
      <c r="J50" s="321">
        <f t="shared" si="2"/>
        <v>0</v>
      </c>
      <c r="K50" s="321">
        <f t="shared" si="2"/>
        <v>0</v>
      </c>
      <c r="L50" s="321">
        <f t="shared" si="2"/>
        <v>0</v>
      </c>
      <c r="M50" s="321">
        <f t="shared" si="2"/>
        <v>5.721938963969401E-4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1.844729743263478E-2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5.721938963969401E-4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5124.2492868429936</v>
      </c>
      <c r="H54" s="21">
        <f t="shared" si="3"/>
        <v>0</v>
      </c>
      <c r="I54" s="21">
        <f t="shared" si="3"/>
        <v>0</v>
      </c>
      <c r="J54" s="21">
        <f t="shared" si="3"/>
        <v>0</v>
      </c>
      <c r="K54" s="21">
        <f t="shared" si="3"/>
        <v>0</v>
      </c>
      <c r="L54" s="21">
        <f t="shared" si="3"/>
        <v>0</v>
      </c>
      <c r="M54" s="21">
        <f t="shared" si="3"/>
        <v>158.94274899915004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0.17266452321481524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1368.1745595870793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54037.201999999997</v>
      </c>
      <c r="D10" s="1012">
        <f ca="1">tertiair!C16</f>
        <v>0</v>
      </c>
      <c r="E10" s="1012">
        <f ca="1">tertiair!D16</f>
        <v>63064.050698000014</v>
      </c>
      <c r="F10" s="1012">
        <f>tertiair!E16</f>
        <v>1032.0503403044702</v>
      </c>
      <c r="G10" s="1012">
        <f ca="1">tertiair!F16</f>
        <v>12747.948374938434</v>
      </c>
      <c r="H10" s="1012">
        <f>tertiair!G16</f>
        <v>0</v>
      </c>
      <c r="I10" s="1012">
        <f>tertiair!H16</f>
        <v>0</v>
      </c>
      <c r="J10" s="1012">
        <f>tertiair!I16</f>
        <v>0</v>
      </c>
      <c r="K10" s="1012">
        <f>tertiair!J16</f>
        <v>0</v>
      </c>
      <c r="L10" s="1012">
        <f>tertiair!K16</f>
        <v>0</v>
      </c>
      <c r="M10" s="1012">
        <f ca="1">tertiair!L16</f>
        <v>0</v>
      </c>
      <c r="N10" s="1012">
        <f>tertiair!M16</f>
        <v>0</v>
      </c>
      <c r="O10" s="1012">
        <f ca="1">tertiair!N16</f>
        <v>5116.5752972172722</v>
      </c>
      <c r="P10" s="1012">
        <f>tertiair!O16</f>
        <v>1.5633333333333335</v>
      </c>
      <c r="Q10" s="1013">
        <f>tertiair!P16</f>
        <v>57.2</v>
      </c>
      <c r="R10" s="700">
        <f ca="1">SUM(C10:Q10)</f>
        <v>136056.59004379352</v>
      </c>
      <c r="S10" s="67"/>
    </row>
    <row r="11" spans="1:19" s="473" customFormat="1">
      <c r="A11" s="809" t="s">
        <v>225</v>
      </c>
      <c r="B11" s="814"/>
      <c r="C11" s="1012">
        <f>huishoudens!B8</f>
        <v>49820.494722968026</v>
      </c>
      <c r="D11" s="1012">
        <f>huishoudens!C8</f>
        <v>0</v>
      </c>
      <c r="E11" s="1012">
        <f>huishoudens!D8</f>
        <v>101127.78592400001</v>
      </c>
      <c r="F11" s="1012">
        <f>huishoudens!E8</f>
        <v>9932.7926078872079</v>
      </c>
      <c r="G11" s="1012">
        <f>huishoudens!F8</f>
        <v>83084.640504643889</v>
      </c>
      <c r="H11" s="1012">
        <f>huishoudens!G8</f>
        <v>0</v>
      </c>
      <c r="I11" s="1012">
        <f>huishoudens!H8</f>
        <v>0</v>
      </c>
      <c r="J11" s="1012">
        <f>huishoudens!I8</f>
        <v>0</v>
      </c>
      <c r="K11" s="1012">
        <f>huishoudens!J8</f>
        <v>4265.5411406630737</v>
      </c>
      <c r="L11" s="1012">
        <f>huishoudens!K8</f>
        <v>0</v>
      </c>
      <c r="M11" s="1012">
        <f>huishoudens!L8</f>
        <v>0</v>
      </c>
      <c r="N11" s="1012">
        <f>huishoudens!M8</f>
        <v>0</v>
      </c>
      <c r="O11" s="1012">
        <f>huishoudens!N8</f>
        <v>26021.095870093133</v>
      </c>
      <c r="P11" s="1012">
        <f>huishoudens!O8</f>
        <v>387.70666666666671</v>
      </c>
      <c r="Q11" s="1013">
        <f>huishoudens!P8</f>
        <v>629.20000000000005</v>
      </c>
      <c r="R11" s="700">
        <f>SUM(C11:Q11)</f>
        <v>275269.25743692205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21750.995000000003</v>
      </c>
      <c r="D13" s="1012">
        <f>industrie!C18</f>
        <v>0</v>
      </c>
      <c r="E13" s="1012">
        <f>industrie!D18</f>
        <v>16879.008739999997</v>
      </c>
      <c r="F13" s="1012">
        <f>industrie!E18</f>
        <v>4081.9605509317457</v>
      </c>
      <c r="G13" s="1012">
        <f>industrie!F18</f>
        <v>15486.0926110741</v>
      </c>
      <c r="H13" s="1012">
        <f>industrie!G18</f>
        <v>0</v>
      </c>
      <c r="I13" s="1012">
        <f>industrie!H18</f>
        <v>0</v>
      </c>
      <c r="J13" s="1012">
        <f>industrie!I18</f>
        <v>0</v>
      </c>
      <c r="K13" s="1012">
        <f>industrie!J18</f>
        <v>33.527708414395143</v>
      </c>
      <c r="L13" s="1012">
        <f>industrie!K18</f>
        <v>0</v>
      </c>
      <c r="M13" s="1012">
        <f>industrie!L18</f>
        <v>0</v>
      </c>
      <c r="N13" s="1012">
        <f>industrie!M18</f>
        <v>0</v>
      </c>
      <c r="O13" s="1012">
        <f>industrie!N18</f>
        <v>5339.0946079936975</v>
      </c>
      <c r="P13" s="1012">
        <f>industrie!O18</f>
        <v>0</v>
      </c>
      <c r="Q13" s="1013">
        <f>industrie!P18</f>
        <v>0</v>
      </c>
      <c r="R13" s="700">
        <f>SUM(C13:Q13)</f>
        <v>63570.679218413941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125608.69172296801</v>
      </c>
      <c r="D16" s="732">
        <f t="shared" ref="D16:R16" ca="1" si="0">SUM(D9:D15)</f>
        <v>0</v>
      </c>
      <c r="E16" s="732">
        <f t="shared" ca="1" si="0"/>
        <v>181070.84536200002</v>
      </c>
      <c r="F16" s="732">
        <f t="shared" si="0"/>
        <v>15046.803499123424</v>
      </c>
      <c r="G16" s="732">
        <f t="shared" ca="1" si="0"/>
        <v>111318.68149065643</v>
      </c>
      <c r="H16" s="732">
        <f t="shared" si="0"/>
        <v>0</v>
      </c>
      <c r="I16" s="732">
        <f t="shared" si="0"/>
        <v>0</v>
      </c>
      <c r="J16" s="732">
        <f t="shared" si="0"/>
        <v>0</v>
      </c>
      <c r="K16" s="732">
        <f t="shared" si="0"/>
        <v>4299.0688490774692</v>
      </c>
      <c r="L16" s="732">
        <f t="shared" si="0"/>
        <v>0</v>
      </c>
      <c r="M16" s="732">
        <f t="shared" ca="1" si="0"/>
        <v>0</v>
      </c>
      <c r="N16" s="732">
        <f t="shared" si="0"/>
        <v>0</v>
      </c>
      <c r="O16" s="732">
        <f t="shared" ca="1" si="0"/>
        <v>36476.765775304106</v>
      </c>
      <c r="P16" s="732">
        <f t="shared" si="0"/>
        <v>389.27000000000004</v>
      </c>
      <c r="Q16" s="732">
        <f t="shared" si="0"/>
        <v>686.40000000000009</v>
      </c>
      <c r="R16" s="732">
        <f t="shared" ca="1" si="0"/>
        <v>474896.52669912955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5124.2492868429936</v>
      </c>
      <c r="I19" s="1012">
        <f>transport!H54</f>
        <v>0</v>
      </c>
      <c r="J19" s="1012">
        <f>transport!I54</f>
        <v>0</v>
      </c>
      <c r="K19" s="1012">
        <f>transport!J54</f>
        <v>0</v>
      </c>
      <c r="L19" s="1012">
        <f>transport!K54</f>
        <v>0</v>
      </c>
      <c r="M19" s="1012">
        <f>transport!L54</f>
        <v>0</v>
      </c>
      <c r="N19" s="1012">
        <f>transport!M54</f>
        <v>158.94274899915004</v>
      </c>
      <c r="O19" s="1012">
        <f>transport!N54</f>
        <v>0</v>
      </c>
      <c r="P19" s="1012">
        <f>transport!O54</f>
        <v>0</v>
      </c>
      <c r="Q19" s="1013">
        <f>transport!P54</f>
        <v>0</v>
      </c>
      <c r="R19" s="700">
        <f>SUM(C19:Q19)</f>
        <v>5283.1920358421439</v>
      </c>
      <c r="S19" s="67"/>
    </row>
    <row r="20" spans="1:19" s="473" customFormat="1">
      <c r="A20" s="809" t="s">
        <v>307</v>
      </c>
      <c r="B20" s="814"/>
      <c r="C20" s="1012">
        <f>transport!B14</f>
        <v>46.57454965114006</v>
      </c>
      <c r="D20" s="1012">
        <f>transport!C14</f>
        <v>0</v>
      </c>
      <c r="E20" s="1012">
        <f>transport!D14</f>
        <v>105.66779430917195</v>
      </c>
      <c r="F20" s="1012">
        <f>transport!E14</f>
        <v>409.73023910300122</v>
      </c>
      <c r="G20" s="1012">
        <f>transport!F14</f>
        <v>0</v>
      </c>
      <c r="H20" s="1012">
        <f>transport!G14</f>
        <v>137232.15586714615</v>
      </c>
      <c r="I20" s="1012">
        <f>transport!H14</f>
        <v>28407.521970785761</v>
      </c>
      <c r="J20" s="1012">
        <f>transport!I14</f>
        <v>0</v>
      </c>
      <c r="K20" s="1012">
        <f>transport!J14</f>
        <v>0</v>
      </c>
      <c r="L20" s="1012">
        <f>transport!K14</f>
        <v>0</v>
      </c>
      <c r="M20" s="1012">
        <f>transport!L14</f>
        <v>0</v>
      </c>
      <c r="N20" s="1012">
        <f>transport!M14</f>
        <v>5174.678819434891</v>
      </c>
      <c r="O20" s="1012">
        <f>transport!N14</f>
        <v>0</v>
      </c>
      <c r="P20" s="1012">
        <f>transport!O14</f>
        <v>0</v>
      </c>
      <c r="Q20" s="1013">
        <f>transport!P14</f>
        <v>0</v>
      </c>
      <c r="R20" s="700">
        <f>SUM(C20:Q20)</f>
        <v>171376.32924043015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46.57454965114006</v>
      </c>
      <c r="D22" s="812">
        <f t="shared" ref="D22:R22" si="1">SUM(D18:D21)</f>
        <v>0</v>
      </c>
      <c r="E22" s="812">
        <f t="shared" si="1"/>
        <v>105.66779430917195</v>
      </c>
      <c r="F22" s="812">
        <f t="shared" si="1"/>
        <v>409.73023910300122</v>
      </c>
      <c r="G22" s="812">
        <f t="shared" si="1"/>
        <v>0</v>
      </c>
      <c r="H22" s="812">
        <f t="shared" si="1"/>
        <v>142356.40515398915</v>
      </c>
      <c r="I22" s="812">
        <f t="shared" si="1"/>
        <v>28407.521970785761</v>
      </c>
      <c r="J22" s="812">
        <f t="shared" si="1"/>
        <v>0</v>
      </c>
      <c r="K22" s="812">
        <f t="shared" si="1"/>
        <v>0</v>
      </c>
      <c r="L22" s="812">
        <f t="shared" si="1"/>
        <v>0</v>
      </c>
      <c r="M22" s="812">
        <f t="shared" si="1"/>
        <v>0</v>
      </c>
      <c r="N22" s="812">
        <f t="shared" si="1"/>
        <v>5333.6215684340414</v>
      </c>
      <c r="O22" s="812">
        <f t="shared" si="1"/>
        <v>0</v>
      </c>
      <c r="P22" s="812">
        <f t="shared" si="1"/>
        <v>0</v>
      </c>
      <c r="Q22" s="812">
        <f t="shared" si="1"/>
        <v>0</v>
      </c>
      <c r="R22" s="812">
        <f t="shared" si="1"/>
        <v>176659.52127627228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2115.1329999999998</v>
      </c>
      <c r="D24" s="1012">
        <f>+landbouw!C8</f>
        <v>18167.142857142859</v>
      </c>
      <c r="E24" s="1012">
        <f>+landbouw!D8</f>
        <v>583.74734000000001</v>
      </c>
      <c r="F24" s="1012">
        <f>+landbouw!E8</f>
        <v>54.541158898207293</v>
      </c>
      <c r="G24" s="1012">
        <f>+landbouw!F8</f>
        <v>7731.213922512613</v>
      </c>
      <c r="H24" s="1012">
        <f>+landbouw!G8</f>
        <v>0</v>
      </c>
      <c r="I24" s="1012">
        <f>+landbouw!H8</f>
        <v>0</v>
      </c>
      <c r="J24" s="1012">
        <f>+landbouw!I8</f>
        <v>0</v>
      </c>
      <c r="K24" s="1012">
        <f>+landbouw!J8</f>
        <v>304.50134332766288</v>
      </c>
      <c r="L24" s="1012">
        <f>+landbouw!K8</f>
        <v>0</v>
      </c>
      <c r="M24" s="1012">
        <f>+landbouw!L8</f>
        <v>0</v>
      </c>
      <c r="N24" s="1012">
        <f>+landbouw!M8</f>
        <v>0</v>
      </c>
      <c r="O24" s="1012">
        <f>+landbouw!N8</f>
        <v>0</v>
      </c>
      <c r="P24" s="1012">
        <f>+landbouw!O8</f>
        <v>0</v>
      </c>
      <c r="Q24" s="1013">
        <f>+landbouw!P8</f>
        <v>0</v>
      </c>
      <c r="R24" s="700">
        <f>SUM(C24:Q24)</f>
        <v>28956.279621881338</v>
      </c>
      <c r="S24" s="67"/>
    </row>
    <row r="25" spans="1:19" s="473" customFormat="1" ht="15" thickBot="1">
      <c r="A25" s="831" t="s">
        <v>848</v>
      </c>
      <c r="B25" s="1015"/>
      <c r="C25" s="1016">
        <f>IF(Onbekend_ele_kWh="---",0,Onbekend_ele_kWh)/1000+IF(REST_rest_ele_kWh="---",0,REST_rest_ele_kWh)/1000</f>
        <v>963.95100000000002</v>
      </c>
      <c r="D25" s="1016"/>
      <c r="E25" s="1016">
        <f>IF(onbekend_gas_kWh="---",0,onbekend_gas_kWh)/1000+IF(REST_rest_gas_kWh="---",0,REST_rest_gas_kWh)/1000</f>
        <v>3835.3939999999998</v>
      </c>
      <c r="F25" s="1016"/>
      <c r="G25" s="1016"/>
      <c r="H25" s="1016"/>
      <c r="I25" s="1016"/>
      <c r="J25" s="1016"/>
      <c r="K25" s="1016"/>
      <c r="L25" s="1016"/>
      <c r="M25" s="1016"/>
      <c r="N25" s="1016"/>
      <c r="O25" s="1016"/>
      <c r="P25" s="1016"/>
      <c r="Q25" s="1017"/>
      <c r="R25" s="700">
        <f>SUM(C25:Q25)</f>
        <v>4799.3449999999993</v>
      </c>
      <c r="S25" s="67"/>
    </row>
    <row r="26" spans="1:19" s="473" customFormat="1" ht="15.75" thickBot="1">
      <c r="A26" s="705" t="s">
        <v>849</v>
      </c>
      <c r="B26" s="817"/>
      <c r="C26" s="812">
        <f>SUM(C24:C25)</f>
        <v>3079.0839999999998</v>
      </c>
      <c r="D26" s="812">
        <f t="shared" ref="D26:R26" si="2">SUM(D24:D25)</f>
        <v>18167.142857142859</v>
      </c>
      <c r="E26" s="812">
        <f t="shared" si="2"/>
        <v>4419.1413400000001</v>
      </c>
      <c r="F26" s="812">
        <f t="shared" si="2"/>
        <v>54.541158898207293</v>
      </c>
      <c r="G26" s="812">
        <f t="shared" si="2"/>
        <v>7731.213922512613</v>
      </c>
      <c r="H26" s="812">
        <f t="shared" si="2"/>
        <v>0</v>
      </c>
      <c r="I26" s="812">
        <f t="shared" si="2"/>
        <v>0</v>
      </c>
      <c r="J26" s="812">
        <f t="shared" si="2"/>
        <v>0</v>
      </c>
      <c r="K26" s="812">
        <f t="shared" si="2"/>
        <v>304.50134332766288</v>
      </c>
      <c r="L26" s="812">
        <f t="shared" si="2"/>
        <v>0</v>
      </c>
      <c r="M26" s="812">
        <f t="shared" si="2"/>
        <v>0</v>
      </c>
      <c r="N26" s="812">
        <f t="shared" si="2"/>
        <v>0</v>
      </c>
      <c r="O26" s="812">
        <f t="shared" si="2"/>
        <v>0</v>
      </c>
      <c r="P26" s="812">
        <f t="shared" si="2"/>
        <v>0</v>
      </c>
      <c r="Q26" s="812">
        <f t="shared" si="2"/>
        <v>0</v>
      </c>
      <c r="R26" s="812">
        <f t="shared" si="2"/>
        <v>33755.624621881339</v>
      </c>
      <c r="S26" s="67"/>
    </row>
    <row r="27" spans="1:19" s="473" customFormat="1" ht="17.25" thickTop="1" thickBot="1">
      <c r="A27" s="706" t="s">
        <v>116</v>
      </c>
      <c r="B27" s="805"/>
      <c r="C27" s="707">
        <f ca="1">C22+C16+C26</f>
        <v>128734.35027261915</v>
      </c>
      <c r="D27" s="707">
        <f t="shared" ref="D27:R27" ca="1" si="3">D22+D16+D26</f>
        <v>18167.142857142859</v>
      </c>
      <c r="E27" s="707">
        <f t="shared" ca="1" si="3"/>
        <v>185595.6544963092</v>
      </c>
      <c r="F27" s="707">
        <f t="shared" si="3"/>
        <v>15511.074897124632</v>
      </c>
      <c r="G27" s="707">
        <f t="shared" ca="1" si="3"/>
        <v>119049.89541316904</v>
      </c>
      <c r="H27" s="707">
        <f t="shared" si="3"/>
        <v>142356.40515398915</v>
      </c>
      <c r="I27" s="707">
        <f t="shared" si="3"/>
        <v>28407.521970785761</v>
      </c>
      <c r="J27" s="707">
        <f t="shared" si="3"/>
        <v>0</v>
      </c>
      <c r="K27" s="707">
        <f t="shared" si="3"/>
        <v>4603.5701924051318</v>
      </c>
      <c r="L27" s="707">
        <f t="shared" si="3"/>
        <v>0</v>
      </c>
      <c r="M27" s="707">
        <f t="shared" ca="1" si="3"/>
        <v>0</v>
      </c>
      <c r="N27" s="707">
        <f t="shared" si="3"/>
        <v>5333.6215684340414</v>
      </c>
      <c r="O27" s="707">
        <f t="shared" ca="1" si="3"/>
        <v>36476.765775304106</v>
      </c>
      <c r="P27" s="707">
        <f t="shared" si="3"/>
        <v>389.27000000000004</v>
      </c>
      <c r="Q27" s="707">
        <f t="shared" si="3"/>
        <v>686.40000000000009</v>
      </c>
      <c r="R27" s="707">
        <f t="shared" ca="1" si="3"/>
        <v>685311.67259728315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9330.3077191926604</v>
      </c>
      <c r="D40" s="1012">
        <f ca="1">tertiair!C20</f>
        <v>0</v>
      </c>
      <c r="E40" s="1012">
        <f ca="1">tertiair!D20</f>
        <v>12738.938240996004</v>
      </c>
      <c r="F40" s="1012">
        <f>tertiair!E20</f>
        <v>234.27542724911473</v>
      </c>
      <c r="G40" s="1012">
        <f ca="1">tertiair!F20</f>
        <v>3403.702216108562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25707.223603546343</v>
      </c>
    </row>
    <row r="41" spans="1:18">
      <c r="A41" s="822" t="s">
        <v>225</v>
      </c>
      <c r="B41" s="829"/>
      <c r="C41" s="1012">
        <f ca="1">huishoudens!B12</f>
        <v>8602.2319676674924</v>
      </c>
      <c r="D41" s="1012">
        <f ca="1">huishoudens!C12</f>
        <v>0</v>
      </c>
      <c r="E41" s="1012">
        <f>huishoudens!D12</f>
        <v>20427.812756648003</v>
      </c>
      <c r="F41" s="1012">
        <f>huishoudens!E12</f>
        <v>2254.7439219903963</v>
      </c>
      <c r="G41" s="1012">
        <f>huishoudens!F12</f>
        <v>22183.599014739921</v>
      </c>
      <c r="H41" s="1012">
        <f>huishoudens!G12</f>
        <v>0</v>
      </c>
      <c r="I41" s="1012">
        <f>huishoudens!H12</f>
        <v>0</v>
      </c>
      <c r="J41" s="1012">
        <f>huishoudens!I12</f>
        <v>0</v>
      </c>
      <c r="K41" s="1012">
        <f>huishoudens!J12</f>
        <v>1510.0015637947281</v>
      </c>
      <c r="L41" s="1012">
        <f>huishoudens!K12</f>
        <v>0</v>
      </c>
      <c r="M41" s="1012">
        <f>huishoudens!L12</f>
        <v>0</v>
      </c>
      <c r="N41" s="1012">
        <f>huishoudens!M12</f>
        <v>0</v>
      </c>
      <c r="O41" s="1012">
        <f>huishoudens!N12</f>
        <v>0</v>
      </c>
      <c r="P41" s="1012">
        <f>huishoudens!O12</f>
        <v>0</v>
      </c>
      <c r="Q41" s="774">
        <f>huishoudens!P12</f>
        <v>0</v>
      </c>
      <c r="R41" s="850">
        <f t="shared" ca="1" si="4"/>
        <v>54978.389224840539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3755.6251811228308</v>
      </c>
      <c r="D43" s="1012">
        <f ca="1">industrie!C22</f>
        <v>0</v>
      </c>
      <c r="E43" s="1012">
        <f>industrie!D22</f>
        <v>3409.5597654799999</v>
      </c>
      <c r="F43" s="1012">
        <f>industrie!E22</f>
        <v>926.6050450615063</v>
      </c>
      <c r="G43" s="1012">
        <f>industrie!F22</f>
        <v>4134.7867271567848</v>
      </c>
      <c r="H43" s="1012">
        <f>industrie!G22</f>
        <v>0</v>
      </c>
      <c r="I43" s="1012">
        <f>industrie!H22</f>
        <v>0</v>
      </c>
      <c r="J43" s="1012">
        <f>industrie!I22</f>
        <v>0</v>
      </c>
      <c r="K43" s="1012">
        <f>industrie!J22</f>
        <v>11.868808778695881</v>
      </c>
      <c r="L43" s="1012">
        <f>industrie!K22</f>
        <v>0</v>
      </c>
      <c r="M43" s="1012">
        <f>industrie!L22</f>
        <v>0</v>
      </c>
      <c r="N43" s="1012">
        <f>industrie!M22</f>
        <v>0</v>
      </c>
      <c r="O43" s="1012">
        <f>industrie!N22</f>
        <v>0</v>
      </c>
      <c r="P43" s="1012">
        <f>industrie!O22</f>
        <v>0</v>
      </c>
      <c r="Q43" s="774">
        <f>industrie!P22</f>
        <v>0</v>
      </c>
      <c r="R43" s="849">
        <f t="shared" ca="1" si="4"/>
        <v>12238.445527599817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21688.164867982985</v>
      </c>
      <c r="D46" s="732">
        <f t="shared" ref="D46:Q46" ca="1" si="5">SUM(D39:D45)</f>
        <v>0</v>
      </c>
      <c r="E46" s="732">
        <f t="shared" ca="1" si="5"/>
        <v>36576.310763124005</v>
      </c>
      <c r="F46" s="732">
        <f t="shared" si="5"/>
        <v>3415.6243943010172</v>
      </c>
      <c r="G46" s="732">
        <f t="shared" ca="1" si="5"/>
        <v>29722.087958005268</v>
      </c>
      <c r="H46" s="732">
        <f t="shared" si="5"/>
        <v>0</v>
      </c>
      <c r="I46" s="732">
        <f t="shared" si="5"/>
        <v>0</v>
      </c>
      <c r="J46" s="732">
        <f t="shared" si="5"/>
        <v>0</v>
      </c>
      <c r="K46" s="732">
        <f t="shared" si="5"/>
        <v>1521.870372573424</v>
      </c>
      <c r="L46" s="732">
        <f t="shared" si="5"/>
        <v>0</v>
      </c>
      <c r="M46" s="732">
        <f t="shared" ca="1" si="5"/>
        <v>0</v>
      </c>
      <c r="N46" s="732">
        <f t="shared" si="5"/>
        <v>0</v>
      </c>
      <c r="O46" s="732">
        <f t="shared" ca="1" si="5"/>
        <v>0</v>
      </c>
      <c r="P46" s="732">
        <f t="shared" si="5"/>
        <v>0</v>
      </c>
      <c r="Q46" s="732">
        <f t="shared" si="5"/>
        <v>0</v>
      </c>
      <c r="R46" s="732">
        <f ca="1">SUM(R39:R45)</f>
        <v>92924.058355986708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1368.1745595870793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1368.1745595870793</v>
      </c>
    </row>
    <row r="50" spans="1:18">
      <c r="A50" s="825" t="s">
        <v>307</v>
      </c>
      <c r="B50" s="835"/>
      <c r="C50" s="703">
        <f ca="1">transport!B18</f>
        <v>8.0417724094588383</v>
      </c>
      <c r="D50" s="703">
        <f>transport!C18</f>
        <v>0</v>
      </c>
      <c r="E50" s="703">
        <f>transport!D18</f>
        <v>21.344894450452735</v>
      </c>
      <c r="F50" s="703">
        <f>transport!E18</f>
        <v>93.008764276381285</v>
      </c>
      <c r="G50" s="703">
        <f>transport!F18</f>
        <v>0</v>
      </c>
      <c r="H50" s="703">
        <f>transport!G18</f>
        <v>36640.985616528022</v>
      </c>
      <c r="I50" s="703">
        <f>transport!H18</f>
        <v>7073.4729707256547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43836.854018389968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8.0417724094588383</v>
      </c>
      <c r="D52" s="732">
        <f t="shared" ref="D52:Q52" ca="1" si="6">SUM(D48:D51)</f>
        <v>0</v>
      </c>
      <c r="E52" s="732">
        <f t="shared" si="6"/>
        <v>21.344894450452735</v>
      </c>
      <c r="F52" s="732">
        <f t="shared" si="6"/>
        <v>93.008764276381285</v>
      </c>
      <c r="G52" s="732">
        <f t="shared" si="6"/>
        <v>0</v>
      </c>
      <c r="H52" s="732">
        <f t="shared" si="6"/>
        <v>38009.160176115103</v>
      </c>
      <c r="I52" s="732">
        <f t="shared" si="6"/>
        <v>7073.4729707256547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45205.028577977049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365.20843098092178</v>
      </c>
      <c r="D54" s="703">
        <f ca="1">+landbouw!C12</f>
        <v>0</v>
      </c>
      <c r="E54" s="703">
        <f>+landbouw!D12</f>
        <v>117.91696268000001</v>
      </c>
      <c r="F54" s="703">
        <f>+landbouw!E12</f>
        <v>12.380843069893055</v>
      </c>
      <c r="G54" s="703">
        <f>+landbouw!F12</f>
        <v>2064.234117310868</v>
      </c>
      <c r="H54" s="703">
        <f>+landbouw!G12</f>
        <v>0</v>
      </c>
      <c r="I54" s="703">
        <f>+landbouw!H12</f>
        <v>0</v>
      </c>
      <c r="J54" s="703">
        <f>+landbouw!I12</f>
        <v>0</v>
      </c>
      <c r="K54" s="703">
        <f>+landbouw!J12</f>
        <v>107.79347553799265</v>
      </c>
      <c r="L54" s="703">
        <f>+landbouw!K12</f>
        <v>0</v>
      </c>
      <c r="M54" s="703">
        <f>+landbouw!L12</f>
        <v>0</v>
      </c>
      <c r="N54" s="703">
        <f>+landbouw!M12</f>
        <v>0</v>
      </c>
      <c r="O54" s="703">
        <f>+landbouw!N12</f>
        <v>0</v>
      </c>
      <c r="P54" s="703">
        <f>+landbouw!O12</f>
        <v>0</v>
      </c>
      <c r="Q54" s="704">
        <f>+landbouw!P12</f>
        <v>0</v>
      </c>
      <c r="R54" s="731">
        <f ca="1">SUM(C54:Q54)</f>
        <v>2667.5338295796751</v>
      </c>
    </row>
    <row r="55" spans="1:18" ht="15" thickBot="1">
      <c r="A55" s="825" t="s">
        <v>848</v>
      </c>
      <c r="B55" s="835"/>
      <c r="C55" s="703">
        <f ca="1">C25*'EF ele_warmte'!B12</f>
        <v>166.44013981744436</v>
      </c>
      <c r="D55" s="703"/>
      <c r="E55" s="703">
        <f>E25*EF_CO2_aardgas</f>
        <v>774.74958800000002</v>
      </c>
      <c r="F55" s="703"/>
      <c r="G55" s="703"/>
      <c r="H55" s="703"/>
      <c r="I55" s="703"/>
      <c r="J55" s="703"/>
      <c r="K55" s="703"/>
      <c r="L55" s="703"/>
      <c r="M55" s="703"/>
      <c r="N55" s="703"/>
      <c r="O55" s="703"/>
      <c r="P55" s="703"/>
      <c r="Q55" s="704"/>
      <c r="R55" s="731">
        <f ca="1">SUM(C55:Q55)</f>
        <v>941.18972781744435</v>
      </c>
    </row>
    <row r="56" spans="1:18" ht="15.75" thickBot="1">
      <c r="A56" s="823" t="s">
        <v>849</v>
      </c>
      <c r="B56" s="836"/>
      <c r="C56" s="732">
        <f ca="1">SUM(C54:C55)</f>
        <v>531.64857079836611</v>
      </c>
      <c r="D56" s="732">
        <f t="shared" ref="D56:Q56" ca="1" si="7">SUM(D54:D55)</f>
        <v>0</v>
      </c>
      <c r="E56" s="732">
        <f t="shared" si="7"/>
        <v>892.66655068</v>
      </c>
      <c r="F56" s="732">
        <f t="shared" si="7"/>
        <v>12.380843069893055</v>
      </c>
      <c r="G56" s="732">
        <f t="shared" si="7"/>
        <v>2064.234117310868</v>
      </c>
      <c r="H56" s="732">
        <f t="shared" si="7"/>
        <v>0</v>
      </c>
      <c r="I56" s="732">
        <f t="shared" si="7"/>
        <v>0</v>
      </c>
      <c r="J56" s="732">
        <f t="shared" si="7"/>
        <v>0</v>
      </c>
      <c r="K56" s="732">
        <f t="shared" si="7"/>
        <v>107.79347553799265</v>
      </c>
      <c r="L56" s="732">
        <f t="shared" si="7"/>
        <v>0</v>
      </c>
      <c r="M56" s="732">
        <f t="shared" si="7"/>
        <v>0</v>
      </c>
      <c r="N56" s="732">
        <f t="shared" si="7"/>
        <v>0</v>
      </c>
      <c r="O56" s="732">
        <f t="shared" si="7"/>
        <v>0</v>
      </c>
      <c r="P56" s="732">
        <f t="shared" si="7"/>
        <v>0</v>
      </c>
      <c r="Q56" s="733">
        <f t="shared" si="7"/>
        <v>0</v>
      </c>
      <c r="R56" s="734">
        <f ca="1">SUM(R54:R55)</f>
        <v>3608.7235573971193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22227.85521119081</v>
      </c>
      <c r="D61" s="740">
        <f t="shared" ref="D61:Q61" ca="1" si="8">D46+D52+D56</f>
        <v>0</v>
      </c>
      <c r="E61" s="740">
        <f t="shared" ca="1" si="8"/>
        <v>37490.32220825446</v>
      </c>
      <c r="F61" s="740">
        <f t="shared" si="8"/>
        <v>3521.0140016472919</v>
      </c>
      <c r="G61" s="740">
        <f t="shared" ca="1" si="8"/>
        <v>31786.322075316137</v>
      </c>
      <c r="H61" s="740">
        <f t="shared" si="8"/>
        <v>38009.160176115103</v>
      </c>
      <c r="I61" s="740">
        <f t="shared" si="8"/>
        <v>7073.4729707256547</v>
      </c>
      <c r="J61" s="740">
        <f t="shared" si="8"/>
        <v>0</v>
      </c>
      <c r="K61" s="740">
        <f t="shared" si="8"/>
        <v>1629.6638481114167</v>
      </c>
      <c r="L61" s="740">
        <f t="shared" si="8"/>
        <v>0</v>
      </c>
      <c r="M61" s="740">
        <f t="shared" ca="1" si="8"/>
        <v>0</v>
      </c>
      <c r="N61" s="740">
        <f t="shared" si="8"/>
        <v>0</v>
      </c>
      <c r="O61" s="740">
        <f t="shared" ca="1" si="8"/>
        <v>0</v>
      </c>
      <c r="P61" s="740">
        <f t="shared" si="8"/>
        <v>0</v>
      </c>
      <c r="Q61" s="740">
        <f t="shared" si="8"/>
        <v>0</v>
      </c>
      <c r="R61" s="740">
        <f ca="1">R46+R52+R56</f>
        <v>141737.81049136087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0.17266452321481526</v>
      </c>
      <c r="D63" s="781">
        <f t="shared" ca="1" si="9"/>
        <v>0</v>
      </c>
      <c r="E63" s="1023">
        <f t="shared" ca="1" si="9"/>
        <v>0.20200000000000001</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19.408284023668639</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15419.411621216268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12717</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14961.176470588236</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28155.819905239936</v>
      </c>
      <c r="C78" s="755">
        <f>SUM(C72:C77)</f>
        <v>0</v>
      </c>
      <c r="D78" s="756">
        <f t="shared" ref="D78:H78" si="10">SUM(D76:D77)</f>
        <v>0</v>
      </c>
      <c r="E78" s="756">
        <f t="shared" si="10"/>
        <v>0</v>
      </c>
      <c r="F78" s="756">
        <f t="shared" si="10"/>
        <v>0</v>
      </c>
      <c r="G78" s="756">
        <f t="shared" si="10"/>
        <v>0</v>
      </c>
      <c r="H78" s="756">
        <f t="shared" si="10"/>
        <v>0</v>
      </c>
      <c r="I78" s="756">
        <f>SUM(I76:I77)</f>
        <v>0</v>
      </c>
      <c r="J78" s="756">
        <f>SUM(J76:J77)</f>
        <v>14961.176470588236</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18167.142857142859</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21373.109243697483</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18167.142857142859</v>
      </c>
      <c r="C90" s="755">
        <f>SUM(C87:C89)</f>
        <v>0</v>
      </c>
      <c r="D90" s="755">
        <f t="shared" ref="D90:H90" si="12">SUM(D87:D89)</f>
        <v>0</v>
      </c>
      <c r="E90" s="755">
        <f t="shared" si="12"/>
        <v>0</v>
      </c>
      <c r="F90" s="755">
        <f t="shared" si="12"/>
        <v>0</v>
      </c>
      <c r="G90" s="755">
        <f t="shared" si="12"/>
        <v>0</v>
      </c>
      <c r="H90" s="755">
        <f t="shared" si="12"/>
        <v>0</v>
      </c>
      <c r="I90" s="755">
        <f>SUM(I87:I89)</f>
        <v>0</v>
      </c>
      <c r="J90" s="755">
        <f>SUM(J87:J89)</f>
        <v>21373.109243697483</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19.408284023668639</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15419.411621216268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12717</v>
      </c>
      <c r="C8" s="570">
        <f>B101</f>
        <v>0</v>
      </c>
      <c r="D8" s="1043"/>
      <c r="E8" s="1043">
        <f>E101</f>
        <v>0</v>
      </c>
      <c r="F8" s="1044"/>
      <c r="G8" s="571"/>
      <c r="H8" s="1043">
        <f>I101</f>
        <v>0</v>
      </c>
      <c r="I8" s="1043">
        <f>G101+F101</f>
        <v>0</v>
      </c>
      <c r="J8" s="1043">
        <f>H101+D101+C101</f>
        <v>14961.176470588236</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28155.819905239936</v>
      </c>
      <c r="C10" s="583">
        <f t="shared" ref="C10:L10" si="0">SUM(C8:C9)</f>
        <v>0</v>
      </c>
      <c r="D10" s="583">
        <f t="shared" si="0"/>
        <v>0</v>
      </c>
      <c r="E10" s="583">
        <f t="shared" si="0"/>
        <v>0</v>
      </c>
      <c r="F10" s="583">
        <f t="shared" si="0"/>
        <v>0</v>
      </c>
      <c r="G10" s="583">
        <f t="shared" si="0"/>
        <v>0</v>
      </c>
      <c r="H10" s="583">
        <f t="shared" si="0"/>
        <v>0</v>
      </c>
      <c r="I10" s="583">
        <f t="shared" si="0"/>
        <v>0</v>
      </c>
      <c r="J10" s="583">
        <f t="shared" si="0"/>
        <v>14961.176470588236</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18167.142857142859</v>
      </c>
      <c r="C17" s="595">
        <f>B102</f>
        <v>0</v>
      </c>
      <c r="D17" s="596"/>
      <c r="E17" s="596">
        <f>E102</f>
        <v>0</v>
      </c>
      <c r="F17" s="1049"/>
      <c r="G17" s="597"/>
      <c r="H17" s="595">
        <f>I102</f>
        <v>0</v>
      </c>
      <c r="I17" s="596">
        <f>G102+F102</f>
        <v>0</v>
      </c>
      <c r="J17" s="596">
        <f>H102+D102+C102</f>
        <v>21373.109243697483</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18167.142857142859</v>
      </c>
      <c r="C20" s="582">
        <f>SUM(C17:C19)</f>
        <v>0</v>
      </c>
      <c r="D20" s="582">
        <f t="shared" ref="D20:L20" si="1">SUM(D17:D19)</f>
        <v>0</v>
      </c>
      <c r="E20" s="582">
        <f t="shared" si="1"/>
        <v>0</v>
      </c>
      <c r="F20" s="582">
        <f t="shared" si="1"/>
        <v>0</v>
      </c>
      <c r="G20" s="582">
        <f t="shared" si="1"/>
        <v>0</v>
      </c>
      <c r="H20" s="582">
        <f t="shared" si="1"/>
        <v>0</v>
      </c>
      <c r="I20" s="582">
        <f t="shared" si="1"/>
        <v>0</v>
      </c>
      <c r="J20" s="582">
        <f t="shared" si="1"/>
        <v>21373.109243697483</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73083</v>
      </c>
      <c r="C28" s="796">
        <v>3700</v>
      </c>
      <c r="D28" s="653" t="s">
        <v>890</v>
      </c>
      <c r="E28" s="652" t="s">
        <v>891</v>
      </c>
      <c r="F28" s="652" t="s">
        <v>892</v>
      </c>
      <c r="G28" s="652" t="s">
        <v>893</v>
      </c>
      <c r="H28" s="652" t="s">
        <v>894</v>
      </c>
      <c r="I28" s="652" t="s">
        <v>891</v>
      </c>
      <c r="J28" s="795">
        <v>41131</v>
      </c>
      <c r="K28" s="795">
        <v>41131</v>
      </c>
      <c r="L28" s="652" t="s">
        <v>895</v>
      </c>
      <c r="M28" s="652">
        <v>2826</v>
      </c>
      <c r="N28" s="652">
        <v>12717</v>
      </c>
      <c r="O28" s="652">
        <v>18167.142857142859</v>
      </c>
      <c r="P28" s="652">
        <v>0</v>
      </c>
      <c r="Q28" s="652">
        <v>36334.285714285717</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2826</v>
      </c>
      <c r="N58" s="610">
        <f>SUM(N28:N57)</f>
        <v>12717</v>
      </c>
      <c r="O58" s="610">
        <f t="shared" ref="O58:W58" si="2">SUM(O28:O57)</f>
        <v>18167.142857142859</v>
      </c>
      <c r="P58" s="610">
        <f t="shared" si="2"/>
        <v>0</v>
      </c>
      <c r="Q58" s="610">
        <f t="shared" si="2"/>
        <v>36334.285714285717</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2826</v>
      </c>
      <c r="N61" s="615">
        <f t="shared" si="4"/>
        <v>12717</v>
      </c>
      <c r="O61" s="615">
        <f t="shared" si="4"/>
        <v>18167.142857142859</v>
      </c>
      <c r="P61" s="615">
        <f t="shared" si="4"/>
        <v>0</v>
      </c>
      <c r="Q61" s="615">
        <f t="shared" si="4"/>
        <v>36334.285714285717</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14961.176470588236</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21373.109243697483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49820.494722968026</v>
      </c>
      <c r="C4" s="477">
        <f>huishoudens!C8</f>
        <v>0</v>
      </c>
      <c r="D4" s="477">
        <f>huishoudens!D8</f>
        <v>101127.78592400001</v>
      </c>
      <c r="E4" s="477">
        <f>huishoudens!E8</f>
        <v>9932.7926078872079</v>
      </c>
      <c r="F4" s="477">
        <f>huishoudens!F8</f>
        <v>83084.640504643889</v>
      </c>
      <c r="G4" s="477">
        <f>huishoudens!G8</f>
        <v>0</v>
      </c>
      <c r="H4" s="477">
        <f>huishoudens!H8</f>
        <v>0</v>
      </c>
      <c r="I4" s="477">
        <f>huishoudens!I8</f>
        <v>0</v>
      </c>
      <c r="J4" s="477">
        <f>huishoudens!J8</f>
        <v>4265.5411406630737</v>
      </c>
      <c r="K4" s="477">
        <f>huishoudens!K8</f>
        <v>0</v>
      </c>
      <c r="L4" s="477">
        <f>huishoudens!L8</f>
        <v>0</v>
      </c>
      <c r="M4" s="477">
        <f>huishoudens!M8</f>
        <v>0</v>
      </c>
      <c r="N4" s="477">
        <f>huishoudens!N8</f>
        <v>26021.095870093133</v>
      </c>
      <c r="O4" s="477">
        <f>huishoudens!O8</f>
        <v>387.70666666666671</v>
      </c>
      <c r="P4" s="478">
        <f>huishoudens!P8</f>
        <v>629.20000000000005</v>
      </c>
      <c r="Q4" s="479">
        <f>SUM(B4:P4)</f>
        <v>275269.25743692205</v>
      </c>
    </row>
    <row r="5" spans="1:17">
      <c r="A5" s="476" t="s">
        <v>156</v>
      </c>
      <c r="B5" s="477">
        <f ca="1">tertiair!B16</f>
        <v>51998.379000000001</v>
      </c>
      <c r="C5" s="477">
        <f ca="1">tertiair!C16</f>
        <v>0</v>
      </c>
      <c r="D5" s="477">
        <f ca="1">tertiair!D16</f>
        <v>63064.050698000014</v>
      </c>
      <c r="E5" s="477">
        <f>tertiair!E16</f>
        <v>1032.0503403044702</v>
      </c>
      <c r="F5" s="477">
        <f ca="1">tertiair!F16</f>
        <v>12747.948374938434</v>
      </c>
      <c r="G5" s="477">
        <f>tertiair!G16</f>
        <v>0</v>
      </c>
      <c r="H5" s="477">
        <f>tertiair!H16</f>
        <v>0</v>
      </c>
      <c r="I5" s="477">
        <f>tertiair!I16</f>
        <v>0</v>
      </c>
      <c r="J5" s="477">
        <f>tertiair!J16</f>
        <v>0</v>
      </c>
      <c r="K5" s="477">
        <f>tertiair!K16</f>
        <v>0</v>
      </c>
      <c r="L5" s="477">
        <f ca="1">tertiair!L16</f>
        <v>0</v>
      </c>
      <c r="M5" s="477">
        <f>tertiair!M16</f>
        <v>0</v>
      </c>
      <c r="N5" s="477">
        <f ca="1">tertiair!N16</f>
        <v>5116.5752972172722</v>
      </c>
      <c r="O5" s="477">
        <f>tertiair!O16</f>
        <v>1.5633333333333335</v>
      </c>
      <c r="P5" s="478">
        <f>tertiair!P16</f>
        <v>57.2</v>
      </c>
      <c r="Q5" s="476">
        <f t="shared" ref="Q5:Q14" ca="1" si="0">SUM(B5:P5)</f>
        <v>134017.76704379354</v>
      </c>
    </row>
    <row r="6" spans="1:17">
      <c r="A6" s="476" t="s">
        <v>194</v>
      </c>
      <c r="B6" s="477">
        <f>'openbare verlichting'!B8</f>
        <v>2038.8230000000001</v>
      </c>
      <c r="C6" s="477"/>
      <c r="D6" s="477"/>
      <c r="E6" s="477"/>
      <c r="F6" s="477"/>
      <c r="G6" s="477"/>
      <c r="H6" s="477"/>
      <c r="I6" s="477"/>
      <c r="J6" s="477"/>
      <c r="K6" s="477"/>
      <c r="L6" s="477"/>
      <c r="M6" s="477"/>
      <c r="N6" s="477"/>
      <c r="O6" s="477"/>
      <c r="P6" s="478"/>
      <c r="Q6" s="476">
        <f t="shared" si="0"/>
        <v>2038.8230000000001</v>
      </c>
    </row>
    <row r="7" spans="1:17">
      <c r="A7" s="476" t="s">
        <v>112</v>
      </c>
      <c r="B7" s="477">
        <f>landbouw!B8</f>
        <v>2115.1329999999998</v>
      </c>
      <c r="C7" s="477">
        <f>landbouw!C8</f>
        <v>18167.142857142859</v>
      </c>
      <c r="D7" s="477">
        <f>landbouw!D8</f>
        <v>583.74734000000001</v>
      </c>
      <c r="E7" s="477">
        <f>landbouw!E8</f>
        <v>54.541158898207293</v>
      </c>
      <c r="F7" s="477">
        <f>landbouw!F8</f>
        <v>7731.213922512613</v>
      </c>
      <c r="G7" s="477">
        <f>landbouw!G8</f>
        <v>0</v>
      </c>
      <c r="H7" s="477">
        <f>landbouw!H8</f>
        <v>0</v>
      </c>
      <c r="I7" s="477">
        <f>landbouw!I8</f>
        <v>0</v>
      </c>
      <c r="J7" s="477">
        <f>landbouw!J8</f>
        <v>304.50134332766288</v>
      </c>
      <c r="K7" s="477">
        <f>landbouw!K8</f>
        <v>0</v>
      </c>
      <c r="L7" s="477">
        <f>landbouw!L8</f>
        <v>0</v>
      </c>
      <c r="M7" s="477">
        <f>landbouw!M8</f>
        <v>0</v>
      </c>
      <c r="N7" s="477">
        <f>landbouw!N8</f>
        <v>0</v>
      </c>
      <c r="O7" s="477">
        <f>landbouw!O8</f>
        <v>0</v>
      </c>
      <c r="P7" s="478">
        <f>landbouw!P8</f>
        <v>0</v>
      </c>
      <c r="Q7" s="476">
        <f t="shared" si="0"/>
        <v>28956.279621881338</v>
      </c>
    </row>
    <row r="8" spans="1:17">
      <c r="A8" s="476" t="s">
        <v>638</v>
      </c>
      <c r="B8" s="477">
        <f>industrie!B18</f>
        <v>21750.995000000003</v>
      </c>
      <c r="C8" s="477">
        <f>industrie!C18</f>
        <v>0</v>
      </c>
      <c r="D8" s="477">
        <f>industrie!D18</f>
        <v>16879.008739999997</v>
      </c>
      <c r="E8" s="477">
        <f>industrie!E18</f>
        <v>4081.9605509317457</v>
      </c>
      <c r="F8" s="477">
        <f>industrie!F18</f>
        <v>15486.0926110741</v>
      </c>
      <c r="G8" s="477">
        <f>industrie!G18</f>
        <v>0</v>
      </c>
      <c r="H8" s="477">
        <f>industrie!H18</f>
        <v>0</v>
      </c>
      <c r="I8" s="477">
        <f>industrie!I18</f>
        <v>0</v>
      </c>
      <c r="J8" s="477">
        <f>industrie!J18</f>
        <v>33.527708414395143</v>
      </c>
      <c r="K8" s="477">
        <f>industrie!K18</f>
        <v>0</v>
      </c>
      <c r="L8" s="477">
        <f>industrie!L18</f>
        <v>0</v>
      </c>
      <c r="M8" s="477">
        <f>industrie!M18</f>
        <v>0</v>
      </c>
      <c r="N8" s="477">
        <f>industrie!N18</f>
        <v>5339.0946079936975</v>
      </c>
      <c r="O8" s="477">
        <f>industrie!O18</f>
        <v>0</v>
      </c>
      <c r="P8" s="478">
        <f>industrie!P18</f>
        <v>0</v>
      </c>
      <c r="Q8" s="476">
        <f t="shared" si="0"/>
        <v>63570.679218413941</v>
      </c>
    </row>
    <row r="9" spans="1:17" s="482" customFormat="1">
      <c r="A9" s="480" t="s">
        <v>564</v>
      </c>
      <c r="B9" s="481">
        <f>transport!B14</f>
        <v>46.57454965114006</v>
      </c>
      <c r="C9" s="481">
        <f>transport!C14</f>
        <v>0</v>
      </c>
      <c r="D9" s="481">
        <f>transport!D14</f>
        <v>105.66779430917195</v>
      </c>
      <c r="E9" s="481">
        <f>transport!E14</f>
        <v>409.73023910300122</v>
      </c>
      <c r="F9" s="481">
        <f>transport!F14</f>
        <v>0</v>
      </c>
      <c r="G9" s="481">
        <f>transport!G14</f>
        <v>137232.15586714615</v>
      </c>
      <c r="H9" s="481">
        <f>transport!H14</f>
        <v>28407.521970785761</v>
      </c>
      <c r="I9" s="481">
        <f>transport!I14</f>
        <v>0</v>
      </c>
      <c r="J9" s="481">
        <f>transport!J14</f>
        <v>0</v>
      </c>
      <c r="K9" s="481">
        <f>transport!K14</f>
        <v>0</v>
      </c>
      <c r="L9" s="481">
        <f>transport!L14</f>
        <v>0</v>
      </c>
      <c r="M9" s="481">
        <f>transport!M14</f>
        <v>5174.678819434891</v>
      </c>
      <c r="N9" s="481">
        <f>transport!N14</f>
        <v>0</v>
      </c>
      <c r="O9" s="481">
        <f>transport!O14</f>
        <v>0</v>
      </c>
      <c r="P9" s="481">
        <f>transport!P14</f>
        <v>0</v>
      </c>
      <c r="Q9" s="480">
        <f>SUM(B9:P9)</f>
        <v>171376.32924043015</v>
      </c>
    </row>
    <row r="10" spans="1:17">
      <c r="A10" s="476" t="s">
        <v>554</v>
      </c>
      <c r="B10" s="477">
        <f>transport!B54</f>
        <v>0</v>
      </c>
      <c r="C10" s="477">
        <f>transport!C54</f>
        <v>0</v>
      </c>
      <c r="D10" s="477">
        <f>transport!D54</f>
        <v>0</v>
      </c>
      <c r="E10" s="477">
        <f>transport!E54</f>
        <v>0</v>
      </c>
      <c r="F10" s="477">
        <f>transport!F54</f>
        <v>0</v>
      </c>
      <c r="G10" s="477">
        <f>transport!G54</f>
        <v>5124.2492868429936</v>
      </c>
      <c r="H10" s="477">
        <f>transport!H54</f>
        <v>0</v>
      </c>
      <c r="I10" s="477">
        <f>transport!I54</f>
        <v>0</v>
      </c>
      <c r="J10" s="477">
        <f>transport!J54</f>
        <v>0</v>
      </c>
      <c r="K10" s="477">
        <f>transport!K54</f>
        <v>0</v>
      </c>
      <c r="L10" s="477">
        <f>transport!L54</f>
        <v>0</v>
      </c>
      <c r="M10" s="477">
        <f>transport!M54</f>
        <v>158.94274899915004</v>
      </c>
      <c r="N10" s="477">
        <f>transport!N54</f>
        <v>0</v>
      </c>
      <c r="O10" s="477">
        <f>transport!O54</f>
        <v>0</v>
      </c>
      <c r="P10" s="478">
        <f>transport!P54</f>
        <v>0</v>
      </c>
      <c r="Q10" s="476">
        <f t="shared" si="0"/>
        <v>5283.1920358421439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963.95100000000002</v>
      </c>
      <c r="C14" s="484"/>
      <c r="D14" s="484">
        <f>'SEAP template'!E25</f>
        <v>3835.3939999999998</v>
      </c>
      <c r="E14" s="484"/>
      <c r="F14" s="484"/>
      <c r="G14" s="484"/>
      <c r="H14" s="484"/>
      <c r="I14" s="484"/>
      <c r="J14" s="484"/>
      <c r="K14" s="484"/>
      <c r="L14" s="484"/>
      <c r="M14" s="484"/>
      <c r="N14" s="484"/>
      <c r="O14" s="484"/>
      <c r="P14" s="485"/>
      <c r="Q14" s="476">
        <f t="shared" si="0"/>
        <v>4799.3449999999993</v>
      </c>
    </row>
    <row r="15" spans="1:17" s="486" customFormat="1">
      <c r="A15" s="1038" t="s">
        <v>558</v>
      </c>
      <c r="B15" s="978">
        <f ca="1">SUM(B4:B14)</f>
        <v>128734.35027261918</v>
      </c>
      <c r="C15" s="978">
        <f t="shared" ref="C15:Q15" ca="1" si="1">SUM(C4:C14)</f>
        <v>18167.142857142859</v>
      </c>
      <c r="D15" s="978">
        <f t="shared" ca="1" si="1"/>
        <v>185595.6544963092</v>
      </c>
      <c r="E15" s="978">
        <f t="shared" si="1"/>
        <v>15511.074897124632</v>
      </c>
      <c r="F15" s="978">
        <f t="shared" ca="1" si="1"/>
        <v>119049.89541316904</v>
      </c>
      <c r="G15" s="978">
        <f t="shared" si="1"/>
        <v>142356.40515398915</v>
      </c>
      <c r="H15" s="978">
        <f t="shared" si="1"/>
        <v>28407.521970785761</v>
      </c>
      <c r="I15" s="978">
        <f t="shared" si="1"/>
        <v>0</v>
      </c>
      <c r="J15" s="978">
        <f t="shared" si="1"/>
        <v>4603.5701924051318</v>
      </c>
      <c r="K15" s="978">
        <f t="shared" si="1"/>
        <v>0</v>
      </c>
      <c r="L15" s="978">
        <f t="shared" ca="1" si="1"/>
        <v>0</v>
      </c>
      <c r="M15" s="978">
        <f t="shared" si="1"/>
        <v>5333.6215684340414</v>
      </c>
      <c r="N15" s="978">
        <f t="shared" ca="1" si="1"/>
        <v>36476.765775304106</v>
      </c>
      <c r="O15" s="978">
        <f t="shared" si="1"/>
        <v>389.27000000000004</v>
      </c>
      <c r="P15" s="978">
        <f t="shared" si="1"/>
        <v>686.40000000000009</v>
      </c>
      <c r="Q15" s="978">
        <f t="shared" ca="1" si="1"/>
        <v>685311.67259728315</v>
      </c>
    </row>
    <row r="17" spans="1:17">
      <c r="A17" s="487" t="s">
        <v>559</v>
      </c>
      <c r="B17" s="786">
        <f ca="1">huishoudens!B10</f>
        <v>0.17266452321481524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8602.2319676674924</v>
      </c>
      <c r="C22" s="477">
        <f t="shared" ref="C22:C32" ca="1" si="3">C4*$C$17</f>
        <v>0</v>
      </c>
      <c r="D22" s="477">
        <f t="shared" ref="D22:D32" si="4">D4*$D$17</f>
        <v>20427.812756648003</v>
      </c>
      <c r="E22" s="477">
        <f t="shared" ref="E22:E32" si="5">E4*$E$17</f>
        <v>2254.7439219903963</v>
      </c>
      <c r="F22" s="477">
        <f t="shared" ref="F22:F32" si="6">F4*$F$17</f>
        <v>22183.599014739921</v>
      </c>
      <c r="G22" s="477">
        <f t="shared" ref="G22:G32" si="7">G4*$G$17</f>
        <v>0</v>
      </c>
      <c r="H22" s="477">
        <f t="shared" ref="H22:H32" si="8">H4*$H$17</f>
        <v>0</v>
      </c>
      <c r="I22" s="477">
        <f t="shared" ref="I22:I32" si="9">I4*$I$17</f>
        <v>0</v>
      </c>
      <c r="J22" s="477">
        <f t="shared" ref="J22:J32" si="10">J4*$J$17</f>
        <v>1510.0015637947281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54978.389224840539</v>
      </c>
    </row>
    <row r="23" spans="1:17">
      <c r="A23" s="476" t="s">
        <v>156</v>
      </c>
      <c r="B23" s="477">
        <f t="shared" ca="1" si="2"/>
        <v>8978.2753179782612</v>
      </c>
      <c r="C23" s="477">
        <f t="shared" ca="1" si="3"/>
        <v>0</v>
      </c>
      <c r="D23" s="477">
        <f t="shared" ca="1" si="4"/>
        <v>12738.938240996004</v>
      </c>
      <c r="E23" s="477">
        <f t="shared" si="5"/>
        <v>234.27542724911473</v>
      </c>
      <c r="F23" s="477">
        <f t="shared" ca="1" si="6"/>
        <v>3403.702216108562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25355.191202331942</v>
      </c>
    </row>
    <row r="24" spans="1:17">
      <c r="A24" s="476" t="s">
        <v>194</v>
      </c>
      <c r="B24" s="477">
        <f t="shared" ca="1" si="2"/>
        <v>352.03240121439927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352.03240121439927</v>
      </c>
    </row>
    <row r="25" spans="1:17">
      <c r="A25" s="476" t="s">
        <v>112</v>
      </c>
      <c r="B25" s="477">
        <f t="shared" ca="1" si="2"/>
        <v>365.20843098092178</v>
      </c>
      <c r="C25" s="477">
        <f t="shared" ca="1" si="3"/>
        <v>0</v>
      </c>
      <c r="D25" s="477">
        <f t="shared" si="4"/>
        <v>117.91696268000001</v>
      </c>
      <c r="E25" s="477">
        <f t="shared" si="5"/>
        <v>12.380843069893055</v>
      </c>
      <c r="F25" s="477">
        <f t="shared" si="6"/>
        <v>2064.234117310868</v>
      </c>
      <c r="G25" s="477">
        <f t="shared" si="7"/>
        <v>0</v>
      </c>
      <c r="H25" s="477">
        <f t="shared" si="8"/>
        <v>0</v>
      </c>
      <c r="I25" s="477">
        <f t="shared" si="9"/>
        <v>0</v>
      </c>
      <c r="J25" s="477">
        <f t="shared" si="10"/>
        <v>107.79347553799265</v>
      </c>
      <c r="K25" s="477">
        <f t="shared" si="11"/>
        <v>0</v>
      </c>
      <c r="L25" s="477">
        <f t="shared" si="12"/>
        <v>0</v>
      </c>
      <c r="M25" s="477">
        <f t="shared" si="13"/>
        <v>0</v>
      </c>
      <c r="N25" s="477">
        <f t="shared" si="14"/>
        <v>0</v>
      </c>
      <c r="O25" s="477">
        <f t="shared" si="15"/>
        <v>0</v>
      </c>
      <c r="P25" s="478">
        <f t="shared" si="16"/>
        <v>0</v>
      </c>
      <c r="Q25" s="476">
        <f t="shared" ca="1" si="17"/>
        <v>2667.5338295796751</v>
      </c>
    </row>
    <row r="26" spans="1:17">
      <c r="A26" s="476" t="s">
        <v>638</v>
      </c>
      <c r="B26" s="477">
        <f t="shared" ca="1" si="2"/>
        <v>3755.6251811228308</v>
      </c>
      <c r="C26" s="477">
        <f t="shared" ca="1" si="3"/>
        <v>0</v>
      </c>
      <c r="D26" s="477">
        <f t="shared" si="4"/>
        <v>3409.5597654799999</v>
      </c>
      <c r="E26" s="477">
        <f t="shared" si="5"/>
        <v>926.6050450615063</v>
      </c>
      <c r="F26" s="477">
        <f t="shared" si="6"/>
        <v>4134.7867271567848</v>
      </c>
      <c r="G26" s="477">
        <f t="shared" si="7"/>
        <v>0</v>
      </c>
      <c r="H26" s="477">
        <f t="shared" si="8"/>
        <v>0</v>
      </c>
      <c r="I26" s="477">
        <f t="shared" si="9"/>
        <v>0</v>
      </c>
      <c r="J26" s="477">
        <f t="shared" si="10"/>
        <v>11.868808778695881</v>
      </c>
      <c r="K26" s="477">
        <f t="shared" si="11"/>
        <v>0</v>
      </c>
      <c r="L26" s="477">
        <f t="shared" si="12"/>
        <v>0</v>
      </c>
      <c r="M26" s="477">
        <f t="shared" si="13"/>
        <v>0</v>
      </c>
      <c r="N26" s="477">
        <f t="shared" si="14"/>
        <v>0</v>
      </c>
      <c r="O26" s="477">
        <f t="shared" si="15"/>
        <v>0</v>
      </c>
      <c r="P26" s="478">
        <f t="shared" si="16"/>
        <v>0</v>
      </c>
      <c r="Q26" s="476">
        <f t="shared" ca="1" si="17"/>
        <v>12238.445527599817</v>
      </c>
    </row>
    <row r="27" spans="1:17" s="482" customFormat="1">
      <c r="A27" s="480" t="s">
        <v>564</v>
      </c>
      <c r="B27" s="780">
        <f t="shared" ca="1" si="2"/>
        <v>8.0417724094588383</v>
      </c>
      <c r="C27" s="481">
        <f t="shared" ca="1" si="3"/>
        <v>0</v>
      </c>
      <c r="D27" s="481">
        <f t="shared" si="4"/>
        <v>21.344894450452735</v>
      </c>
      <c r="E27" s="481">
        <f t="shared" si="5"/>
        <v>93.008764276381285</v>
      </c>
      <c r="F27" s="481">
        <f t="shared" si="6"/>
        <v>0</v>
      </c>
      <c r="G27" s="481">
        <f t="shared" si="7"/>
        <v>36640.985616528022</v>
      </c>
      <c r="H27" s="481">
        <f t="shared" si="8"/>
        <v>7073.4729707256547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43836.854018389968</v>
      </c>
    </row>
    <row r="28" spans="1:17">
      <c r="A28" s="476" t="s">
        <v>554</v>
      </c>
      <c r="B28" s="477">
        <f t="shared" ca="1" si="2"/>
        <v>0</v>
      </c>
      <c r="C28" s="477">
        <f t="shared" ca="1" si="3"/>
        <v>0</v>
      </c>
      <c r="D28" s="477">
        <f t="shared" si="4"/>
        <v>0</v>
      </c>
      <c r="E28" s="477">
        <f t="shared" si="5"/>
        <v>0</v>
      </c>
      <c r="F28" s="477">
        <f t="shared" si="6"/>
        <v>0</v>
      </c>
      <c r="G28" s="477">
        <f t="shared" si="7"/>
        <v>1368.1745595870793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1368.1745595870793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166.44013981744436</v>
      </c>
      <c r="C32" s="477">
        <f t="shared" ca="1" si="3"/>
        <v>0</v>
      </c>
      <c r="D32" s="477">
        <f t="shared" si="4"/>
        <v>774.74958800000002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941.18972781744435</v>
      </c>
    </row>
    <row r="33" spans="1:17" s="486" customFormat="1">
      <c r="A33" s="1038" t="s">
        <v>558</v>
      </c>
      <c r="B33" s="978">
        <f ca="1">SUM(B22:B32)</f>
        <v>22227.855211190814</v>
      </c>
      <c r="C33" s="978">
        <f t="shared" ref="C33:Q33" ca="1" si="18">SUM(C22:C32)</f>
        <v>0</v>
      </c>
      <c r="D33" s="978">
        <f t="shared" ca="1" si="18"/>
        <v>37490.32220825446</v>
      </c>
      <c r="E33" s="978">
        <f t="shared" si="18"/>
        <v>3521.0140016472919</v>
      </c>
      <c r="F33" s="978">
        <f t="shared" ca="1" si="18"/>
        <v>31786.322075316137</v>
      </c>
      <c r="G33" s="978">
        <f t="shared" si="18"/>
        <v>38009.160176115103</v>
      </c>
      <c r="H33" s="978">
        <f t="shared" si="18"/>
        <v>7073.4729707256547</v>
      </c>
      <c r="I33" s="978">
        <f t="shared" si="18"/>
        <v>0</v>
      </c>
      <c r="J33" s="978">
        <f t="shared" si="18"/>
        <v>1629.6638481114167</v>
      </c>
      <c r="K33" s="978">
        <f t="shared" si="18"/>
        <v>0</v>
      </c>
      <c r="L33" s="978">
        <f t="shared" ca="1" si="18"/>
        <v>0</v>
      </c>
      <c r="M33" s="978">
        <f t="shared" si="18"/>
        <v>0</v>
      </c>
      <c r="N33" s="978">
        <f t="shared" ca="1" si="18"/>
        <v>0</v>
      </c>
      <c r="O33" s="978">
        <f t="shared" si="18"/>
        <v>0</v>
      </c>
      <c r="P33" s="978">
        <f t="shared" si="18"/>
        <v>0</v>
      </c>
      <c r="Q33" s="978">
        <f t="shared" ca="1" si="18"/>
        <v>141737.81049136087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19.408284023668639</v>
      </c>
      <c r="C5" s="1055"/>
      <c r="D5" s="1055"/>
      <c r="E5" s="1055"/>
      <c r="F5" s="1055"/>
      <c r="G5" s="1055"/>
      <c r="H5" s="1055"/>
      <c r="I5" s="1055"/>
      <c r="J5" s="1055"/>
      <c r="K5" s="1055"/>
      <c r="L5" s="1055"/>
      <c r="M5" s="1055"/>
      <c r="N5" s="1055"/>
      <c r="O5" s="1055"/>
      <c r="P5" s="1056">
        <f>'SEAP template'!Q73</f>
        <v>0</v>
      </c>
    </row>
    <row r="6" spans="1:16">
      <c r="A6" s="1057" t="s">
        <v>251</v>
      </c>
      <c r="B6" s="1055">
        <f>'SEAP template'!B74</f>
        <v>15419.411621216268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12717</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14961.176470588236</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28155.819905239936</v>
      </c>
      <c r="C10" s="1059">
        <f>SUM(C4:C9)</f>
        <v>0</v>
      </c>
      <c r="D10" s="1059">
        <f t="shared" ref="D10:H10" si="0">SUM(D8:D9)</f>
        <v>0</v>
      </c>
      <c r="E10" s="1059">
        <f t="shared" si="0"/>
        <v>0</v>
      </c>
      <c r="F10" s="1059">
        <f t="shared" si="0"/>
        <v>0</v>
      </c>
      <c r="G10" s="1059">
        <f t="shared" si="0"/>
        <v>0</v>
      </c>
      <c r="H10" s="1059">
        <f t="shared" si="0"/>
        <v>0</v>
      </c>
      <c r="I10" s="1059">
        <f>SUM(I8:I9)</f>
        <v>0</v>
      </c>
      <c r="J10" s="1059">
        <f>SUM(J8:J9)</f>
        <v>14961.176470588236</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0.17266452321481524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18167.142857142859</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21373.109243697483</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18167.142857142859</v>
      </c>
      <c r="C20" s="1059">
        <f>SUM(C17:C19)</f>
        <v>0</v>
      </c>
      <c r="D20" s="1059">
        <f t="shared" ref="D20:H20" si="2">SUM(D17:D19)</f>
        <v>0</v>
      </c>
      <c r="E20" s="1059">
        <f t="shared" si="2"/>
        <v>0</v>
      </c>
      <c r="F20" s="1059">
        <f t="shared" si="2"/>
        <v>0</v>
      </c>
      <c r="G20" s="1059">
        <f t="shared" si="2"/>
        <v>0</v>
      </c>
      <c r="H20" s="1059">
        <f t="shared" si="2"/>
        <v>0</v>
      </c>
      <c r="I20" s="1059">
        <f>SUM(I17:I19)</f>
        <v>0</v>
      </c>
      <c r="J20" s="1059">
        <f>SUM(J17:J19)</f>
        <v>21373.109243697483</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0.17266452321481524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2019-08-12T08:26:40Z</dcterms:modified>
</cp:coreProperties>
</file>