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G20" s="1"/>
  <c r="F19"/>
  <c r="E19"/>
  <c r="D19"/>
  <c r="E89" i="14" s="1"/>
  <c r="E19" i="59" s="1"/>
  <c r="C19" i="18"/>
  <c r="D89" i="14" s="1"/>
  <c r="D19" i="59" s="1"/>
  <c r="B19" i="18"/>
  <c r="N18"/>
  <c r="L88" i="14" s="1"/>
  <c r="L18" i="59" s="1"/>
  <c r="M18" i="18"/>
  <c r="L18"/>
  <c r="K18"/>
  <c r="J18"/>
  <c r="J88" i="14" s="1"/>
  <c r="J18" i="59" s="1"/>
  <c r="I18" i="18"/>
  <c r="H18"/>
  <c r="G18"/>
  <c r="F18"/>
  <c r="F20" s="1"/>
  <c r="E18"/>
  <c r="F88" i="14" s="1"/>
  <c r="F18" i="59" s="1"/>
  <c r="D18" i="18"/>
  <c r="C18"/>
  <c r="B18"/>
  <c r="L9"/>
  <c r="L10" s="1"/>
  <c r="K9"/>
  <c r="G9"/>
  <c r="H77" i="14" s="1"/>
  <c r="H9" i="59" s="1"/>
  <c r="F9" i="18"/>
  <c r="E9"/>
  <c r="F77" i="14" s="1"/>
  <c r="F9" i="59" s="1"/>
  <c r="D9" i="18"/>
  <c r="D10" s="1"/>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74" i="14" s="1"/>
  <c r="B6" i="59" s="1"/>
  <c r="B5" i="18"/>
  <c r="B4"/>
  <c r="N6" i="17"/>
  <c r="L6"/>
  <c r="D6"/>
  <c r="C6"/>
  <c r="D5"/>
  <c r="B19" i="6"/>
  <c r="B18"/>
  <c r="B5"/>
  <c r="C29" i="14" s="1"/>
  <c r="B6" i="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J89" i="14"/>
  <c r="J19" i="59" s="1"/>
  <c r="H89" i="14"/>
  <c r="H19" i="59" s="1"/>
  <c r="G89" i="14"/>
  <c r="G19" i="59" s="1"/>
  <c r="O88" i="14"/>
  <c r="O18" i="59" s="1"/>
  <c r="N88" i="14"/>
  <c r="N18" i="59" s="1"/>
  <c r="M88" i="14"/>
  <c r="M18" i="59" s="1"/>
  <c r="K88" i="14"/>
  <c r="K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N10" s="1"/>
  <c r="L76" i="14"/>
  <c r="K76"/>
  <c r="K8" i="59" s="1"/>
  <c r="H76" i="14"/>
  <c r="G76"/>
  <c r="G8" i="59" s="1"/>
  <c r="G10" s="1"/>
  <c r="E76" i="14"/>
  <c r="E8" i="59" s="1"/>
  <c r="E10" s="1"/>
  <c r="B75" i="14"/>
  <c r="B7" i="59" s="1"/>
  <c r="B73" i="14"/>
  <c r="B5" i="59" s="1"/>
  <c r="B72" i="14"/>
  <c r="B4" i="59" s="1"/>
  <c r="C64" i="14"/>
  <c r="Q54"/>
  <c r="P54"/>
  <c r="P56" s="1"/>
  <c r="L54"/>
  <c r="J54"/>
  <c r="J56" s="1"/>
  <c r="I54"/>
  <c r="H54"/>
  <c r="Q24"/>
  <c r="Q26" s="1"/>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P18"/>
  <c r="O18"/>
  <c r="O22" s="1"/>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L56"/>
  <c r="H56"/>
  <c r="Q56"/>
  <c r="I56"/>
  <c r="R44"/>
  <c r="E25"/>
  <c r="E55" s="1"/>
  <c r="C25"/>
  <c r="B14" i="48" s="1"/>
  <c r="N26" i="14"/>
  <c r="J26"/>
  <c r="I26"/>
  <c r="H26"/>
  <c r="L22"/>
  <c r="D22"/>
  <c r="Q22"/>
  <c r="P22"/>
  <c r="M22"/>
  <c r="G22"/>
  <c r="R12"/>
  <c r="N19" i="59" l="1"/>
  <c r="N20" s="1"/>
  <c r="N90" i="14"/>
  <c r="L78"/>
  <c r="L8" i="59"/>
  <c r="L10" s="1"/>
  <c r="H90" i="14"/>
  <c r="H18" i="59"/>
  <c r="H78" i="14"/>
  <c r="H8" i="59"/>
  <c r="H10" s="1"/>
  <c r="L20"/>
  <c r="O19" i="18"/>
  <c r="K10" i="59"/>
  <c r="H20"/>
  <c r="C98" i="18"/>
  <c r="H101" s="1"/>
  <c r="O90" i="14"/>
  <c r="P29" i="48"/>
  <c r="B10" i="18"/>
  <c r="O78" i="14"/>
  <c r="O9" i="59"/>
  <c r="K90" i="14"/>
  <c r="E20" i="59"/>
  <c r="B13" i="15"/>
  <c r="B17" i="18"/>
  <c r="B20" s="1"/>
  <c r="L90" i="14"/>
  <c r="K20" i="59"/>
  <c r="D14" i="48"/>
  <c r="R25" i="14"/>
  <c r="O10" i="59"/>
  <c r="L13" i="15"/>
  <c r="N13"/>
  <c r="Q77" i="14"/>
  <c r="P9" i="59" s="1"/>
  <c r="O9" i="18"/>
  <c r="O18"/>
  <c r="G88" i="14"/>
  <c r="F89"/>
  <c r="B89" s="1"/>
  <c r="B19" i="59" s="1"/>
  <c r="I101" i="18"/>
  <c r="H8" s="1"/>
  <c r="D101"/>
  <c r="B101"/>
  <c r="C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G101" i="18"/>
  <c r="C101"/>
  <c r="F101"/>
  <c r="C89" i="14"/>
  <c r="C19" i="59" s="1"/>
  <c r="F19"/>
  <c r="E101" i="18"/>
  <c r="E8" s="1"/>
  <c r="F76" i="14" s="1"/>
  <c r="F8" i="59" s="1"/>
  <c r="F10" s="1"/>
  <c r="Q89" i="14"/>
  <c r="P19" i="59" s="1"/>
  <c r="C20" i="18"/>
  <c r="D87" i="14"/>
  <c r="D17" i="59" s="1"/>
  <c r="D20" s="1"/>
  <c r="D76" i="14"/>
  <c r="D8" i="59" s="1"/>
  <c r="D10" s="1"/>
  <c r="C10" i="18"/>
  <c r="J17"/>
  <c r="J8"/>
  <c r="F87" i="14"/>
  <c r="E20" i="18"/>
  <c r="I17"/>
  <c r="H20"/>
  <c r="M87" i="14"/>
  <c r="I8" i="18"/>
  <c r="O8" s="1"/>
  <c r="O10" s="1"/>
  <c r="M76" i="14"/>
  <c r="H10" i="18"/>
  <c r="H14" i="15"/>
  <c r="H16" s="1"/>
  <c r="G14"/>
  <c r="G16" s="1"/>
  <c r="H5" i="48" l="1"/>
  <c r="I10" i="14"/>
  <c r="I16" s="1"/>
  <c r="M90"/>
  <c r="M17" i="59"/>
  <c r="M20" s="1"/>
  <c r="M78" i="14"/>
  <c r="M8" i="59"/>
  <c r="M10" s="1"/>
  <c r="F90" i="14"/>
  <c r="F17" i="59"/>
  <c r="F20" s="1"/>
  <c r="G5" i="48"/>
  <c r="H10" i="14"/>
  <c r="H16" s="1"/>
  <c r="E10" i="18"/>
  <c r="O17"/>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31"/>
  <c r="K25"/>
  <c r="K29"/>
  <c r="K26"/>
  <c r="K22"/>
  <c r="K30"/>
  <c r="K24"/>
  <c r="C24" i="14"/>
  <c r="C26" s="1"/>
  <c r="B7" i="48"/>
  <c r="J27"/>
  <c r="J32"/>
  <c r="J31"/>
  <c r="J29"/>
  <c r="J28"/>
  <c r="J30"/>
  <c r="J24"/>
  <c r="P4"/>
  <c r="Q11" i="14"/>
  <c r="O4" i="48"/>
  <c r="P11" i="14"/>
  <c r="I32" i="48"/>
  <c r="I31"/>
  <c r="I29"/>
  <c r="I28"/>
  <c r="I25"/>
  <c r="I30"/>
  <c r="I22"/>
  <c r="I26"/>
  <c r="I24"/>
  <c r="I27"/>
  <c r="D4"/>
  <c r="D22" s="1"/>
  <c r="E11" i="14"/>
  <c r="H32" i="48"/>
  <c r="H25"/>
  <c r="H29"/>
  <c r="H28"/>
  <c r="H30"/>
  <c r="H26"/>
  <c r="H24"/>
  <c r="H22"/>
  <c r="H23"/>
  <c r="N46" i="14"/>
  <c r="C4" i="48"/>
  <c r="D11" i="14"/>
  <c r="G32" i="48"/>
  <c r="G25"/>
  <c r="G26"/>
  <c r="G22"/>
  <c r="G29"/>
  <c r="G30"/>
  <c r="G24"/>
  <c r="G23"/>
  <c r="B4"/>
  <c r="C11" i="14"/>
  <c r="F27" i="48"/>
  <c r="F32"/>
  <c r="F24"/>
  <c r="F31"/>
  <c r="F28"/>
  <c r="F29"/>
  <c r="F30"/>
  <c r="N27"/>
  <c r="N32"/>
  <c r="N30"/>
  <c r="N29"/>
  <c r="N31"/>
  <c r="N28"/>
  <c r="N24"/>
  <c r="C19" i="14"/>
  <c r="B10" i="48"/>
  <c r="E31"/>
  <c r="E28"/>
  <c r="E32"/>
  <c r="E29"/>
  <c r="E30"/>
  <c r="E24"/>
  <c r="M32"/>
  <c r="M25"/>
  <c r="M29"/>
  <c r="M30"/>
  <c r="M26"/>
  <c r="M22"/>
  <c r="M24"/>
  <c r="M23"/>
  <c r="K5"/>
  <c r="L10" i="14"/>
  <c r="L16" s="1"/>
  <c r="L27" s="1"/>
  <c r="D29" i="48"/>
  <c r="D28"/>
  <c r="D30"/>
  <c r="D31"/>
  <c r="D24"/>
  <c r="D32"/>
  <c r="L29"/>
  <c r="L28"/>
  <c r="L32"/>
  <c r="L31"/>
  <c r="L24"/>
  <c r="L27"/>
  <c r="L22"/>
  <c r="L30"/>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J46" s="1"/>
  <c r="J61"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J63" s="1"/>
  <c r="M12" i="22"/>
  <c r="M13" i="48"/>
  <c r="M31" s="1"/>
  <c r="N18" i="14"/>
  <c r="K15" i="48"/>
  <c r="K23"/>
  <c r="K33" s="1"/>
  <c r="H18" i="14"/>
  <c r="G13" i="48"/>
  <c r="I18" i="14"/>
  <c r="H13" i="48"/>
  <c r="H31" s="1"/>
  <c r="P8"/>
  <c r="P26" s="1"/>
  <c r="Q13" i="14"/>
  <c r="Q16" s="1"/>
  <c r="Q27" s="1"/>
  <c r="Q63" s="1"/>
  <c r="P22" i="48"/>
  <c r="P33" s="1"/>
  <c r="F20" i="14"/>
  <c r="F22" s="1"/>
  <c r="E9" i="48"/>
  <c r="E27" s="1"/>
  <c r="E20" i="14"/>
  <c r="E22" s="1"/>
  <c r="D9" i="48"/>
  <c r="D27" s="1"/>
  <c r="O5"/>
  <c r="O23" s="1"/>
  <c r="P10" i="14"/>
  <c r="J7" i="48"/>
  <c r="J25" s="1"/>
  <c r="K24" i="14"/>
  <c r="K26" s="1"/>
  <c r="O22" i="48"/>
  <c r="B9"/>
  <c r="C20" i="14"/>
  <c r="C22"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G10"/>
  <c r="H19" i="14"/>
  <c r="R19" s="1"/>
  <c r="E12" i="13"/>
  <c r="F41" i="14" s="1"/>
  <c r="F11"/>
  <c r="E4" i="48"/>
  <c r="J4"/>
  <c r="K11" i="14"/>
  <c r="F24"/>
  <c r="F26" s="1"/>
  <c r="E7" i="48"/>
  <c r="E25" s="1"/>
  <c r="I23"/>
  <c r="I33" s="1"/>
  <c r="I15"/>
  <c r="N20" i="14"/>
  <c r="M9" i="48"/>
  <c r="O22" i="16"/>
  <c r="P43" i="14" s="1"/>
  <c r="P46" s="1"/>
  <c r="P61" s="1"/>
  <c r="P63" s="1"/>
  <c r="P13"/>
  <c r="O8" i="48"/>
  <c r="H22" i="14"/>
  <c r="H27" s="1"/>
  <c r="R18"/>
  <c r="H20"/>
  <c r="G9" i="48"/>
  <c r="Q9" s="1"/>
  <c r="G31"/>
  <c r="Q13"/>
  <c r="I20" i="14"/>
  <c r="H9" i="48"/>
  <c r="M10"/>
  <c r="M28" s="1"/>
  <c r="N19" i="14"/>
  <c r="R20"/>
  <c r="P16"/>
  <c r="P27" s="1"/>
  <c r="I22"/>
  <c r="I27" s="1"/>
  <c r="P15" i="48"/>
  <c r="N22" i="14"/>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G28" i="48"/>
  <c r="Q10"/>
  <c r="R22" i="14"/>
  <c r="E5" i="48"/>
  <c r="E23" s="1"/>
  <c r="F10" i="14"/>
  <c r="H27" i="48"/>
  <c r="H33" s="1"/>
  <c r="H15"/>
  <c r="O26"/>
  <c r="O33" s="1"/>
  <c r="O15"/>
  <c r="J22"/>
  <c r="G27"/>
  <c r="G15"/>
  <c r="M27"/>
  <c r="M33" s="1"/>
  <c r="M15"/>
  <c r="E22"/>
  <c r="Q4"/>
  <c r="R24" i="14"/>
  <c r="R26" s="1"/>
  <c r="R11"/>
  <c r="J20" i="15"/>
  <c r="K40" i="14" s="1"/>
  <c r="Q7" i="48"/>
  <c r="E20" i="15"/>
  <c r="F40" i="14" s="1"/>
  <c r="J18" i="16"/>
  <c r="E18"/>
  <c r="F18"/>
  <c r="F22" s="1"/>
  <c r="G43" i="14" s="1"/>
  <c r="N18" i="16"/>
  <c r="G18" i="22"/>
  <c r="H50" i="14" s="1"/>
  <c r="H52" s="1"/>
  <c r="H61" s="1"/>
  <c r="H63" s="1"/>
  <c r="E22" i="16"/>
  <c r="F43" i="14" s="1"/>
  <c r="H18" i="22"/>
  <c r="I50" i="14" s="1"/>
  <c r="I52" s="1"/>
  <c r="I61" s="1"/>
  <c r="I63" s="1"/>
  <c r="J22" i="16" l="1"/>
  <c r="K43" i="14" s="1"/>
  <c r="K46" s="1"/>
  <c r="K61" s="1"/>
  <c r="K63" s="1"/>
  <c r="J8" i="48"/>
  <c r="J26" s="1"/>
  <c r="J33" s="1"/>
  <c r="K13" i="14"/>
  <c r="K16" s="1"/>
  <c r="K27" s="1"/>
  <c r="F46"/>
  <c r="F61" s="1"/>
  <c r="E8" i="48"/>
  <c r="F13" i="14"/>
  <c r="F16" s="1"/>
  <c r="F27" s="1"/>
  <c r="J15" i="48"/>
  <c r="G33"/>
  <c r="N8"/>
  <c r="N26" s="1"/>
  <c r="O13" i="14"/>
  <c r="N22" i="16"/>
  <c r="O43" i="14" s="1"/>
  <c r="G13"/>
  <c r="R13" s="1"/>
  <c r="F8" i="48"/>
  <c r="E26" l="1"/>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<sst xmlns="http://schemas.openxmlformats.org/spreadsheetml/2006/main" count="2401" uniqueCount="896">
  <si>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</si>
  <si>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</si>
  <si>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</si>
  <si>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</si>
  <si>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</si>
  <si>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</si>
  <si>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</si>
  <si>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</si>
  <si>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</si>
  <si>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</si>
  <si>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</si>
  <si>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</si>
  <si>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</si>
  <si>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</si>
  <si>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</si>
  <si>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</si>
  <si>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</si>
  <si>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</si>
  <si>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</si>
  <si>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</si>
  <si>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</si>
  <si>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</si>
  <si>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</si>
  <si>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</si>
  <si>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</si>
  <si>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</si>
  <si>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</si>
  <si>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</si>
  <si>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</si>
  <si>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</si>
  <si>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</si>
  <si>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</si>
  <si>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</si>
  <si>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</si>
  <si>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</si>
  <si>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</si>
  <si>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</si>
  <si>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</si>
  <si>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</si>
  <si>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</si>
  <si>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</si>
  <si>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</si>
  <si>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</si>
  <si>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</si>
  <si>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</si>
  <si>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</si>
  <si>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</si>
  <si>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</si>
  <si>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</si>
  <si>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</si>
  <si>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</si>
  <si>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</si>
  <si>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</si>
  <si>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</si>
  <si>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</si>
  <si>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</si>
  <si>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</si>
  <si>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</si>
  <si>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</si>
  <si>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</si>
  <si>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</si>
  <si>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</si>
  <si>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</si>
  <si>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</si>
  <si>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</si>
  <si>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</si>
  <si>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</si>
  <si>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</si>
  <si>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</si>
  <si>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</si>
  <si>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</si>
  <si>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</si>
  <si>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</si>
  <si>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</si>
  <si>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</si>
  <si>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</si>
  <si>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</si>
  <si>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</si>
  <si>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</si>
  <si>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</si>
  <si>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</si>
  <si>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</si>
  <si>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</si>
  <si>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</si>
  <si>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</si>
  <si>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</si>
  <si>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</si>
  <si>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</si>
  <si>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</si>
  <si>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</si>
  <si>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</si>
  <si>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</si>
  <si>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</si>
  <si>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</si>
  <si>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</si>
  <si>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</si>
  <si>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</si>
  <si>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</si>
  <si>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</si>
  <si>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</si>
  <si>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</si>
  <si>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</si>
  <si>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</si>
  <si>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</si>
  <si>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</si>
  <si>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</si>
  <si>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</si>
  <si>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</si>
  <si>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</si>
  <si>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</si>
  <si>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</si>
  <si>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</si>
  <si>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</si>
  <si>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</si>
  <si>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</si>
  <si>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</si>
  <si>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</si>
  <si>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</si>
  <si>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</si>
  <si>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</si>
  <si>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</si>
  <si>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</si>
  <si>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</si>
  <si>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</si>
  <si>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</si>
  <si>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</si>
  <si>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</si>
  <si>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</si>
  <si>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</si>
  <si>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</si>
  <si>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</si>
  <si>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</si>
  <si>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</si>
  <si>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</si>
  <si>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</si>
  <si>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</si>
  <si>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</si>
  <si>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</si>
  <si>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</si>
  <si>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</si>
  <si>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</si>
  <si>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</si>
  <si>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</si>
  <si>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</si>
  <si>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</si>
  <si>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</si>
  <si>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</si>
  <si>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</si>
  <si>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</si>
  <si>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</si>
  <si>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</si>
  <si>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</si>
  <si>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</si>
  <si>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</si>
  <si>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</si>
  <si>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</si>
  <si>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</si>
  <si>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</si>
  <si>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</si>
  <si>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</si>
  <si>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</si>
  <si>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</si>
  <si>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</si>
  <si>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</si>
  <si>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</si>
  <si>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</si>
  <si>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</si>
  <si>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</si>
  <si>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</si>
  <si>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</si>
  <si>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</si>
  <si>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</si>
  <si>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</si>
  <si>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</si>
  <si>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</si>
  <si>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</si>
  <si>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</si>
  <si>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</si>
  <si>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</si>
  <si>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</si>
  <si>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</si>
  <si>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</si>
  <si>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</si>
  <si>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</si>
  <si>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</si>
  <si>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</si>
  <si>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</si>
  <si>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</si>
  <si>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</si>
  <si>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</si>
  <si>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</si>
  <si>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</si>
  <si>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</si>
  <si>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</si>
  <si>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</si>
  <si>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</si>
  <si>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</si>
  <si>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</si>
  <si>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</si>
  <si>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</si>
  <si>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</si>
  <si>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</si>
  <si>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</si>
  <si>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</si>
  <si>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</si>
  <si>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</si>
  <si>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</si>
  <si>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</si>
  <si>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</si>
  <si>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</si>
  <si>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</si>
  <si>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</si>
  <si>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</si>
  <si>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</si>
  <si>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</si>
  <si>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</si>
  <si>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</si>
  <si>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</si>
  <si>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</si>
  <si>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</si>
  <si>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</si>
  <si>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</si>
  <si>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</si>
  <si>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</si>
  <si>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</si>
  <si>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</si>
  <si>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</si>
  <si>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</si>
  <si>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</si>
  <si>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</si>
  <si>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</si>
  <si>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</si>
  <si>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</si>
  <si>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</si>
  <si>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</si>
  <si>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</si>
  <si>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</si>
  <si>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</si>
  <si>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</si>
  <si>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</si>
  <si>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</si>
  <si>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</si>
  <si>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</si>
  <si>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</si>
  <si>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</si>
  <si>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</si>
  <si>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</si>
  <si>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</si>
  <si>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</si>
  <si>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</si>
  <si>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</si>
  <si>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</si>
  <si>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</si>
  <si>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</si>
  <si>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</si>
  <si>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</si>
  <si>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</si>
  <si>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</si>
  <si>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</si>
  <si>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</si>
  <si>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</si>
  <si>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</si>
  <si>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</si>
  <si>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</si>
  <si>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</si>
  <si>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</si>
  <si>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</si>
  <si>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</si>
  <si>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</si>
  <si>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</si>
  <si>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</si>
  <si>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</si>
  <si>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</si>
  <si>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</si>
  <si>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</si>
  <si>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</si>
  <si>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</si>
  <si>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</si>
  <si>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</si>
  <si>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</si>
  <si>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</si>
  <si>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</si>
  <si>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</si>
  <si>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</si>
  <si>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</si>
  <si>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</si>
  <si>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</si>
  <si>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</si>
  <si>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</si>
  <si>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</si>
  <si>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</si>
  <si>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</si>
  <si>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</si>
  <si>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</si>
  <si>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</si>
  <si>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</si>
  <si>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</si>
  <si>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</si>
  <si>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</si>
  <si>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</si>
  <si>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</si>
  <si>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</si>
  <si>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</si>
  <si>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</si>
  <si>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</si>
  <si>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</si>
  <si>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</si>
  <si>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</si>
  <si>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</si>
  <si>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</si>
  <si>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</si>
  <si>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</si>
  <si>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</si>
  <si>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</si>
  <si>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</si>
  <si>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</si>
  <si>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</si>
  <si>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</si>
  <si>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</si>
  <si>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</si>
  <si>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</si>
  <si>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</si>
  <si>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</si>
  <si>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</si>
  <si>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</si>
  <si>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</si>
  <si>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</si>
  <si>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</si>
  <si>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</si>
  <si>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</si>
  <si>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</si>
  <si>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</si>
  <si>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</si>
  <si>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</si>
  <si>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</si>
  <si>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</si>
  <si>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</si>
  <si>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</si>
  <si>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</si>
  <si>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</si>
  <si>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</si>
  <si>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</si>
  <si>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</si>
  <si>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</si>
  <si>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</si>
  <si>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</si>
  <si>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</si>
  <si>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</si>
  <si>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</si>
  <si>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</si>
  <si>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</si>
  <si>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</si>
  <si>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</si>
  <si>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</si>
  <si>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</si>
  <si>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</si>
  <si>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</si>
  <si>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</si>
  <si>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</si>
  <si>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</si>
  <si>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</si>
  <si>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</si>
  <si>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</si>
  <si>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</si>
  <si>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</si>
  <si>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</si>
  <si>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</si>
  <si>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</si>
  <si>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</si>
  <si>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</si>
  <si>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</si>
  <si>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</si>
  <si>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</si>
  <si>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</si>
  <si>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</si>
  <si>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</si>
  <si>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</si>
  <si>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</si>
  <si>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</si>
  <si>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</si>
  <si>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</si>
  <si>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</si>
  <si>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</si>
  <si>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</si>
  <si>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</si>
  <si>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</si>
  <si>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</si>
  <si>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</si>
  <si>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</si>
  <si>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</si>
  <si>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</si>
  <si>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</si>
  <si>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</si>
  <si>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</si>
  <si>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</si>
  <si>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</si>
  <si>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</si>
  <si>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</si>
  <si>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</si>
  <si>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</si>
  <si>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</si>
  <si>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</si>
  <si>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</si>
  <si>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</si>
  <si>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</si>
  <si>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</si>
  <si>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</si>
  <si>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</si>
  <si>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</si>
  <si>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</si>
  <si>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</si>
  <si>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</si>
  <si>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</si>
  <si>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</si>
  <si>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</si>
  <si>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</si>
  <si>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</si>
  <si>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</si>
  <si>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</si>
  <si>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</si>
  <si>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</si>
  <si>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</si>
  <si>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</si>
  <si>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</si>
  <si>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</si>
  <si>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</si>
  <si>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</si>
  <si>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</si>
  <si>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</si>
  <si>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</si>
  <si>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</si>
  <si>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</si>
  <si>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</si>
  <si>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</si>
  <si>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</si>
  <si>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</si>
  <si>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</si>
  <si>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</si>
  <si>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</si>
  <si>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</si>
  <si>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</si>
  <si>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</si>
  <si>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</si>
  <si>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</si>
  <si>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</si>
  <si>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</si>
  <si>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</si>
  <si>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</si>
  <si>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</si>
  <si>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</si>
  <si>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</si>
  <si>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</si>
  <si>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</si>
  <si>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</si>
  <si>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</si>
  <si>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</si>
  <si>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</si>
  <si>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</si>
  <si>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</si>
  <si>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</si>
  <si>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</si>
  <si>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</si>
  <si>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</si>
  <si>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</si>
  <si>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</si>
  <si>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</si>
  <si>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</si>
  <si>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</si>
  <si>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</si>
  <si>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</si>
  <si>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</si>
  <si>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</si>
  <si>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</si>
  <si>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</si>
  <si>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</si>
  <si>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</si>
  <si>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</si>
  <si>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</si>
  <si>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</si>
  <si>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</si>
  <si>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</si>
  <si>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</si>
  <si>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</si>
  <si>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</si>
  <si>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</si>
  <si>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</si>
  <si>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</si>
  <si>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</si>
  <si>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</si>
  <si>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</si>
  <si>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</si>
  <si>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</si>
  <si>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</si>
  <si>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</si>
  <si>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</si>
  <si>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</si>
  <si>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</si>
  <si>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</si>
  <si>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</si>
  <si>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</si>
  <si>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</si>
  <si>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</si>
  <si>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</si>
  <si>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</si>
  <si>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</si>
  <si>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</si>
  <si>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</si>
  <si>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</si>
  <si>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</si>
  <si>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</si>
  <si>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</si>
  <si>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</si>
  <si>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</si>
  <si>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</si>
  <si>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</si>
  <si>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</si>
  <si>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</si>
  <si>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</si>
  <si>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</si>
  <si>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</si>
  <si>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</si>
  <si>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</si>
  <si>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</si>
  <si>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</si>
  <si>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</si>
  <si>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</si>
  <si>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</si>
  <si>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</si>
  <si>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</si>
  <si>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</si>
  <si>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</si>
  <si>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</si>
  <si>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</si>
  <si>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</si>
  <si>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</si>
  <si>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</si>
  <si>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</si>
  <si>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</si>
  <si>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</si>
  <si>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</si>
  <si>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</si>
  <si>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</si>
  <si>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</si>
  <si>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</si>
  <si>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</si>
  <si>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</si>
  <si>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</si>
  <si>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</si>
  <si>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</si>
  <si>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</si>
  <si>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</si>
  <si>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</si>
  <si>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</si>
  <si>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</si>
  <si>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</si>
  <si>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</si>
  <si>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</si>
  <si>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</si>
  <si>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</si>
  <si>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</si>
  <si>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</si>
  <si>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</si>
  <si>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</si>
  <si>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</si>
  <si>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</si>
  <si>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</si>
  <si>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</si>
  <si>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</si>
  <si>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</si>
  <si>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</si>
  <si>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</si>
  <si>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</si>
  <si>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</si>
  <si>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</si>
  <si>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</si>
  <si>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</si>
  <si>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</si>
  <si>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</si>
  <si>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</si>
  <si>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</si>
  <si>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</si>
  <si>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</si>
  <si>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</si>
  <si>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</si>
  <si>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</si>
  <si>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</si>
  <si>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</si>
  <si>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</si>
  <si>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</si>
  <si>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</si>
  <si>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</si>
  <si>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</si>
  <si>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</si>
  <si>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</si>
  <si>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</si>
  <si>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</si>
  <si>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</si>
  <si>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</si>
  <si>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</si>
  <si>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</si>
  <si>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</si>
  <si>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</si>
  <si>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</si>
  <si>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</si>
  <si>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</si>
  <si>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</si>
  <si>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</si>
  <si>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</si>
  <si>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</si>
  <si>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</si>
  <si>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</si>
  <si>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</si>
  <si>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</si>
  <si>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</si>
  <si>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</si>
  <si>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</si>
  <si>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</si>
  <si>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</si>
  <si>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</si>
  <si>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</si>
  <si>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</si>
  <si>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</si>
  <si>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</si>
  <si>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</si>
  <si>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</si>
  <si>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</si>
  <si>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</si>
  <si>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</si>
  <si>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</si>
  <si>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</si>
  <si>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</si>
  <si>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</si>
  <si>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</si>
  <si>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</si>
  <si>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</si>
  <si>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</si>
  <si>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</si>
  <si>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</si>
  <si>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</si>
  <si>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</si>
  <si>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</si>
  <si>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</si>
  <si>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</si>
  <si>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</si>
  <si>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</si>
  <si>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</si>
  <si>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</si>
  <si>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</si>
  <si>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</si>
  <si>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</si>
  <si>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</si>
  <si>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</si>
  <si>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</si>
  <si>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</si>
  <si>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</si>
  <si>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</si>
  <si>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</si>
  <si>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</si>
  <si>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</si>
  <si>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</si>
  <si>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</si>
  <si>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</si>
  <si>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</si>
  <si>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</si>
  <si>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</si>
  <si>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</si>
  <si>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</si>
  <si>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</si>
  <si>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</si>
  <si>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</si>
  <si>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</si>
  <si>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</si>
  <si>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</si>
  <si>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</si>
  <si>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</si>
  <si>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</si>
  <si>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</si>
  <si>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</si>
  <si>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</si>
  <si>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</si>
  <si>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</si>
  <si>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</si>
  <si>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</si>
  <si>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</si>
  <si>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</si>
  <si>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</si>
  <si>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</si>
  <si>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</si>
  <si>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</si>
  <si>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</si>
  <si>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</si>
  <si>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</si>
  <si>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</si>
  <si>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</si>
  <si>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</si>
  <si>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</si>
  <si>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</si>
  <si>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</si>
  <si>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</si>
  <si>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</si>
  <si>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</si>
  <si>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</si>
  <si>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</si>
  <si>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</si>
  <si>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</si>
  <si>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</si>
  <si>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</si>
  <si>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</si>
  <si>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</si>
  <si>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</si>
  <si>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</si>
  <si>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</si>
  <si>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</si>
  <si>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</si>
  <si>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</si>
  <si>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</si>
  <si>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</si>
  <si>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</si>
  <si>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</si>
  <si>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</si>
  <si>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</si>
  <si>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</si>
  <si>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</si>
  <si>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</si>
  <si>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</si>
  <si>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</si>
  <si>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</si>
  <si>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</si>
  <si>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</si>
  <si>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</si>
  <si>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</si>
  <si>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</si>
  <si>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</si>
  <si>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</si>
  <si>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</si>
  <si>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</si>
  <si>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</si>
  <si>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</si>
  <si>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</si>
  <si>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</si>
  <si>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</si>
  <si>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</si>
  <si>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</si>
  <si>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</si>
  <si>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</si>
  <si>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</si>
  <si>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</si>
  <si>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</si>
  <si>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</si>
  <si>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</si>
  <si>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</si>
  <si>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</si>
  <si>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</si>
  <si>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</si>
  <si>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</si>
  <si>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</si>
  <si>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</si>
  <si>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</si>
  <si>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</si>
  <si>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</si>
  <si>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</si>
  <si>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</si>
  <si>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</si>
  <si>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</si>
  <si>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</si>
  <si>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</si>
  <si>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</si>
  <si>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</si>
  <si>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</si>
  <si>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</si>
  <si>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</si>
  <si>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</si>
  <si>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</si>
  <si>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</si>
  <si>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</si>
  <si>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</si>
  <si>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</si>
  <si>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</si>
  <si>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</si>
  <si>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</si>
  <si>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</si>
  <si>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</si>
  <si>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</si>
  <si>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</si>
  <si>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</si>
  <si>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</si>
  <si>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</si>
  <si>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</si>
  <si>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</si>
  <si>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</si>
  <si>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</si>
  <si>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</si>
  <si>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</si>
  <si>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</si>
  <si>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</si>
  <si>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</si>
  <si>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</si>
  <si>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</si>
  <si>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</si>
  <si>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</si>
  <si>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</si>
  <si>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</si>
  <si>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</si>
  <si>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</si>
  <si>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</si>
  <si>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</si>
  <si>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</si>
  <si>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</si>
  <si>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</si>
  <si>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</si>
  <si>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</si>
  <si>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</si>
  <si>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</si>
  <si>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</si>
  <si>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</si>
  <si>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</si>
  <si>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</si>
  <si>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</si>
  <si>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</si>
  <si>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</si>
  <si>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</si>
  <si>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</si>
  <si>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</si>
  <si>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</si>
  <si>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</si>
  <si>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</si>
  <si>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</si>
  <si>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</si>
  <si>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</si>
  <si>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</si>
  <si>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</si>
  <si>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</si>
  <si>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</si>
  <si>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</si>
  <si>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</si>
  <si>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</si>
  <si>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</si>
  <si>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</si>
  <si>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</si>
  <si>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</si>
  <si>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</si>
  <si>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</si>
  <si>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</si>
  <si>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</si>
  <si>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</si>
  <si>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</si>
  <si>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</si>
  <si>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</si>
  <si>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</si>
  <si>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</si>
  <si>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</si>
  <si>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</si>
  <si>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</si>
  <si>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</si>
  <si>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</si>
  <si>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</si>
  <si>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</si>
  <si>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</si>
  <si>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</si>
  <si>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</si>
  <si>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</si>
  <si>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</si>
  <si>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</si>
  <si>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</si>
  <si>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</si>
  <si>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</si>
  <si>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</si>
  <si>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</si>
  <si>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</si>
  <si>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</si>
  <si>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</si>
  <si>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</si>
  <si>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</si>
  <si>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</si>
  <si>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</si>
  <si>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</si>
  <si>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</si>
  <si>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</si>
  <si>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</si>
  <si>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</si>
  <si>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</si>
  <si>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</si>
  <si>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73066</t>
  </si>
  <si>
    <t>RIEMST</t>
  </si>
  <si>
    <t>Paarden&amp;pony's 200 - 600 kg</t>
  </si>
  <si>
    <t>Paarden&amp;pony's &lt; 200 kg</t>
  </si>
  <si>
    <t>referentietaak LNE (2017); Jaarverslag De Lijn (2015)</t>
  </si>
  <si>
    <t>op basis van VEA (maart 2018) en Inventaris Hernieuwbare Energiebronnen (juni 2018)</t>
  </si>
  <si>
    <t>VEA (januari 2017)</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</si>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</sst>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155612.32919014405</c:v>
                </c:pt>
                <c:pt idx="1">
                  <c:v>34303.54685466412</c:v>
                </c:pt>
                <c:pt idx="2">
                  <c:v>936.76700000000005</c:v>
                </c:pt>
                <c:pt idx="3">
                  <c:v>15344.749106248915</c:v>
                </c:pt>
                <c:pt idx="4">
                  <c:v>11591.551611380217</c:v>
                </c:pt>
                <c:pt idx="5">
                  <c:v>128875.21033124049</c:v>
                </c:pt>
                <c:pt idx="6">
                  <c:v>1760.5042671310409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04864"/>
        <c:axId val="131606400"/>
      </c:barChart>
      <c:catAx>
        <c:axId val="131604864"/>
        <c:scaling>
          <c:orientation val="minMax"/>
        </c:scaling>
        <c:axPos val="b"/>
        <c:numFmt formatCode="General" sourceLinked="0"/>
        <c:tickLblPos val="nextTo"/>
        <c:crossAx val="131606400"/>
        <c:crosses val="autoZero"/>
        <c:auto val="1"/>
        <c:lblAlgn val="ctr"/>
        <c:lblOffset val="100"/>
      </c:catAx>
      <c:valAx>
        <c:axId val="131606400"/>
        <c:scaling>
          <c:orientation val="minMax"/>
        </c:scaling>
        <c:axPos val="l"/>
        <c:majorGridlines/>
        <c:numFmt formatCode="#,##0" sourceLinked="1"/>
        <c:tickLblPos val="nextTo"/>
        <c:crossAx val="1316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155612.32919014405</c:v>
                </c:pt>
                <c:pt idx="1">
                  <c:v>34303.54685466412</c:v>
                </c:pt>
                <c:pt idx="2">
                  <c:v>936.76700000000005</c:v>
                </c:pt>
                <c:pt idx="3">
                  <c:v>15344.749106248915</c:v>
                </c:pt>
                <c:pt idx="4">
                  <c:v>11591.551611380217</c:v>
                </c:pt>
                <c:pt idx="5">
                  <c:v>128875.21033124049</c:v>
                </c:pt>
                <c:pt idx="6">
                  <c:v>1760.5042671310409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33430.484501896593</c:v>
                </c:pt>
                <c:pt idx="2">
                  <c:v>5963.2148642429756</c:v>
                </c:pt>
                <c:pt idx="3">
                  <c:v>175.26637706521714</c:v>
                </c:pt>
                <c:pt idx="4">
                  <c:v>3666.191082539845</c:v>
                </c:pt>
                <c:pt idx="5">
                  <c:v>2255.7773306147878</c:v>
                </c:pt>
                <c:pt idx="6">
                  <c:v>32984.531520389821</c:v>
                </c:pt>
                <c:pt idx="7">
                  <c:v>455.91323086351554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38848"/>
        <c:axId val="149844736"/>
      </c:barChart>
      <c:catAx>
        <c:axId val="149838848"/>
        <c:scaling>
          <c:orientation val="minMax"/>
        </c:scaling>
        <c:axPos val="b"/>
        <c:numFmt formatCode="General" sourceLinked="0"/>
        <c:tickLblPos val="nextTo"/>
        <c:crossAx val="149844736"/>
        <c:crosses val="autoZero"/>
        <c:auto val="1"/>
        <c:lblAlgn val="ctr"/>
        <c:lblOffset val="100"/>
      </c:catAx>
      <c:valAx>
        <c:axId val="149844736"/>
        <c:scaling>
          <c:orientation val="minMax"/>
        </c:scaling>
        <c:axPos val="l"/>
        <c:majorGridlines/>
        <c:numFmt formatCode="#,##0" sourceLinked="1"/>
        <c:tickLblPos val="nextTo"/>
        <c:crossAx val="149838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33430.484501896593</c:v>
                </c:pt>
                <c:pt idx="2">
                  <c:v>5963.2148642429756</c:v>
                </c:pt>
                <c:pt idx="3">
                  <c:v>175.26637706521714</c:v>
                </c:pt>
                <c:pt idx="4">
                  <c:v>3666.191082539845</c:v>
                </c:pt>
                <c:pt idx="5">
                  <c:v>2255.7773306147878</c:v>
                </c:pt>
                <c:pt idx="6">
                  <c:v>32984.531520389821</c:v>
                </c:pt>
                <c:pt idx="7">
                  <c:v>455.91323086351554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0.18709708717879381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0.18709708717879381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6711</v>
      </c>
      <c r="C9" s="342">
        <v>6818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4307.67</v>
      </c>
    </row>
    <row r="15" spans="1:6">
      <c r="A15" s="348" t="s">
        <v>184</v>
      </c>
      <c r="B15" s="334">
        <v>9</v>
      </c>
    </row>
    <row r="16" spans="1:6">
      <c r="A16" s="348" t="s">
        <v>6</v>
      </c>
      <c r="B16" s="334">
        <v>277</v>
      </c>
    </row>
    <row r="17" spans="1:6">
      <c r="A17" s="348" t="s">
        <v>7</v>
      </c>
      <c r="B17" s="334">
        <v>856</v>
      </c>
    </row>
    <row r="18" spans="1:6">
      <c r="A18" s="348" t="s">
        <v>8</v>
      </c>
      <c r="B18" s="334">
        <v>966</v>
      </c>
    </row>
    <row r="19" spans="1:6">
      <c r="A19" s="348" t="s">
        <v>9</v>
      </c>
      <c r="B19" s="334">
        <v>919</v>
      </c>
    </row>
    <row r="20" spans="1:6">
      <c r="A20" s="348" t="s">
        <v>10</v>
      </c>
      <c r="B20" s="334">
        <v>529</v>
      </c>
    </row>
    <row r="21" spans="1:6">
      <c r="A21" s="348" t="s">
        <v>11</v>
      </c>
      <c r="B21" s="334">
        <v>7870</v>
      </c>
    </row>
    <row r="22" spans="1:6">
      <c r="A22" s="348" t="s">
        <v>12</v>
      </c>
      <c r="B22" s="334">
        <v>19977</v>
      </c>
    </row>
    <row r="23" spans="1:6">
      <c r="A23" s="348" t="s">
        <v>13</v>
      </c>
      <c r="B23" s="334">
        <v>339</v>
      </c>
    </row>
    <row r="24" spans="1:6">
      <c r="A24" s="348" t="s">
        <v>14</v>
      </c>
      <c r="B24" s="334">
        <v>18</v>
      </c>
    </row>
    <row r="25" spans="1:6">
      <c r="A25" s="348" t="s">
        <v>15</v>
      </c>
      <c r="B25" s="334">
        <v>1827</v>
      </c>
    </row>
    <row r="26" spans="1:6">
      <c r="A26" s="348" t="s">
        <v>16</v>
      </c>
      <c r="B26" s="334">
        <v>106</v>
      </c>
    </row>
    <row r="27" spans="1:6">
      <c r="A27" s="348" t="s">
        <v>17</v>
      </c>
      <c r="B27" s="334">
        <v>589</v>
      </c>
    </row>
    <row r="28" spans="1:6" s="356" customFormat="1">
      <c r="A28" s="355" t="s">
        <v>18</v>
      </c>
      <c r="B28" s="355">
        <v>30</v>
      </c>
    </row>
    <row r="29" spans="1:6">
      <c r="A29" s="355" t="s">
        <v>884</v>
      </c>
      <c r="B29" s="355">
        <v>36</v>
      </c>
      <c r="C29" s="356"/>
      <c r="D29" s="356"/>
      <c r="E29" s="356"/>
      <c r="F29" s="356"/>
    </row>
    <row r="30" spans="1:6">
      <c r="A30" s="355" t="s">
        <v>885</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54860</v>
      </c>
    </row>
    <row r="37" spans="1:6">
      <c r="A37" s="348" t="s">
        <v>25</v>
      </c>
      <c r="B37" s="348" t="s">
        <v>28</v>
      </c>
      <c r="C37" s="334">
        <v>0</v>
      </c>
      <c r="D37" s="334">
        <v>0</v>
      </c>
      <c r="E37" s="334">
        <v>0</v>
      </c>
      <c r="F37" s="334">
        <v>0</v>
      </c>
    </row>
    <row r="38" spans="1:6">
      <c r="A38" s="348" t="s">
        <v>25</v>
      </c>
      <c r="B38" s="348" t="s">
        <v>29</v>
      </c>
      <c r="C38" s="334">
        <v>0</v>
      </c>
      <c r="D38" s="334">
        <v>1434</v>
      </c>
      <c r="E38" s="334">
        <v>0</v>
      </c>
      <c r="F38" s="334">
        <v>3495</v>
      </c>
    </row>
    <row r="39" spans="1:6">
      <c r="A39" s="348" t="s">
        <v>30</v>
      </c>
      <c r="B39" s="348" t="s">
        <v>31</v>
      </c>
      <c r="C39" s="334">
        <v>2484</v>
      </c>
      <c r="D39" s="334">
        <v>42751006</v>
      </c>
      <c r="E39" s="334">
        <v>6685</v>
      </c>
      <c r="F39" s="334">
        <v>24158906</v>
      </c>
    </row>
    <row r="40" spans="1:6">
      <c r="A40" s="348" t="s">
        <v>30</v>
      </c>
      <c r="B40" s="348" t="s">
        <v>29</v>
      </c>
      <c r="C40" s="334">
        <v>0</v>
      </c>
      <c r="D40" s="334">
        <v>0</v>
      </c>
      <c r="E40" s="334">
        <v>0</v>
      </c>
      <c r="F40" s="334">
        <v>0</v>
      </c>
    </row>
    <row r="41" spans="1:6">
      <c r="A41" s="348" t="s">
        <v>32</v>
      </c>
      <c r="B41" s="348" t="s">
        <v>33</v>
      </c>
      <c r="C41" s="334">
        <v>42</v>
      </c>
      <c r="D41" s="334">
        <v>1137371</v>
      </c>
      <c r="E41" s="334">
        <v>117</v>
      </c>
      <c r="F41" s="334">
        <v>896229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99719</v>
      </c>
      <c r="E44" s="334">
        <v>10</v>
      </c>
      <c r="F44" s="334">
        <v>84397</v>
      </c>
    </row>
    <row r="45" spans="1:6">
      <c r="A45" s="348" t="s">
        <v>32</v>
      </c>
      <c r="B45" s="348" t="s">
        <v>37</v>
      </c>
      <c r="C45" s="334">
        <v>0</v>
      </c>
      <c r="D45" s="334">
        <v>0</v>
      </c>
      <c r="E45" s="334">
        <v>5</v>
      </c>
      <c r="F45" s="334">
        <v>599833</v>
      </c>
    </row>
    <row r="46" spans="1:6">
      <c r="A46" s="348" t="s">
        <v>32</v>
      </c>
      <c r="B46" s="348" t="s">
        <v>38</v>
      </c>
      <c r="C46" s="334">
        <v>0</v>
      </c>
      <c r="D46" s="334">
        <v>0</v>
      </c>
      <c r="E46" s="334">
        <v>0</v>
      </c>
      <c r="F46" s="334">
        <v>0</v>
      </c>
    </row>
    <row r="47" spans="1:6">
      <c r="A47" s="348" t="s">
        <v>32</v>
      </c>
      <c r="B47" s="348" t="s">
        <v>39</v>
      </c>
      <c r="C47" s="334">
        <v>0</v>
      </c>
      <c r="D47" s="334">
        <v>0</v>
      </c>
      <c r="E47" s="334">
        <v>5</v>
      </c>
      <c r="F47" s="334">
        <v>39659</v>
      </c>
    </row>
    <row r="48" spans="1:6">
      <c r="A48" s="348" t="s">
        <v>32</v>
      </c>
      <c r="B48" s="348" t="s">
        <v>29</v>
      </c>
      <c r="C48" s="334">
        <v>3</v>
      </c>
      <c r="D48" s="334">
        <v>6479621</v>
      </c>
      <c r="E48" s="334">
        <v>0</v>
      </c>
      <c r="F48" s="334">
        <v>42754</v>
      </c>
    </row>
    <row r="49" spans="1:6">
      <c r="A49" s="348" t="s">
        <v>32</v>
      </c>
      <c r="B49" s="348" t="s">
        <v>40</v>
      </c>
      <c r="C49" s="334">
        <v>0</v>
      </c>
      <c r="D49" s="334">
        <v>0</v>
      </c>
      <c r="E49" s="334">
        <v>0</v>
      </c>
      <c r="F49" s="334">
        <v>0</v>
      </c>
    </row>
    <row r="50" spans="1:6">
      <c r="A50" s="348" t="s">
        <v>32</v>
      </c>
      <c r="B50" s="348" t="s">
        <v>41</v>
      </c>
      <c r="C50" s="334">
        <v>4</v>
      </c>
      <c r="D50" s="334">
        <v>311450</v>
      </c>
      <c r="E50" s="334">
        <v>14</v>
      </c>
      <c r="F50" s="334">
        <v>709813</v>
      </c>
    </row>
    <row r="51" spans="1:6">
      <c r="A51" s="348" t="s">
        <v>42</v>
      </c>
      <c r="B51" s="348" t="s">
        <v>43</v>
      </c>
      <c r="C51" s="334">
        <v>14</v>
      </c>
      <c r="D51" s="334">
        <v>4227440</v>
      </c>
      <c r="E51" s="334">
        <v>136</v>
      </c>
      <c r="F51" s="334">
        <v>2374010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67</v>
      </c>
      <c r="F54" s="334">
        <v>936767</v>
      </c>
    </row>
    <row r="55" spans="1:6">
      <c r="A55" s="348" t="s">
        <v>46</v>
      </c>
      <c r="B55" s="348" t="s">
        <v>29</v>
      </c>
      <c r="C55" s="334">
        <v>0</v>
      </c>
      <c r="D55" s="334">
        <v>0</v>
      </c>
      <c r="E55" s="334">
        <v>0</v>
      </c>
      <c r="F55" s="334">
        <v>0</v>
      </c>
    </row>
    <row r="56" spans="1:6">
      <c r="A56" s="348" t="s">
        <v>48</v>
      </c>
      <c r="B56" s="348" t="s">
        <v>29</v>
      </c>
      <c r="C56" s="334">
        <v>39</v>
      </c>
      <c r="D56" s="334">
        <v>1243726</v>
      </c>
      <c r="E56" s="334">
        <v>136</v>
      </c>
      <c r="F56" s="334">
        <v>434863</v>
      </c>
    </row>
    <row r="57" spans="1:6">
      <c r="A57" s="348" t="s">
        <v>49</v>
      </c>
      <c r="B57" s="348" t="s">
        <v>50</v>
      </c>
      <c r="C57" s="334">
        <v>19</v>
      </c>
      <c r="D57" s="334">
        <v>857019</v>
      </c>
      <c r="E57" s="334">
        <v>78</v>
      </c>
      <c r="F57" s="334">
        <v>6165104</v>
      </c>
    </row>
    <row r="58" spans="1:6">
      <c r="A58" s="348" t="s">
        <v>49</v>
      </c>
      <c r="B58" s="348" t="s">
        <v>51</v>
      </c>
      <c r="C58" s="334">
        <v>18</v>
      </c>
      <c r="D58" s="334">
        <v>1597790</v>
      </c>
      <c r="E58" s="334">
        <v>23</v>
      </c>
      <c r="F58" s="334">
        <v>813582</v>
      </c>
    </row>
    <row r="59" spans="1:6">
      <c r="A59" s="348" t="s">
        <v>49</v>
      </c>
      <c r="B59" s="348" t="s">
        <v>52</v>
      </c>
      <c r="C59" s="334">
        <v>62</v>
      </c>
      <c r="D59" s="334">
        <v>2678984</v>
      </c>
      <c r="E59" s="334">
        <v>163</v>
      </c>
      <c r="F59" s="334">
        <v>4784883</v>
      </c>
    </row>
    <row r="60" spans="1:6">
      <c r="A60" s="348" t="s">
        <v>49</v>
      </c>
      <c r="B60" s="348" t="s">
        <v>53</v>
      </c>
      <c r="C60" s="334">
        <v>31</v>
      </c>
      <c r="D60" s="334">
        <v>1517396</v>
      </c>
      <c r="E60" s="334">
        <v>87</v>
      </c>
      <c r="F60" s="334">
        <v>1914864</v>
      </c>
    </row>
    <row r="61" spans="1:6">
      <c r="A61" s="348" t="s">
        <v>49</v>
      </c>
      <c r="B61" s="348" t="s">
        <v>54</v>
      </c>
      <c r="C61" s="334">
        <v>56</v>
      </c>
      <c r="D61" s="334">
        <v>2252254</v>
      </c>
      <c r="E61" s="334">
        <v>273</v>
      </c>
      <c r="F61" s="334">
        <v>2888368</v>
      </c>
    </row>
    <row r="62" spans="1:6">
      <c r="A62" s="348" t="s">
        <v>49</v>
      </c>
      <c r="B62" s="348" t="s">
        <v>55</v>
      </c>
      <c r="C62" s="334">
        <v>8</v>
      </c>
      <c r="D62" s="334">
        <v>311797</v>
      </c>
      <c r="E62" s="334">
        <v>18</v>
      </c>
      <c r="F62" s="334">
        <v>159218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36102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139370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73287061</v>
      </c>
      <c r="E73" s="475">
        <v>75317805.061731681</v>
      </c>
    </row>
    <row r="74" spans="1:6">
      <c r="A74" s="348" t="s">
        <v>64</v>
      </c>
      <c r="B74" s="348" t="s">
        <v>667</v>
      </c>
      <c r="C74" s="1294" t="s">
        <v>669</v>
      </c>
      <c r="D74" s="475">
        <v>4446651.277479033</v>
      </c>
      <c r="E74" s="475">
        <v>4569575.452899077</v>
      </c>
    </row>
    <row r="75" spans="1:6">
      <c r="A75" s="348" t="s">
        <v>65</v>
      </c>
      <c r="B75" s="348" t="s">
        <v>666</v>
      </c>
      <c r="C75" s="1294" t="s">
        <v>670</v>
      </c>
      <c r="D75" s="475">
        <v>26688511</v>
      </c>
      <c r="E75" s="475">
        <v>27274813.204206314</v>
      </c>
    </row>
    <row r="76" spans="1:6">
      <c r="A76" s="348" t="s">
        <v>65</v>
      </c>
      <c r="B76" s="348" t="s">
        <v>667</v>
      </c>
      <c r="C76" s="1294" t="s">
        <v>671</v>
      </c>
      <c r="D76" s="475">
        <v>45314.277479033335</v>
      </c>
      <c r="E76" s="475">
        <v>49494.824032186531</v>
      </c>
    </row>
    <row r="77" spans="1:6">
      <c r="A77" s="348" t="s">
        <v>66</v>
      </c>
      <c r="B77" s="348" t="s">
        <v>666</v>
      </c>
      <c r="C77" s="1294" t="s">
        <v>672</v>
      </c>
      <c r="D77" s="475">
        <v>38578726</v>
      </c>
      <c r="E77" s="475">
        <v>39810467.809073485</v>
      </c>
    </row>
    <row r="78" spans="1:6">
      <c r="A78" s="341" t="s">
        <v>66</v>
      </c>
      <c r="B78" s="341" t="s">
        <v>667</v>
      </c>
      <c r="C78" s="341" t="s">
        <v>673</v>
      </c>
      <c r="D78" s="1295">
        <v>9005500</v>
      </c>
      <c r="E78" s="1295">
        <v>8915523.7200573031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472847.44504193333</v>
      </c>
      <c r="C83" s="475">
        <v>472847.44504193333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5179.0450285501011</v>
      </c>
    </row>
    <row r="92" spans="1:6">
      <c r="A92" s="341" t="s">
        <v>69</v>
      </c>
      <c r="B92" s="342">
        <v>2777.0570718730646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3</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52214.763183600051</v>
      </c>
      <c r="C3" s="43" t="s">
        <v>170</v>
      </c>
      <c r="D3" s="43"/>
      <c r="E3" s="154"/>
      <c r="F3" s="43"/>
      <c r="G3" s="43"/>
      <c r="H3" s="43"/>
      <c r="I3" s="43"/>
      <c r="J3" s="43"/>
      <c r="K3" s="96"/>
    </row>
    <row r="4" spans="1:11">
      <c r="A4" s="383" t="s">
        <v>171</v>
      </c>
      <c r="B4" s="49">
        <f>IF(ISERROR('SEAP template'!B78+'SEAP template'!C78),0,'SEAP template'!B78+'SEAP template'!C78)</f>
        <v>8010.1021004231661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0.18709708717879381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77.142857142857139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936.76700000000005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936.76700000000005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0.18709708717879381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175.26637706521714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24158.905999999999</v>
      </c>
      <c r="C5" s="17">
        <f>IF(ISERROR('Eigen informatie GS &amp; warmtenet'!B57),0,'Eigen informatie GS &amp; warmtenet'!B57)</f>
        <v>0</v>
      </c>
      <c r="D5" s="30">
        <f>(SUM(HH_hh_gas_kWh,HH_rest_gas_kWh)/1000)*0.902</f>
        <v>38561.407412</v>
      </c>
      <c r="E5" s="17">
        <f>B46*B57</f>
        <v>5449.1705555121262</v>
      </c>
      <c r="F5" s="17">
        <f>B51*B62</f>
        <v>70842.971188522541</v>
      </c>
      <c r="G5" s="18"/>
      <c r="H5" s="17"/>
      <c r="I5" s="17"/>
      <c r="J5" s="17">
        <f>B50*B61+C50*C61</f>
        <v>0</v>
      </c>
      <c r="K5" s="17"/>
      <c r="L5" s="17"/>
      <c r="M5" s="17"/>
      <c r="N5" s="17">
        <f>B48*B59+C48*C59</f>
        <v>9967.595672225978</v>
      </c>
      <c r="O5" s="17">
        <f>B69*B70*B71</f>
        <v>328.3</v>
      </c>
      <c r="P5" s="17">
        <f>B77*B78*B79/1000-B77*B78*B79/1000/B80</f>
        <v>1124.9333333333334</v>
      </c>
    </row>
    <row r="6" spans="1:16">
      <c r="A6" s="16" t="s">
        <v>624</v>
      </c>
      <c r="B6" s="788">
        <f>kWh_PV_kleiner_dan_10kW</f>
        <v>5179.0450285501011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29337.951028550102</v>
      </c>
      <c r="C8" s="21">
        <f>C5</f>
        <v>0</v>
      </c>
      <c r="D8" s="21">
        <f>D5</f>
        <v>38561.407412</v>
      </c>
      <c r="E8" s="21">
        <f>E5</f>
        <v>5449.1705555121262</v>
      </c>
      <c r="F8" s="21">
        <f>F5</f>
        <v>70842.971188522541</v>
      </c>
      <c r="G8" s="21"/>
      <c r="H8" s="21"/>
      <c r="I8" s="21"/>
      <c r="J8" s="21">
        <f>J5</f>
        <v>0</v>
      </c>
      <c r="K8" s="21"/>
      <c r="L8" s="21">
        <f>L5</f>
        <v>0</v>
      </c>
      <c r="M8" s="21">
        <f>M5</f>
        <v>0</v>
      </c>
      <c r="N8" s="21">
        <f>N5</f>
        <v>9967.595672225978</v>
      </c>
      <c r="O8" s="21">
        <f>O5</f>
        <v>328.3</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0.18709708717879381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5489.0451812358215</v>
      </c>
      <c r="C12" s="23">
        <f ca="1">C10*C8</f>
        <v>0</v>
      </c>
      <c r="D12" s="23">
        <f>D8*D10</f>
        <v>7789.4042972240004</v>
      </c>
      <c r="E12" s="23">
        <f>E10*E8</f>
        <v>1236.9617161012527</v>
      </c>
      <c r="F12" s="23">
        <f>F10*F8</f>
        <v>18915.073307335519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6711</v>
      </c>
      <c r="C28" s="36"/>
      <c r="D28" s="228"/>
    </row>
    <row r="29" spans="1:7" s="15" customFormat="1">
      <c r="A29" s="230" t="s">
        <v>699</v>
      </c>
      <c r="B29" s="37">
        <f>SUM(HH_hh_gas_aantal,HH_rest_gas_aantal)</f>
        <v>2484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2484</v>
      </c>
      <c r="C32" s="167">
        <f>IF(ISERROR(B32/SUM($B$32,$B$34,$B$35,$B$36,$B$38,$B$39)*100),0,B32/SUM($B$32,$B$34,$B$35,$B$36,$B$38,$B$39)*100)</f>
        <v>37.342152736019244</v>
      </c>
      <c r="D32" s="233"/>
      <c r="G32" s="15"/>
    </row>
    <row r="33" spans="1:7">
      <c r="A33" s="171" t="s">
        <v>72</v>
      </c>
      <c r="B33" s="34" t="s">
        <v>111</v>
      </c>
      <c r="C33" s="167"/>
      <c r="D33" s="233"/>
      <c r="G33" s="15"/>
    </row>
    <row r="34" spans="1:7">
      <c r="A34" s="171" t="s">
        <v>73</v>
      </c>
      <c r="B34" s="33">
        <f>IF((($B$28-$B$32-$B$39-$B$77-$B$38)*C20/100)&lt;0,0,($B$28-$B$32-$B$39-$B$77-$B$38)*C20/100)</f>
        <v>240.92305194805195</v>
      </c>
      <c r="C34" s="167">
        <f>IF(ISERROR(B34/SUM($B$32,$B$34,$B$35,$B$36,$B$38,$B$39)*100),0,B34/SUM($B$32,$B$34,$B$35,$B$36,$B$38,$B$39)*100)</f>
        <v>3.6218137695137091</v>
      </c>
      <c r="D34" s="233"/>
      <c r="G34" s="15"/>
    </row>
    <row r="35" spans="1:7">
      <c r="A35" s="171" t="s">
        <v>74</v>
      </c>
      <c r="B35" s="33">
        <f>IF((($B$28-$B$32-$B$39-$B$77-$B$38)*C21/100)&lt;0,0,($B$28-$B$32-$B$39-$B$77-$B$38)*C21/100)</f>
        <v>861.60616883116859</v>
      </c>
      <c r="C35" s="167">
        <f>IF(ISERROR(B35/SUM($B$32,$B$34,$B$35,$B$36,$B$38,$B$39)*100),0,B35/SUM($B$32,$B$34,$B$35,$B$36,$B$38,$B$39)*100)</f>
        <v>12.952588226565975</v>
      </c>
      <c r="D35" s="233"/>
      <c r="G35" s="15"/>
    </row>
    <row r="36" spans="1:7">
      <c r="A36" s="171" t="s">
        <v>75</v>
      </c>
      <c r="B36" s="33">
        <f>IF((($B$28-$B$32-$B$39-$B$77-$B$38)*C22/100)&lt;0,0,($B$28-$B$32-$B$39-$B$77-$B$38)*C22/100)</f>
        <v>155.1707792207792</v>
      </c>
      <c r="C36" s="167">
        <f>IF(ISERROR(B36/SUM($B$32,$B$34,$B$35,$B$36,$B$38,$B$39)*100),0,B36/SUM($B$32,$B$34,$B$35,$B$36,$B$38,$B$39)*100)</f>
        <v>2.3326936142630665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2910.3</v>
      </c>
      <c r="C39" s="167">
        <f>IF(ISERROR(B39/SUM($B$32,$B$34,$B$35,$B$36,$B$38,$B$39)*100),0,B39/SUM($B$32,$B$34,$B$35,$B$36,$B$38,$B$39)*100)</f>
        <v>43.750751653638005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2484</v>
      </c>
      <c r="C44" s="34" t="s">
        <v>111</v>
      </c>
      <c r="D44" s="174"/>
    </row>
    <row r="45" spans="1:7">
      <c r="A45" s="171" t="s">
        <v>72</v>
      </c>
      <c r="B45" s="33" t="str">
        <f t="shared" si="0"/>
        <v>-</v>
      </c>
      <c r="C45" s="34" t="s">
        <v>111</v>
      </c>
      <c r="D45" s="174"/>
    </row>
    <row r="46" spans="1:7">
      <c r="A46" s="171" t="s">
        <v>73</v>
      </c>
      <c r="B46" s="33">
        <f t="shared" si="0"/>
        <v>240.92305194805195</v>
      </c>
      <c r="C46" s="34" t="s">
        <v>111</v>
      </c>
      <c r="D46" s="174"/>
    </row>
    <row r="47" spans="1:7">
      <c r="A47" s="171" t="s">
        <v>74</v>
      </c>
      <c r="B47" s="33">
        <f t="shared" si="0"/>
        <v>861.60616883116859</v>
      </c>
      <c r="C47" s="34" t="s">
        <v>111</v>
      </c>
      <c r="D47" s="174"/>
    </row>
    <row r="48" spans="1:7">
      <c r="A48" s="171" t="s">
        <v>75</v>
      </c>
      <c r="B48" s="33">
        <f t="shared" si="0"/>
        <v>155.1707792207792</v>
      </c>
      <c r="C48" s="33">
        <f>B48*10</f>
        <v>1551.707792207792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2910.3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16726.019</v>
      </c>
      <c r="C5" s="17">
        <f>IF(ISERROR('Eigen informatie GS &amp; warmtenet'!B58),0,'Eigen informatie GS &amp; warmtenet'!B58)</f>
        <v>0</v>
      </c>
      <c r="D5" s="30">
        <f>SUM(D6:D12)</f>
        <v>8312.1464800000012</v>
      </c>
      <c r="E5" s="17">
        <f>SUM(E6:E12)</f>
        <v>261.85628944300726</v>
      </c>
      <c r="F5" s="17">
        <f>SUM(F6:F12)</f>
        <v>4102.3612830795928</v>
      </c>
      <c r="G5" s="18"/>
      <c r="H5" s="17"/>
      <c r="I5" s="17"/>
      <c r="J5" s="17">
        <f>SUM(J6:J12)</f>
        <v>0</v>
      </c>
      <c r="K5" s="17"/>
      <c r="L5" s="17"/>
      <c r="M5" s="17"/>
      <c r="N5" s="17">
        <f>SUM(N6:N12)</f>
        <v>4877.4071354748448</v>
      </c>
      <c r="O5" s="17">
        <f>B38*B39*B40</f>
        <v>4.6900000000000004</v>
      </c>
      <c r="P5" s="17">
        <f>B46*B47*B48/1000-B46*B47*B48/1000/B49</f>
        <v>19.066666666666666</v>
      </c>
      <c r="R5" s="32"/>
    </row>
    <row r="6" spans="1:18">
      <c r="A6" s="32" t="s">
        <v>54</v>
      </c>
      <c r="B6" s="37">
        <f>B26</f>
        <v>2888.3679999999999</v>
      </c>
      <c r="C6" s="33"/>
      <c r="D6" s="37">
        <f>IF(ISERROR(TER_kantoor_gas_kWh/1000),0,TER_kantoor_gas_kWh/1000)*0.902</f>
        <v>2031.5331079999999</v>
      </c>
      <c r="E6" s="33">
        <f>$C$26*'E Balans VL '!I12/100/3.6*1000000</f>
        <v>37.812295073458429</v>
      </c>
      <c r="F6" s="33">
        <f>$C$26*('E Balans VL '!L12+'E Balans VL '!N12)/100/3.6*1000000</f>
        <v>736.50399272003017</v>
      </c>
      <c r="G6" s="34"/>
      <c r="H6" s="33"/>
      <c r="I6" s="33"/>
      <c r="J6" s="33">
        <f>$C$26*('E Balans VL '!D12+'E Balans VL '!E12)/100/3.6*1000000</f>
        <v>0</v>
      </c>
      <c r="K6" s="33"/>
      <c r="L6" s="33"/>
      <c r="M6" s="33"/>
      <c r="N6" s="33">
        <f>$C$26*'E Balans VL '!Y12/100/3.6*1000000</f>
        <v>2.8980944245308953</v>
      </c>
      <c r="O6" s="33"/>
      <c r="P6" s="33"/>
      <c r="R6" s="32"/>
    </row>
    <row r="7" spans="1:18">
      <c r="A7" s="32" t="s">
        <v>53</v>
      </c>
      <c r="B7" s="37">
        <f t="shared" ref="B7:B12" si="0">B27</f>
        <v>1914.864</v>
      </c>
      <c r="C7" s="33"/>
      <c r="D7" s="37">
        <f>IF(ISERROR(TER_horeca_gas_kWh/1000),0,TER_horeca_gas_kWh/1000)*0.902</f>
        <v>1368.691192</v>
      </c>
      <c r="E7" s="33">
        <f>$C$27*'E Balans VL '!I9/100/3.6*1000000</f>
        <v>63.370350673021974</v>
      </c>
      <c r="F7" s="33">
        <f>$C$27*('E Balans VL '!L9+'E Balans VL '!N9)/100/3.6*1000000</f>
        <v>823.38418135223458</v>
      </c>
      <c r="G7" s="34"/>
      <c r="H7" s="33"/>
      <c r="I7" s="33"/>
      <c r="J7" s="33">
        <f>$C$27*('E Balans VL '!D9+'E Balans VL '!E9)/100/3.6*1000000</f>
        <v>0</v>
      </c>
      <c r="K7" s="33"/>
      <c r="L7" s="33"/>
      <c r="M7" s="33"/>
      <c r="N7" s="33">
        <f>$C$27*'E Balans VL '!Y9/100/3.6*1000000</f>
        <v>0.4609355716768313</v>
      </c>
      <c r="O7" s="33"/>
      <c r="P7" s="33"/>
      <c r="R7" s="32"/>
    </row>
    <row r="8" spans="1:18">
      <c r="A8" s="6" t="s">
        <v>52</v>
      </c>
      <c r="B8" s="37">
        <f t="shared" si="0"/>
        <v>4784.8829999999998</v>
      </c>
      <c r="C8" s="33"/>
      <c r="D8" s="37">
        <f>IF(ISERROR(TER_handel_gas_kWh/1000),0,TER_handel_gas_kWh/1000)*0.902</f>
        <v>2416.4435680000001</v>
      </c>
      <c r="E8" s="33">
        <f>$C$28*'E Balans VL '!I13/100/3.6*1000000</f>
        <v>151.01821856359797</v>
      </c>
      <c r="F8" s="33">
        <f>$C$28*('E Balans VL '!L13+'E Balans VL '!N13)/100/3.6*1000000</f>
        <v>938.39981285851889</v>
      </c>
      <c r="G8" s="34"/>
      <c r="H8" s="33"/>
      <c r="I8" s="33"/>
      <c r="J8" s="33">
        <f>$C$28*('E Balans VL '!D13+'E Balans VL '!E13)/100/3.6*1000000</f>
        <v>0</v>
      </c>
      <c r="K8" s="33"/>
      <c r="L8" s="33"/>
      <c r="M8" s="33"/>
      <c r="N8" s="33">
        <f>$C$28*'E Balans VL '!Y13/100/3.6*1000000</f>
        <v>5.6787271473700613</v>
      </c>
      <c r="O8" s="33"/>
      <c r="P8" s="33"/>
      <c r="R8" s="32"/>
    </row>
    <row r="9" spans="1:18">
      <c r="A9" s="32" t="s">
        <v>51</v>
      </c>
      <c r="B9" s="37">
        <f t="shared" si="0"/>
        <v>813.58199999999999</v>
      </c>
      <c r="C9" s="33"/>
      <c r="D9" s="37">
        <f>IF(ISERROR(TER_gezond_gas_kWh/1000),0,TER_gezond_gas_kWh/1000)*0.902</f>
        <v>1441.20658</v>
      </c>
      <c r="E9" s="33">
        <f>$C$29*'E Balans VL '!I10/100/3.6*1000000</f>
        <v>0.10416229681331458</v>
      </c>
      <c r="F9" s="33">
        <f>$C$29*('E Balans VL '!L10+'E Balans VL '!N10)/100/3.6*1000000</f>
        <v>169.5032309466911</v>
      </c>
      <c r="G9" s="34"/>
      <c r="H9" s="33"/>
      <c r="I9" s="33"/>
      <c r="J9" s="33">
        <f>$C$29*('E Balans VL '!D10+'E Balans VL '!E10)/100/3.6*1000000</f>
        <v>0</v>
      </c>
      <c r="K9" s="33"/>
      <c r="L9" s="33"/>
      <c r="M9" s="33"/>
      <c r="N9" s="33">
        <f>$C$29*'E Balans VL '!Y10/100/3.6*1000000</f>
        <v>9.5559051394083045</v>
      </c>
      <c r="O9" s="33"/>
      <c r="P9" s="33"/>
      <c r="R9" s="32"/>
    </row>
    <row r="10" spans="1:18">
      <c r="A10" s="32" t="s">
        <v>50</v>
      </c>
      <c r="B10" s="37">
        <f t="shared" si="0"/>
        <v>6165.1040000000003</v>
      </c>
      <c r="C10" s="33"/>
      <c r="D10" s="37">
        <f>IF(ISERROR(TER_ander_gas_kWh/1000),0,TER_ander_gas_kWh/1000)*0.902</f>
        <v>773.03113800000006</v>
      </c>
      <c r="E10" s="33">
        <f>$C$30*'E Balans VL '!I14/100/3.6*1000000</f>
        <v>9.2708665956932492</v>
      </c>
      <c r="F10" s="33">
        <f>$C$30*('E Balans VL '!L14+'E Balans VL '!N14)/100/3.6*1000000</f>
        <v>1361.0562335571738</v>
      </c>
      <c r="G10" s="34"/>
      <c r="H10" s="33"/>
      <c r="I10" s="33"/>
      <c r="J10" s="33">
        <f>$C$30*('E Balans VL '!D14+'E Balans VL '!E14)/100/3.6*1000000</f>
        <v>0</v>
      </c>
      <c r="K10" s="33"/>
      <c r="L10" s="33"/>
      <c r="M10" s="33"/>
      <c r="N10" s="33">
        <f>$C$30*'E Balans VL '!Y14/100/3.6*1000000</f>
        <v>4858.5168478560681</v>
      </c>
      <c r="O10" s="33"/>
      <c r="P10" s="33"/>
      <c r="R10" s="32"/>
    </row>
    <row r="11" spans="1:18">
      <c r="A11" s="32" t="s">
        <v>55</v>
      </c>
      <c r="B11" s="37">
        <f t="shared" si="0"/>
        <v>159.21799999999999</v>
      </c>
      <c r="C11" s="33"/>
      <c r="D11" s="37">
        <f>IF(ISERROR(TER_onderwijs_gas_kWh/1000),0,TER_onderwijs_gas_kWh/1000)*0.902</f>
        <v>281.24089400000003</v>
      </c>
      <c r="E11" s="33">
        <f>$C$31*'E Balans VL '!I11/100/3.6*1000000</f>
        <v>0.28039624042227995</v>
      </c>
      <c r="F11" s="33">
        <f>$C$31*('E Balans VL '!L11+'E Balans VL '!N11)/100/3.6*1000000</f>
        <v>73.513831644944958</v>
      </c>
      <c r="G11" s="34"/>
      <c r="H11" s="33"/>
      <c r="I11" s="33"/>
      <c r="J11" s="33">
        <f>$C$31*('E Balans VL '!D11+'E Balans VL '!E11)/100/3.6*1000000</f>
        <v>0</v>
      </c>
      <c r="K11" s="33"/>
      <c r="L11" s="33"/>
      <c r="M11" s="33"/>
      <c r="N11" s="33">
        <f>$C$31*'E Balans VL '!Y11/100/3.6*1000000</f>
        <v>0.29662533579048872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16726.019</v>
      </c>
      <c r="C16" s="21">
        <f t="shared" ca="1" si="1"/>
        <v>0</v>
      </c>
      <c r="D16" s="21">
        <f t="shared" ca="1" si="1"/>
        <v>8312.1464800000012</v>
      </c>
      <c r="E16" s="21">
        <f t="shared" si="1"/>
        <v>261.85628944300726</v>
      </c>
      <c r="F16" s="21">
        <f t="shared" ca="1" si="1"/>
        <v>4102.3612830795928</v>
      </c>
      <c r="G16" s="21">
        <f t="shared" si="1"/>
        <v>0</v>
      </c>
      <c r="H16" s="21">
        <f t="shared" si="1"/>
        <v>0</v>
      </c>
      <c r="I16" s="21">
        <f t="shared" si="1"/>
        <v>0</v>
      </c>
      <c r="J16" s="21">
        <f t="shared" si="1"/>
        <v>0</v>
      </c>
      <c r="K16" s="21">
        <f t="shared" si="1"/>
        <v>0</v>
      </c>
      <c r="L16" s="21">
        <f t="shared" ca="1" si="1"/>
        <v>0</v>
      </c>
      <c r="M16" s="21">
        <f t="shared" si="1"/>
        <v>0</v>
      </c>
      <c r="N16" s="21">
        <f t="shared" ca="1" si="1"/>
        <v>4877.4071354748448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0.18709708717879381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3129.3894349971615</v>
      </c>
      <c r="C20" s="23">
        <f t="shared" ref="C20:P20" ca="1" si="2">C16*C18</f>
        <v>0</v>
      </c>
      <c r="D20" s="23">
        <f t="shared" ca="1" si="2"/>
        <v>1679.0535889600003</v>
      </c>
      <c r="E20" s="23">
        <f t="shared" si="2"/>
        <v>59.441377703562651</v>
      </c>
      <c r="F20" s="23">
        <f t="shared" ca="1" si="2"/>
        <v>1095.3304625822514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2888.3679999999999</v>
      </c>
      <c r="C26" s="39">
        <f>IF(ISERROR(B26*3.6/1000000/'E Balans VL '!Z12*100),0,B26*3.6/1000000/'E Balans VL '!Z12*100)</f>
        <v>6.1871086445723339E-2</v>
      </c>
      <c r="D26" s="237" t="s">
        <v>660</v>
      </c>
      <c r="F26" s="6"/>
    </row>
    <row r="27" spans="1:18">
      <c r="A27" s="231" t="s">
        <v>53</v>
      </c>
      <c r="B27" s="33">
        <f>IF(ISERROR(TER_horeca_ele_kWh/1000),0,TER_horeca_ele_kWh/1000)</f>
        <v>1914.864</v>
      </c>
      <c r="C27" s="39">
        <f>IF(ISERROR(B27*3.6/1000000/'E Balans VL '!Z9*100),0,B27*3.6/1000000/'E Balans VL '!Z9*100)</f>
        <v>0.15366118000067491</v>
      </c>
      <c r="D27" s="237" t="s">
        <v>660</v>
      </c>
      <c r="F27" s="6"/>
    </row>
    <row r="28" spans="1:18">
      <c r="A28" s="171" t="s">
        <v>52</v>
      </c>
      <c r="B28" s="33">
        <f>IF(ISERROR(TER_handel_ele_kWh/1000),0,TER_handel_ele_kWh/1000)</f>
        <v>4784.8829999999998</v>
      </c>
      <c r="C28" s="39">
        <f>IF(ISERROR(B28*3.6/1000000/'E Balans VL '!Z13*100),0,B28*3.6/1000000/'E Balans VL '!Z13*100)</f>
        <v>0.14112660350580386</v>
      </c>
      <c r="D28" s="237" t="s">
        <v>660</v>
      </c>
      <c r="F28" s="6"/>
    </row>
    <row r="29" spans="1:18">
      <c r="A29" s="231" t="s">
        <v>51</v>
      </c>
      <c r="B29" s="33">
        <f>IF(ISERROR(TER_gezond_ele_kWh/1000),0,TER_gezond_ele_kWh/1000)</f>
        <v>813.58199999999999</v>
      </c>
      <c r="C29" s="39">
        <f>IF(ISERROR(B29*3.6/1000000/'E Balans VL '!Z10*100),0,B29*3.6/1000000/'E Balans VL '!Z10*100)</f>
        <v>8.6868744648601059E-2</v>
      </c>
      <c r="D29" s="237" t="s">
        <v>660</v>
      </c>
      <c r="F29" s="6"/>
    </row>
    <row r="30" spans="1:18">
      <c r="A30" s="231" t="s">
        <v>50</v>
      </c>
      <c r="B30" s="33">
        <f>IF(ISERROR(TER_ander_ele_kWh/1000),0,TER_ander_ele_kWh/1000)</f>
        <v>6165.1040000000003</v>
      </c>
      <c r="C30" s="39">
        <f>IF(ISERROR(B30*3.6/1000000/'E Balans VL '!Z14*100),0,B30*3.6/1000000/'E Balans VL '!Z14*100)</f>
        <v>0.46567451450688185</v>
      </c>
      <c r="D30" s="237" t="s">
        <v>660</v>
      </c>
      <c r="F30" s="6"/>
    </row>
    <row r="31" spans="1:18">
      <c r="A31" s="231" t="s">
        <v>55</v>
      </c>
      <c r="B31" s="33">
        <f>IF(ISERROR(TER_onderwijs_ele_kWh/1000),0,TER_onderwijs_ele_kWh/1000)</f>
        <v>159.21799999999999</v>
      </c>
      <c r="C31" s="39">
        <f>IF(ISERROR(B31*3.6/1000000/'E Balans VL '!Z11*100),0,B31*3.6/1000000/'E Balans VL '!Z11*100)</f>
        <v>3.2151429307454432E-2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2372.6849999999999</v>
      </c>
      <c r="C5" s="17">
        <f>IF(ISERROR('Eigen informatie GS &amp; warmtenet'!B59),0,'Eigen informatie GS &amp; warmtenet'!B59)</f>
        <v>0</v>
      </c>
      <c r="D5" s="30">
        <f>SUM(D6:D15)</f>
        <v>7241.4012220000004</v>
      </c>
      <c r="E5" s="17">
        <f>SUM(E6:E15)</f>
        <v>265.01406052848438</v>
      </c>
      <c r="F5" s="17">
        <f>SUM(F6:F15)</f>
        <v>1077.2422812227117</v>
      </c>
      <c r="G5" s="18"/>
      <c r="H5" s="17"/>
      <c r="I5" s="17"/>
      <c r="J5" s="17">
        <f>SUM(J6:J15)</f>
        <v>3.7004255693253341</v>
      </c>
      <c r="K5" s="17"/>
      <c r="L5" s="17"/>
      <c r="M5" s="17"/>
      <c r="N5" s="17">
        <f>SUM(N6:N15)</f>
        <v>631.50862205969418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84.397000000000006</v>
      </c>
      <c r="C8" s="33"/>
      <c r="D8" s="37">
        <f>IF( ISERROR(IND_metaal_Gas_kWH/1000),0,IND_metaal_Gas_kWH/1000)*0.902</f>
        <v>89.946538000000004</v>
      </c>
      <c r="E8" s="33">
        <f>C30*'E Balans VL '!I18/100/3.6*1000000</f>
        <v>3.0368593782325135</v>
      </c>
      <c r="F8" s="33">
        <f>C30*'E Balans VL '!L18/100/3.6*1000000+C30*'E Balans VL '!N18/100/3.6*1000000</f>
        <v>36.853434043610442</v>
      </c>
      <c r="G8" s="34"/>
      <c r="H8" s="33"/>
      <c r="I8" s="33"/>
      <c r="J8" s="40">
        <f>C30*'E Balans VL '!D18/100/3.6*1000000+C30*'E Balans VL '!E18/100/3.6*1000000</f>
        <v>0</v>
      </c>
      <c r="K8" s="33"/>
      <c r="L8" s="33"/>
      <c r="M8" s="33"/>
      <c r="N8" s="33">
        <f>C30*'E Balans VL '!Y18/100/3.6*1000000</f>
        <v>4.2299202861613097</v>
      </c>
      <c r="O8" s="33"/>
      <c r="P8" s="33"/>
      <c r="R8" s="32"/>
    </row>
    <row r="9" spans="1:18">
      <c r="A9" s="6" t="s">
        <v>33</v>
      </c>
      <c r="B9" s="37">
        <f t="shared" si="0"/>
        <v>896.22900000000004</v>
      </c>
      <c r="C9" s="33"/>
      <c r="D9" s="37">
        <f>IF( ISERROR(IND_andere_gas_kWh/1000),0,IND_andere_gas_kWh/1000)*0.902</f>
        <v>1025.9086420000001</v>
      </c>
      <c r="E9" s="33">
        <f>C31*'E Balans VL '!I19/100/3.6*1000000</f>
        <v>228.69736305091635</v>
      </c>
      <c r="F9" s="33">
        <f>C31*'E Balans VL '!L19/100/3.6*1000000+C31*'E Balans VL '!N19/100/3.6*1000000</f>
        <v>771.58580580950411</v>
      </c>
      <c r="G9" s="34"/>
      <c r="H9" s="33"/>
      <c r="I9" s="33"/>
      <c r="J9" s="40">
        <f>C31*'E Balans VL '!D19/100/3.6*1000000+C31*'E Balans VL '!E19/100/3.6*1000000</f>
        <v>0</v>
      </c>
      <c r="K9" s="33"/>
      <c r="L9" s="33"/>
      <c r="M9" s="33"/>
      <c r="N9" s="33">
        <f>C31*'E Balans VL '!Y19/100/3.6*1000000</f>
        <v>280.28150093774843</v>
      </c>
      <c r="O9" s="33"/>
      <c r="P9" s="33"/>
      <c r="R9" s="32"/>
    </row>
    <row r="10" spans="1:18">
      <c r="A10" s="6" t="s">
        <v>41</v>
      </c>
      <c r="B10" s="37">
        <f t="shared" si="0"/>
        <v>709.81299999999999</v>
      </c>
      <c r="C10" s="33"/>
      <c r="D10" s="37">
        <f>IF( ISERROR(IND_voed_gas_kWh/1000),0,IND_voed_gas_kWh/1000)*0.902</f>
        <v>280.92790000000002</v>
      </c>
      <c r="E10" s="33">
        <f>C32*'E Balans VL '!I20/100/3.6*1000000</f>
        <v>18.04442111312018</v>
      </c>
      <c r="F10" s="33">
        <f>C32*'E Balans VL '!L20/100/3.6*1000000+C32*'E Balans VL '!N20/100/3.6*1000000</f>
        <v>160.62002668796393</v>
      </c>
      <c r="G10" s="34"/>
      <c r="H10" s="33"/>
      <c r="I10" s="33"/>
      <c r="J10" s="40">
        <f>C32*'E Balans VL '!D20/100/3.6*1000000+C32*'E Balans VL '!E20/100/3.6*1000000</f>
        <v>0</v>
      </c>
      <c r="K10" s="33"/>
      <c r="L10" s="33"/>
      <c r="M10" s="33"/>
      <c r="N10" s="33">
        <f>C32*'E Balans VL '!Y20/100/3.6*1000000</f>
        <v>266.19911523815398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599.83299999999997</v>
      </c>
      <c r="C12" s="33"/>
      <c r="D12" s="37">
        <f>IF( ISERROR(IND_min_gas_kWh/1000),0,IND_min_gas_kWh/1000)*0.902</f>
        <v>0</v>
      </c>
      <c r="E12" s="33">
        <f>C34*'E Balans VL '!I22/100/3.6*1000000</f>
        <v>12.744947935210124</v>
      </c>
      <c r="F12" s="33">
        <f>C34*'E Balans VL '!L22/100/3.6*1000000+C34*'E Balans VL '!N22/100/3.6*1000000</f>
        <v>97.867865785978864</v>
      </c>
      <c r="G12" s="34"/>
      <c r="H12" s="33"/>
      <c r="I12" s="33"/>
      <c r="J12" s="40">
        <f>C34*'E Balans VL '!D22/100/3.6*1000000+C34*'E Balans VL '!E22/100/3.6*1000000</f>
        <v>0.69886142172264476</v>
      </c>
      <c r="K12" s="33"/>
      <c r="L12" s="33"/>
      <c r="M12" s="33"/>
      <c r="N12" s="33">
        <f>C34*'E Balans VL '!Y22/100/3.6*1000000</f>
        <v>0</v>
      </c>
      <c r="O12" s="33"/>
      <c r="P12" s="33"/>
      <c r="R12" s="32"/>
    </row>
    <row r="13" spans="1:18">
      <c r="A13" s="6" t="s">
        <v>39</v>
      </c>
      <c r="B13" s="37">
        <f t="shared" si="0"/>
        <v>39.658999999999999</v>
      </c>
      <c r="C13" s="33"/>
      <c r="D13" s="37">
        <f>IF( ISERROR(IND_papier_gas_kWh/1000),0,IND_papier_gas_kWh/1000)*0.902</f>
        <v>0</v>
      </c>
      <c r="E13" s="33">
        <f>C35*'E Balans VL '!I23/100/3.6*1000000</f>
        <v>0.17008591349162133</v>
      </c>
      <c r="F13" s="33">
        <f>C35*'E Balans VL '!L23/100/3.6*1000000+C35*'E Balans VL '!N23/100/3.6*1000000</f>
        <v>0.99675376369985003</v>
      </c>
      <c r="G13" s="34"/>
      <c r="H13" s="33"/>
      <c r="I13" s="33"/>
      <c r="J13" s="40">
        <f>C35*'E Balans VL '!D23/100/3.6*1000000+C35*'E Balans VL '!E23/100/3.6*1000000</f>
        <v>2.6549525293329217</v>
      </c>
      <c r="K13" s="33"/>
      <c r="L13" s="33"/>
      <c r="M13" s="33"/>
      <c r="N13" s="33">
        <f>C35*'E Balans VL '!Y23/100/3.6*1000000</f>
        <v>72.188811270025283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42.753999999999998</v>
      </c>
      <c r="C15" s="33"/>
      <c r="D15" s="37">
        <f>IF( ISERROR(IND_rest_gas_kWh/1000),0,IND_rest_gas_kWh/1000)*0.902</f>
        <v>5844.6181420000003</v>
      </c>
      <c r="E15" s="33">
        <f>C37*'E Balans VL '!I15/100/3.6*1000000</f>
        <v>2.3203831375135966</v>
      </c>
      <c r="F15" s="33">
        <f>C37*'E Balans VL '!L15/100/3.6*1000000+C37*'E Balans VL '!N15/100/3.6*1000000</f>
        <v>9.3183951319544107</v>
      </c>
      <c r="G15" s="34"/>
      <c r="H15" s="33"/>
      <c r="I15" s="33"/>
      <c r="J15" s="40">
        <f>C37*'E Balans VL '!D15/100/3.6*1000000+C37*'E Balans VL '!E15/100/3.6*1000000</f>
        <v>0.3466116182697675</v>
      </c>
      <c r="K15" s="33"/>
      <c r="L15" s="33"/>
      <c r="M15" s="33"/>
      <c r="N15" s="33">
        <f>C37*'E Balans VL '!Y15/100/3.6*1000000</f>
        <v>8.6092743276051333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2372.6849999999999</v>
      </c>
      <c r="C18" s="21">
        <f>C5+C16</f>
        <v>0</v>
      </c>
      <c r="D18" s="21">
        <f>MAX((D5+D16),0)</f>
        <v>7241.4012220000004</v>
      </c>
      <c r="E18" s="21">
        <f>MAX((E5+E16),0)</f>
        <v>265.01406052848438</v>
      </c>
      <c r="F18" s="21">
        <f>MAX((F5+F16),0)</f>
        <v>1077.2422812227117</v>
      </c>
      <c r="G18" s="21"/>
      <c r="H18" s="21"/>
      <c r="I18" s="21"/>
      <c r="J18" s="21">
        <f>MAX((J5+J16),0)</f>
        <v>3.7004255693253341</v>
      </c>
      <c r="K18" s="21"/>
      <c r="L18" s="21">
        <f>MAX((L5+L16),0)</f>
        <v>0</v>
      </c>
      <c r="M18" s="21"/>
      <c r="N18" s="21">
        <f>MAX((N5+N16),0)</f>
        <v>631.50862205969418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0.18709708717879381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443.92245229281639</v>
      </c>
      <c r="C22" s="23">
        <f ca="1">C18*C20</f>
        <v>0</v>
      </c>
      <c r="D22" s="23">
        <f>D18*D20</f>
        <v>1462.7630468440002</v>
      </c>
      <c r="E22" s="23">
        <f>E18*E20</f>
        <v>60.158191739965957</v>
      </c>
      <c r="F22" s="23">
        <f>F18*F20</f>
        <v>287.62368908646403</v>
      </c>
      <c r="G22" s="23"/>
      <c r="H22" s="23"/>
      <c r="I22" s="23"/>
      <c r="J22" s="23">
        <f>J18*J20</f>
        <v>1.3099506515411683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84.397000000000006</v>
      </c>
      <c r="C30" s="39">
        <f>IF(ISERROR(B30*3.6/1000000/'E Balans VL '!Z18*100),0,B30*3.6/1000000/'E Balans VL '!Z18*100)</f>
        <v>1.7881914876008351E-2</v>
      </c>
      <c r="D30" s="237" t="s">
        <v>660</v>
      </c>
    </row>
    <row r="31" spans="1:18">
      <c r="A31" s="6" t="s">
        <v>33</v>
      </c>
      <c r="B31" s="37">
        <f>IF( ISERROR(IND_ander_ele_kWh/1000),0,IND_ander_ele_kWh/1000)</f>
        <v>896.22900000000004</v>
      </c>
      <c r="C31" s="39">
        <f>IF(ISERROR(B31*3.6/1000000/'E Balans VL '!Z19*100),0,B31*3.6/1000000/'E Balans VL '!Z19*100)</f>
        <v>3.7724313645944356E-2</v>
      </c>
      <c r="D31" s="237" t="s">
        <v>660</v>
      </c>
    </row>
    <row r="32" spans="1:18">
      <c r="A32" s="171" t="s">
        <v>41</v>
      </c>
      <c r="B32" s="37">
        <f>IF( ISERROR(IND_voed_ele_kWh/1000),0,IND_voed_ele_kWh/1000)</f>
        <v>709.81299999999999</v>
      </c>
      <c r="C32" s="39">
        <f>IF(ISERROR(B32*3.6/1000000/'E Balans VL '!Z20*100),0,B32*3.6/1000000/'E Balans VL '!Z20*100)</f>
        <v>0.1185822926317508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599.83299999999997</v>
      </c>
      <c r="C34" s="39">
        <f>IF(ISERROR(B34*3.6/1000000/'E Balans VL '!Z22*100),0,B34*3.6/1000000/'E Balans VL '!Z22*100)</f>
        <v>7.6032067639814876E-2</v>
      </c>
      <c r="D34" s="237" t="s">
        <v>660</v>
      </c>
    </row>
    <row r="35" spans="1:5">
      <c r="A35" s="171" t="s">
        <v>39</v>
      </c>
      <c r="B35" s="37">
        <f>IF( ISERROR(IND_papier_ele_kWh/1000),0,IND_papier_ele_kWh/1000)</f>
        <v>39.658999999999999</v>
      </c>
      <c r="C35" s="39">
        <f>IF(ISERROR(B35*3.6/1000000/'E Balans VL '!Z22*100),0,B35*3.6/1000000/'E Balans VL '!Z22*100)</f>
        <v>5.0269921303553126E-3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42.753999999999998</v>
      </c>
      <c r="C37" s="39">
        <f>IF(ISERROR(B37*3.6/1000000/'E Balans VL '!Z15*100),0,B37*3.6/1000000/'E Balans VL '!Z15*100)</f>
        <v>3.4516959710758255E-4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2374.0100000000002</v>
      </c>
      <c r="C5" s="17">
        <f>'Eigen informatie GS &amp; warmtenet'!B60</f>
        <v>0</v>
      </c>
      <c r="D5" s="30">
        <f>IF(ISERROR(SUM(LB_lb_gas_kWh,LB_rest_gas_kWh)/1000),0,SUM(LB_lb_gas_kWh,LB_rest_gas_kWh)/1000)*0.902</f>
        <v>3813.1508799999997</v>
      </c>
      <c r="E5" s="17">
        <f>B17*'E Balans VL '!I25/3.6*1000000/100</f>
        <v>61.216602755445209</v>
      </c>
      <c r="F5" s="17">
        <f>B17*('E Balans VL '!L25/3.6*1000000+'E Balans VL '!N25/3.6*1000000)/100</f>
        <v>8677.4586582423726</v>
      </c>
      <c r="G5" s="18"/>
      <c r="H5" s="17"/>
      <c r="I5" s="17"/>
      <c r="J5" s="17">
        <f>('E Balans VL '!D25+'E Balans VL '!E25)/3.6*1000000*landbouw!B17/100</f>
        <v>341.77010810823953</v>
      </c>
      <c r="K5" s="17"/>
      <c r="L5" s="17">
        <f>L6*(-1)</f>
        <v>0</v>
      </c>
      <c r="M5" s="17"/>
      <c r="N5" s="17">
        <f>N6*(-1)</f>
        <v>154.28571428571431</v>
      </c>
      <c r="O5" s="17"/>
      <c r="P5" s="17"/>
      <c r="R5" s="32"/>
    </row>
    <row r="6" spans="1:18">
      <c r="A6" s="16" t="s">
        <v>491</v>
      </c>
      <c r="B6" s="17" t="s">
        <v>211</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2374.0100000000002</v>
      </c>
      <c r="C8" s="21">
        <f>C5+C6</f>
        <v>77.142857142857139</v>
      </c>
      <c r="D8" s="21">
        <f>MAX((D5+D6),0)</f>
        <v>3813.1508799999997</v>
      </c>
      <c r="E8" s="21">
        <f>MAX((E5+E6),0)</f>
        <v>61.216602755445209</v>
      </c>
      <c r="F8" s="21">
        <f>MAX((F5+F6),0)</f>
        <v>8677.4586582423726</v>
      </c>
      <c r="G8" s="21"/>
      <c r="H8" s="21"/>
      <c r="I8" s="21"/>
      <c r="J8" s="21">
        <f>MAX((J5+J6),0)</f>
        <v>341.77010810823953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0.18709708717879381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444.17035593332832</v>
      </c>
      <c r="C12" s="23">
        <f ca="1">C8*C10</f>
        <v>0</v>
      </c>
      <c r="D12" s="23">
        <f>D8*D10</f>
        <v>770.25647775999994</v>
      </c>
      <c r="E12" s="23">
        <f>E8*E10</f>
        <v>13.896168825486063</v>
      </c>
      <c r="F12" s="23">
        <f>F8*F10</f>
        <v>2316.8814617507137</v>
      </c>
      <c r="G12" s="23"/>
      <c r="H12" s="23"/>
      <c r="I12" s="23"/>
      <c r="J12" s="23">
        <f>J8*J10</f>
        <v>120.98661827031678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0.33475113508963827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271.70427458778778</v>
      </c>
      <c r="C26" s="247">
        <f>B26*'GWP N2O_CH4'!B5</f>
        <v>5705.7897663435433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154.37060404839946</v>
      </c>
      <c r="C27" s="247">
        <f>B27*'GWP N2O_CH4'!B5</f>
        <v>3241.7826850163888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4.1837365676537805</v>
      </c>
      <c r="C28" s="247">
        <f>B28*'GWP N2O_CH4'!B4</f>
        <v>1296.9583359726719</v>
      </c>
      <c r="D28" s="50"/>
    </row>
    <row r="29" spans="1:4">
      <c r="A29" s="41" t="s">
        <v>277</v>
      </c>
      <c r="B29" s="247">
        <f>B34*'ha_N2O bodem landbouw'!B4</f>
        <v>28.418046256559307</v>
      </c>
      <c r="C29" s="247">
        <f>B29*'GWP N2O_CH4'!B4</f>
        <v>8809.5943395333852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6.3956046892816422E-3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1.1688535817982524E-4</v>
      </c>
      <c r="C5" s="463" t="s">
        <v>211</v>
      </c>
      <c r="D5" s="448">
        <f>SUM(D6:D11)</f>
        <v>2.6975832403129245E-4</v>
      </c>
      <c r="E5" s="448">
        <f>SUM(E6:E11)</f>
        <v>1.1037169332287755E-3</v>
      </c>
      <c r="F5" s="461" t="s">
        <v>211</v>
      </c>
      <c r="G5" s="448">
        <f>SUM(G6:G11)</f>
        <v>0.37525422092732413</v>
      </c>
      <c r="H5" s="448">
        <f>SUM(H6:H11)</f>
        <v>7.3190894178559299E-2</v>
      </c>
      <c r="I5" s="463" t="s">
        <v>211</v>
      </c>
      <c r="J5" s="463" t="s">
        <v>211</v>
      </c>
      <c r="K5" s="463" t="s">
        <v>211</v>
      </c>
      <c r="L5" s="463" t="s">
        <v>211</v>
      </c>
      <c r="M5" s="448">
        <f>SUM(M6:M11)</f>
        <v>1.4015281471142445E-2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6.1825468416228425E-5</v>
      </c>
      <c r="C6" s="449"/>
      <c r="D6" s="892">
        <f>vkm_2011_GW_PW*SUMIFS(TableVerdeelsleutelVkm[CNG],TableVerdeelsleutelVkm[Voertuigtype],"Lichte voertuigen")*SUMIFS(TableECFTransport[EnergieConsumptieFactor (PJ per km)],TableECFTransport[Index],CONCATENATE($A6,"_CNG_CNG"))</f>
        <v>1.2284828871099397E-4</v>
      </c>
      <c r="E6" s="892">
        <f>vkm_2011_GW_PW*SUMIFS(TableVerdeelsleutelVkm[LPG],TableVerdeelsleutelVkm[Voertuigtype],"Lichte voertuigen")*SUMIFS(TableECFTransport[EnergieConsumptieFactor (PJ per km)],TableECFTransport[Index],CONCATENATE($A6,"_LPG_LPG"))</f>
        <v>4.8345205388799324E-4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0.11494831020730939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3.3258727563125388E-2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4.6182681533064179E-3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4.2608691575347683E-2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1.376442734551651E-5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1.3425346770000286E-3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2.2514611329640642E-5</v>
      </c>
      <c r="C8" s="449"/>
      <c r="D8" s="451">
        <f>vkm_2011_NGW_PW*SUMIFS(TableVerdeelsleutelVkm[CNG],TableVerdeelsleutelVkm[Voertuigtype],"Lichte voertuigen")*SUMIFS(TableECFTransport[EnergieConsumptieFactor (PJ per km)],TableECFTransport[Index],CONCATENATE($A8,"_CNG_CNG"))</f>
        <v>7.9212778279031214E-5</v>
      </c>
      <c r="E8" s="451">
        <f>vkm_2011_NGW_PW*SUMIFS(TableVerdeelsleutelVkm[LPG],TableVerdeelsleutelVkm[Voertuigtype],"Lichte voertuigen")*SUMIFS(TableECFTransport[EnergieConsumptieFactor (PJ per km)],TableECFTransport[Index],CONCATENATE($A8,"_LPG_LPG"))</f>
        <v>2.8829580548581243E-4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6.4009773108001516E-2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2.0794514237184439E-2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2.6399243735702378E-3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5.5422727241162735E-4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1.6932113107318389E-7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1.7462561871110666E-5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3.254527843395617E-5</v>
      </c>
      <c r="C10" s="449"/>
      <c r="D10" s="451">
        <f>vkm_2011_SW_PW*SUMIFS(TableVerdeelsleutelVkm[CNG],TableVerdeelsleutelVkm[Voertuigtype],"Lichte voertuigen")*SUMIFS(TableECFTransport[EnergieConsumptieFactor (PJ per km)],TableECFTransport[Index],CONCATENATE($A10,"_CNG_CNG"))</f>
        <v>6.7697257041267244E-5</v>
      </c>
      <c r="E10" s="451">
        <f>vkm_2011_SW_PW*SUMIFS(TableVerdeelsleutelVkm[LPG],TableVerdeelsleutelVkm[Voertuigtype],"Lichte voertuigen")*SUMIFS(TableECFTransport[EnergieConsumptieFactor (PJ per km)],TableECFTransport[Index],CONCATENATE($A10,"_LPG_LPG"))</f>
        <v>3.3196907385496988E-4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7.0705601187109002E-2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1.9095028997667077E-2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2.7998617503064522E-3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8.242761757714491E-2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2.8689632105803392E-5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2.597229955088199E-3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32.468155049951456</v>
      </c>
      <c r="C14" s="21"/>
      <c r="D14" s="21">
        <f t="shared" ref="D14:M14" si="0">((D5)*10^9/3600)+D12</f>
        <v>74.932867786470126</v>
      </c>
      <c r="E14" s="21">
        <f t="shared" si="0"/>
        <v>306.58803700799325</v>
      </c>
      <c r="F14" s="21"/>
      <c r="G14" s="21">
        <f t="shared" si="0"/>
        <v>104237.28359092337</v>
      </c>
      <c r="H14" s="21">
        <f t="shared" si="0"/>
        <v>20330.803938488694</v>
      </c>
      <c r="I14" s="21"/>
      <c r="J14" s="21"/>
      <c r="K14" s="21"/>
      <c r="L14" s="21"/>
      <c r="M14" s="21">
        <f t="shared" si="0"/>
        <v>3893.1337419840124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0.18709708717879381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6.0746972359153624</v>
      </c>
      <c r="C18" s="23"/>
      <c r="D18" s="23">
        <f t="shared" ref="D18:M18" si="1">D14*D16</f>
        <v>15.136439292866967</v>
      </c>
      <c r="E18" s="23">
        <f t="shared" si="1"/>
        <v>69.59548440081447</v>
      </c>
      <c r="F18" s="23"/>
      <c r="G18" s="23">
        <f t="shared" si="1"/>
        <v>27831.35471877654</v>
      </c>
      <c r="H18" s="23">
        <f t="shared" si="1"/>
        <v>5062.3701806836852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6.1471446858002085E-3</v>
      </c>
      <c r="H50" s="321">
        <f t="shared" si="2"/>
        <v>0</v>
      </c>
      <c r="I50" s="321">
        <f t="shared" si="2"/>
        <v>0</v>
      </c>
      <c r="J50" s="321">
        <f t="shared" si="2"/>
        <v>0</v>
      </c>
      <c r="K50" s="321">
        <f t="shared" si="2"/>
        <v>0</v>
      </c>
      <c r="L50" s="321">
        <f t="shared" si="2"/>
        <v>0</v>
      </c>
      <c r="M50" s="321">
        <f t="shared" si="2"/>
        <v>1.9067067587153825E-4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6.1471446858002085E-3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1.9067067587153825E-4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1707.5401905000581</v>
      </c>
      <c r="H54" s="21">
        <f t="shared" si="3"/>
        <v>0</v>
      </c>
      <c r="I54" s="21">
        <f t="shared" si="3"/>
        <v>0</v>
      </c>
      <c r="J54" s="21">
        <f t="shared" si="3"/>
        <v>0</v>
      </c>
      <c r="K54" s="21">
        <f t="shared" si="3"/>
        <v>0</v>
      </c>
      <c r="L54" s="21">
        <f t="shared" si="3"/>
        <v>0</v>
      </c>
      <c r="M54" s="21">
        <f t="shared" si="3"/>
        <v>52.964076630982852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0.18709708717879381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455.91323086351554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17662.786</v>
      </c>
      <c r="D10" s="1012">
        <f ca="1">tertiair!C16</f>
        <v>0</v>
      </c>
      <c r="E10" s="1012">
        <f ca="1">tertiair!D16</f>
        <v>8312.1464800000012</v>
      </c>
      <c r="F10" s="1012">
        <f>tertiair!E16</f>
        <v>261.85628944300726</v>
      </c>
      <c r="G10" s="1012">
        <f ca="1">tertiair!F16</f>
        <v>4102.3612830795928</v>
      </c>
      <c r="H10" s="1012">
        <f>tertiair!G16</f>
        <v>0</v>
      </c>
      <c r="I10" s="1012">
        <f>tertiair!H16</f>
        <v>0</v>
      </c>
      <c r="J10" s="1012">
        <f>tertiair!I16</f>
        <v>0</v>
      </c>
      <c r="K10" s="1012">
        <f>tertiair!J16</f>
        <v>0</v>
      </c>
      <c r="L10" s="1012">
        <f>tertiair!K16</f>
        <v>0</v>
      </c>
      <c r="M10" s="1012">
        <f ca="1">tertiair!L16</f>
        <v>0</v>
      </c>
      <c r="N10" s="1012">
        <f>tertiair!M16</f>
        <v>0</v>
      </c>
      <c r="O10" s="1012">
        <f ca="1">tertiair!N16</f>
        <v>4877.4071354748448</v>
      </c>
      <c r="P10" s="1012">
        <f>tertiair!O16</f>
        <v>4.6900000000000004</v>
      </c>
      <c r="Q10" s="1013">
        <f>tertiair!P16</f>
        <v>19.066666666666666</v>
      </c>
      <c r="R10" s="700">
        <f ca="1">SUM(C10:Q10)</f>
        <v>35240.313854664113</v>
      </c>
      <c r="S10" s="67"/>
    </row>
    <row r="11" spans="1:19" s="473" customFormat="1">
      <c r="A11" s="809" t="s">
        <v>225</v>
      </c>
      <c r="B11" s="814"/>
      <c r="C11" s="1012">
        <f>huishoudens!B8</f>
        <v>29337.951028550102</v>
      </c>
      <c r="D11" s="1012">
        <f>huishoudens!C8</f>
        <v>0</v>
      </c>
      <c r="E11" s="1012">
        <f>huishoudens!D8</f>
        <v>38561.407412</v>
      </c>
      <c r="F11" s="1012">
        <f>huishoudens!E8</f>
        <v>5449.1705555121262</v>
      </c>
      <c r="G11" s="1012">
        <f>huishoudens!F8</f>
        <v>70842.971188522541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9967.595672225978</v>
      </c>
      <c r="P11" s="1012">
        <f>huishoudens!O8</f>
        <v>328.3</v>
      </c>
      <c r="Q11" s="1013">
        <f>huishoudens!P8</f>
        <v>1124.9333333333334</v>
      </c>
      <c r="R11" s="700">
        <f>SUM(C11:Q11)</f>
        <v>155612.32919014405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2372.6849999999999</v>
      </c>
      <c r="D13" s="1012">
        <f>industrie!C18</f>
        <v>0</v>
      </c>
      <c r="E13" s="1012">
        <f>industrie!D18</f>
        <v>7241.4012220000004</v>
      </c>
      <c r="F13" s="1012">
        <f>industrie!E18</f>
        <v>265.01406052848438</v>
      </c>
      <c r="G13" s="1012">
        <f>industrie!F18</f>
        <v>1077.2422812227117</v>
      </c>
      <c r="H13" s="1012">
        <f>industrie!G18</f>
        <v>0</v>
      </c>
      <c r="I13" s="1012">
        <f>industrie!H18</f>
        <v>0</v>
      </c>
      <c r="J13" s="1012">
        <f>industrie!I18</f>
        <v>0</v>
      </c>
      <c r="K13" s="1012">
        <f>industrie!J18</f>
        <v>3.7004255693253341</v>
      </c>
      <c r="L13" s="1012">
        <f>industrie!K18</f>
        <v>0</v>
      </c>
      <c r="M13" s="1012">
        <f>industrie!L18</f>
        <v>0</v>
      </c>
      <c r="N13" s="1012">
        <f>industrie!M18</f>
        <v>0</v>
      </c>
      <c r="O13" s="1012">
        <f>industrie!N18</f>
        <v>631.50862205969418</v>
      </c>
      <c r="P13" s="1012">
        <f>industrie!O18</f>
        <v>0</v>
      </c>
      <c r="Q13" s="1013">
        <f>industrie!P18</f>
        <v>0</v>
      </c>
      <c r="R13" s="700">
        <f>SUM(C13:Q13)</f>
        <v>11591.551611380217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49373.4220285501</v>
      </c>
      <c r="D16" s="732">
        <f t="shared" ref="D16:R16" ca="1" si="0">SUM(D9:D15)</f>
        <v>0</v>
      </c>
      <c r="E16" s="732">
        <f t="shared" ca="1" si="0"/>
        <v>54114.955114000004</v>
      </c>
      <c r="F16" s="732">
        <f t="shared" si="0"/>
        <v>5976.0409054836173</v>
      </c>
      <c r="G16" s="732">
        <f t="shared" ca="1" si="0"/>
        <v>76022.574752824847</v>
      </c>
      <c r="H16" s="732">
        <f t="shared" si="0"/>
        <v>0</v>
      </c>
      <c r="I16" s="732">
        <f t="shared" si="0"/>
        <v>0</v>
      </c>
      <c r="J16" s="732">
        <f t="shared" si="0"/>
        <v>0</v>
      </c>
      <c r="K16" s="732">
        <f t="shared" si="0"/>
        <v>3.7004255693253341</v>
      </c>
      <c r="L16" s="732">
        <f t="shared" si="0"/>
        <v>0</v>
      </c>
      <c r="M16" s="732">
        <f t="shared" ca="1" si="0"/>
        <v>0</v>
      </c>
      <c r="N16" s="732">
        <f t="shared" si="0"/>
        <v>0</v>
      </c>
      <c r="O16" s="732">
        <f t="shared" ca="1" si="0"/>
        <v>15476.511429760518</v>
      </c>
      <c r="P16" s="732">
        <f t="shared" si="0"/>
        <v>332.99</v>
      </c>
      <c r="Q16" s="732">
        <f t="shared" si="0"/>
        <v>1144</v>
      </c>
      <c r="R16" s="732">
        <f t="shared" ca="1" si="0"/>
        <v>202444.1946561884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1707.5401905000581</v>
      </c>
      <c r="I19" s="1012">
        <f>transport!H54</f>
        <v>0</v>
      </c>
      <c r="J19" s="1012">
        <f>transport!I54</f>
        <v>0</v>
      </c>
      <c r="K19" s="1012">
        <f>transport!J54</f>
        <v>0</v>
      </c>
      <c r="L19" s="1012">
        <f>transport!K54</f>
        <v>0</v>
      </c>
      <c r="M19" s="1012">
        <f>transport!L54</f>
        <v>0</v>
      </c>
      <c r="N19" s="1012">
        <f>transport!M54</f>
        <v>52.964076630982852</v>
      </c>
      <c r="O19" s="1012">
        <f>transport!N54</f>
        <v>0</v>
      </c>
      <c r="P19" s="1012">
        <f>transport!O54</f>
        <v>0</v>
      </c>
      <c r="Q19" s="1013">
        <f>transport!P54</f>
        <v>0</v>
      </c>
      <c r="R19" s="700">
        <f>SUM(C19:Q19)</f>
        <v>1760.5042671310409</v>
      </c>
      <c r="S19" s="67"/>
    </row>
    <row r="20" spans="1:19" s="473" customFormat="1">
      <c r="A20" s="809" t="s">
        <v>307</v>
      </c>
      <c r="B20" s="814"/>
      <c r="C20" s="1012">
        <f>transport!B14</f>
        <v>32.468155049951456</v>
      </c>
      <c r="D20" s="1012">
        <f>transport!C14</f>
        <v>0</v>
      </c>
      <c r="E20" s="1012">
        <f>transport!D14</f>
        <v>74.932867786470126</v>
      </c>
      <c r="F20" s="1012">
        <f>transport!E14</f>
        <v>306.58803700799325</v>
      </c>
      <c r="G20" s="1012">
        <f>transport!F14</f>
        <v>0</v>
      </c>
      <c r="H20" s="1012">
        <f>transport!G14</f>
        <v>104237.28359092337</v>
      </c>
      <c r="I20" s="1012">
        <f>transport!H14</f>
        <v>20330.803938488694</v>
      </c>
      <c r="J20" s="1012">
        <f>transport!I14</f>
        <v>0</v>
      </c>
      <c r="K20" s="1012">
        <f>transport!J14</f>
        <v>0</v>
      </c>
      <c r="L20" s="1012">
        <f>transport!K14</f>
        <v>0</v>
      </c>
      <c r="M20" s="1012">
        <f>transport!L14</f>
        <v>0</v>
      </c>
      <c r="N20" s="1012">
        <f>transport!M14</f>
        <v>3893.1337419840124</v>
      </c>
      <c r="O20" s="1012">
        <f>transport!N14</f>
        <v>0</v>
      </c>
      <c r="P20" s="1012">
        <f>transport!O14</f>
        <v>0</v>
      </c>
      <c r="Q20" s="1013">
        <f>transport!P14</f>
        <v>0</v>
      </c>
      <c r="R20" s="700">
        <f>SUM(C20:Q20)</f>
        <v>128875.21033124049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32.468155049951456</v>
      </c>
      <c r="D22" s="812">
        <f t="shared" ref="D22:R22" si="1">SUM(D18:D21)</f>
        <v>0</v>
      </c>
      <c r="E22" s="812">
        <f t="shared" si="1"/>
        <v>74.932867786470126</v>
      </c>
      <c r="F22" s="812">
        <f t="shared" si="1"/>
        <v>306.58803700799325</v>
      </c>
      <c r="G22" s="812">
        <f t="shared" si="1"/>
        <v>0</v>
      </c>
      <c r="H22" s="812">
        <f t="shared" si="1"/>
        <v>105944.82378142343</v>
      </c>
      <c r="I22" s="812">
        <f t="shared" si="1"/>
        <v>20330.803938488694</v>
      </c>
      <c r="J22" s="812">
        <f t="shared" si="1"/>
        <v>0</v>
      </c>
      <c r="K22" s="812">
        <f t="shared" si="1"/>
        <v>0</v>
      </c>
      <c r="L22" s="812">
        <f t="shared" si="1"/>
        <v>0</v>
      </c>
      <c r="M22" s="812">
        <f t="shared" si="1"/>
        <v>0</v>
      </c>
      <c r="N22" s="812">
        <f t="shared" si="1"/>
        <v>3946.0978186149955</v>
      </c>
      <c r="O22" s="812">
        <f t="shared" si="1"/>
        <v>0</v>
      </c>
      <c r="P22" s="812">
        <f t="shared" si="1"/>
        <v>0</v>
      </c>
      <c r="Q22" s="812">
        <f t="shared" si="1"/>
        <v>0</v>
      </c>
      <c r="R22" s="812">
        <f t="shared" si="1"/>
        <v>130635.71459837153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2374.0100000000002</v>
      </c>
      <c r="D24" s="1012">
        <f>+landbouw!C8</f>
        <v>77.142857142857139</v>
      </c>
      <c r="E24" s="1012">
        <f>+landbouw!D8</f>
        <v>3813.1508799999997</v>
      </c>
      <c r="F24" s="1012">
        <f>+landbouw!E8</f>
        <v>61.216602755445209</v>
      </c>
      <c r="G24" s="1012">
        <f>+landbouw!F8</f>
        <v>8677.4586582423726</v>
      </c>
      <c r="H24" s="1012">
        <f>+landbouw!G8</f>
        <v>0</v>
      </c>
      <c r="I24" s="1012">
        <f>+landbouw!H8</f>
        <v>0</v>
      </c>
      <c r="J24" s="1012">
        <f>+landbouw!I8</f>
        <v>0</v>
      </c>
      <c r="K24" s="1012">
        <f>+landbouw!J8</f>
        <v>341.77010810823953</v>
      </c>
      <c r="L24" s="1012">
        <f>+landbouw!K8</f>
        <v>0</v>
      </c>
      <c r="M24" s="1012">
        <f>+landbouw!L8</f>
        <v>0</v>
      </c>
      <c r="N24" s="1012">
        <f>+landbouw!M8</f>
        <v>0</v>
      </c>
      <c r="O24" s="1012">
        <f>+landbouw!N8</f>
        <v>0</v>
      </c>
      <c r="P24" s="1012">
        <f>+landbouw!O8</f>
        <v>0</v>
      </c>
      <c r="Q24" s="1013">
        <f>+landbouw!P8</f>
        <v>0</v>
      </c>
      <c r="R24" s="700">
        <f>SUM(C24:Q24)</f>
        <v>15344.749106248915</v>
      </c>
      <c r="S24" s="67"/>
    </row>
    <row r="25" spans="1:19" s="473" customFormat="1" ht="15" thickBot="1">
      <c r="A25" s="831" t="s">
        <v>848</v>
      </c>
      <c r="B25" s="1015"/>
      <c r="C25" s="1016">
        <f>IF(Onbekend_ele_kWh="---",0,Onbekend_ele_kWh)/1000+IF(REST_rest_ele_kWh="---",0,REST_rest_ele_kWh)/1000</f>
        <v>434.863</v>
      </c>
      <c r="D25" s="1016"/>
      <c r="E25" s="1016">
        <f>IF(onbekend_gas_kWh="---",0,onbekend_gas_kWh)/1000+IF(REST_rest_gas_kWh="---",0,REST_rest_gas_kWh)/1000</f>
        <v>1243.7260000000001</v>
      </c>
      <c r="F25" s="1016"/>
      <c r="G25" s="1016"/>
      <c r="H25" s="1016"/>
      <c r="I25" s="1016"/>
      <c r="J25" s="1016"/>
      <c r="K25" s="1016"/>
      <c r="L25" s="1016"/>
      <c r="M25" s="1016"/>
      <c r="N25" s="1016"/>
      <c r="O25" s="1016"/>
      <c r="P25" s="1016"/>
      <c r="Q25" s="1017"/>
      <c r="R25" s="700">
        <f>SUM(C25:Q25)</f>
        <v>1678.5890000000002</v>
      </c>
      <c r="S25" s="67"/>
    </row>
    <row r="26" spans="1:19" s="473" customFormat="1" ht="15.75" thickBot="1">
      <c r="A26" s="705" t="s">
        <v>849</v>
      </c>
      <c r="B26" s="817"/>
      <c r="C26" s="812">
        <f>SUM(C24:C25)</f>
        <v>2808.873</v>
      </c>
      <c r="D26" s="812">
        <f t="shared" ref="D26:R26" si="2">SUM(D24:D25)</f>
        <v>77.142857142857139</v>
      </c>
      <c r="E26" s="812">
        <f t="shared" si="2"/>
        <v>5056.8768799999998</v>
      </c>
      <c r="F26" s="812">
        <f t="shared" si="2"/>
        <v>61.216602755445209</v>
      </c>
      <c r="G26" s="812">
        <f t="shared" si="2"/>
        <v>8677.4586582423726</v>
      </c>
      <c r="H26" s="812">
        <f t="shared" si="2"/>
        <v>0</v>
      </c>
      <c r="I26" s="812">
        <f t="shared" si="2"/>
        <v>0</v>
      </c>
      <c r="J26" s="812">
        <f t="shared" si="2"/>
        <v>0</v>
      </c>
      <c r="K26" s="812">
        <f t="shared" si="2"/>
        <v>341.77010810823953</v>
      </c>
      <c r="L26" s="812">
        <f t="shared" si="2"/>
        <v>0</v>
      </c>
      <c r="M26" s="812">
        <f t="shared" si="2"/>
        <v>0</v>
      </c>
      <c r="N26" s="812">
        <f t="shared" si="2"/>
        <v>0</v>
      </c>
      <c r="O26" s="812">
        <f t="shared" si="2"/>
        <v>0</v>
      </c>
      <c r="P26" s="812">
        <f t="shared" si="2"/>
        <v>0</v>
      </c>
      <c r="Q26" s="812">
        <f t="shared" si="2"/>
        <v>0</v>
      </c>
      <c r="R26" s="812">
        <f t="shared" si="2"/>
        <v>17023.338106248917</v>
      </c>
      <c r="S26" s="67"/>
    </row>
    <row r="27" spans="1:19" s="473" customFormat="1" ht="17.25" thickTop="1" thickBot="1">
      <c r="A27" s="706" t="s">
        <v>116</v>
      </c>
      <c r="B27" s="805"/>
      <c r="C27" s="707">
        <f ca="1">C22+C16+C26</f>
        <v>52214.763183600051</v>
      </c>
      <c r="D27" s="707">
        <f t="shared" ref="D27:R27" ca="1" si="3">D22+D16+D26</f>
        <v>77.142857142857139</v>
      </c>
      <c r="E27" s="707">
        <f t="shared" ca="1" si="3"/>
        <v>59246.764861786476</v>
      </c>
      <c r="F27" s="707">
        <f t="shared" si="3"/>
        <v>6343.8455452470553</v>
      </c>
      <c r="G27" s="707">
        <f t="shared" ca="1" si="3"/>
        <v>84700.033411067212</v>
      </c>
      <c r="H27" s="707">
        <f t="shared" si="3"/>
        <v>105944.82378142343</v>
      </c>
      <c r="I27" s="707">
        <f t="shared" si="3"/>
        <v>20330.803938488694</v>
      </c>
      <c r="J27" s="707">
        <f t="shared" si="3"/>
        <v>0</v>
      </c>
      <c r="K27" s="707">
        <f t="shared" si="3"/>
        <v>345.47053367756484</v>
      </c>
      <c r="L27" s="707">
        <f t="shared" si="3"/>
        <v>0</v>
      </c>
      <c r="M27" s="707">
        <f t="shared" ca="1" si="3"/>
        <v>0</v>
      </c>
      <c r="N27" s="707">
        <f t="shared" si="3"/>
        <v>3946.0978186149955</v>
      </c>
      <c r="O27" s="707">
        <f t="shared" ca="1" si="3"/>
        <v>15476.511429760518</v>
      </c>
      <c r="P27" s="707">
        <f t="shared" si="3"/>
        <v>332.99</v>
      </c>
      <c r="Q27" s="707">
        <f t="shared" si="3"/>
        <v>1144</v>
      </c>
      <c r="R27" s="707">
        <f t="shared" ca="1" si="3"/>
        <v>350103.24736080883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3304.6558120623786</v>
      </c>
      <c r="D40" s="1012">
        <f ca="1">tertiair!C20</f>
        <v>0</v>
      </c>
      <c r="E40" s="1012">
        <f ca="1">tertiair!D20</f>
        <v>1679.0535889600003</v>
      </c>
      <c r="F40" s="1012">
        <f>tertiair!E20</f>
        <v>59.441377703562651</v>
      </c>
      <c r="G40" s="1012">
        <f ca="1">tertiair!F20</f>
        <v>1095.3304625822514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6138.4812413081927</v>
      </c>
    </row>
    <row r="41" spans="1:18">
      <c r="A41" s="822" t="s">
        <v>225</v>
      </c>
      <c r="B41" s="829"/>
      <c r="C41" s="1012">
        <f ca="1">huishoudens!B12</f>
        <v>5489.0451812358215</v>
      </c>
      <c r="D41" s="1012">
        <f ca="1">huishoudens!C12</f>
        <v>0</v>
      </c>
      <c r="E41" s="1012">
        <f>huishoudens!D12</f>
        <v>7789.4042972240004</v>
      </c>
      <c r="F41" s="1012">
        <f>huishoudens!E12</f>
        <v>1236.9617161012527</v>
      </c>
      <c r="G41" s="1012">
        <f>huishoudens!F12</f>
        <v>18915.073307335519</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33430.484501896593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443.92245229281639</v>
      </c>
      <c r="D43" s="1012">
        <f ca="1">industrie!C22</f>
        <v>0</v>
      </c>
      <c r="E43" s="1012">
        <f>industrie!D22</f>
        <v>1462.7630468440002</v>
      </c>
      <c r="F43" s="1012">
        <f>industrie!E22</f>
        <v>60.158191739965957</v>
      </c>
      <c r="G43" s="1012">
        <f>industrie!F22</f>
        <v>287.62368908646403</v>
      </c>
      <c r="H43" s="1012">
        <f>industrie!G22</f>
        <v>0</v>
      </c>
      <c r="I43" s="1012">
        <f>industrie!H22</f>
        <v>0</v>
      </c>
      <c r="J43" s="1012">
        <f>industrie!I22</f>
        <v>0</v>
      </c>
      <c r="K43" s="1012">
        <f>industrie!J22</f>
        <v>1.3099506515411683</v>
      </c>
      <c r="L43" s="1012">
        <f>industrie!K22</f>
        <v>0</v>
      </c>
      <c r="M43" s="1012">
        <f>industrie!L22</f>
        <v>0</v>
      </c>
      <c r="N43" s="1012">
        <f>industrie!M22</f>
        <v>0</v>
      </c>
      <c r="O43" s="1012">
        <f>industrie!N22</f>
        <v>0</v>
      </c>
      <c r="P43" s="1012">
        <f>industrie!O22</f>
        <v>0</v>
      </c>
      <c r="Q43" s="774">
        <f>industrie!P22</f>
        <v>0</v>
      </c>
      <c r="R43" s="849">
        <f t="shared" ca="1" si="4"/>
        <v>2255.7773306147878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9237.6234455910162</v>
      </c>
      <c r="D46" s="732">
        <f t="shared" ref="D46:Q46" ca="1" si="5">SUM(D39:D45)</f>
        <v>0</v>
      </c>
      <c r="E46" s="732">
        <f t="shared" ca="1" si="5"/>
        <v>10931.220933028</v>
      </c>
      <c r="F46" s="732">
        <f t="shared" si="5"/>
        <v>1356.5612855447814</v>
      </c>
      <c r="G46" s="732">
        <f t="shared" ca="1" si="5"/>
        <v>20298.027459004235</v>
      </c>
      <c r="H46" s="732">
        <f t="shared" si="5"/>
        <v>0</v>
      </c>
      <c r="I46" s="732">
        <f t="shared" si="5"/>
        <v>0</v>
      </c>
      <c r="J46" s="732">
        <f t="shared" si="5"/>
        <v>0</v>
      </c>
      <c r="K46" s="732">
        <f t="shared" si="5"/>
        <v>1.3099506515411683</v>
      </c>
      <c r="L46" s="732">
        <f t="shared" si="5"/>
        <v>0</v>
      </c>
      <c r="M46" s="732">
        <f t="shared" ca="1" si="5"/>
        <v>0</v>
      </c>
      <c r="N46" s="732">
        <f t="shared" si="5"/>
        <v>0</v>
      </c>
      <c r="O46" s="732">
        <f t="shared" ca="1" si="5"/>
        <v>0</v>
      </c>
      <c r="P46" s="732">
        <f t="shared" si="5"/>
        <v>0</v>
      </c>
      <c r="Q46" s="732">
        <f t="shared" si="5"/>
        <v>0</v>
      </c>
      <c r="R46" s="732">
        <f ca="1">SUM(R39:R45)</f>
        <v>41824.743073819569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455.91323086351554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455.91323086351554</v>
      </c>
    </row>
    <row r="50" spans="1:18">
      <c r="A50" s="825" t="s">
        <v>307</v>
      </c>
      <c r="B50" s="835"/>
      <c r="C50" s="703">
        <f ca="1">transport!B18</f>
        <v>6.0746972359153624</v>
      </c>
      <c r="D50" s="703">
        <f>transport!C18</f>
        <v>0</v>
      </c>
      <c r="E50" s="703">
        <f>transport!D18</f>
        <v>15.136439292866967</v>
      </c>
      <c r="F50" s="703">
        <f>transport!E18</f>
        <v>69.59548440081447</v>
      </c>
      <c r="G50" s="703">
        <f>transport!F18</f>
        <v>0</v>
      </c>
      <c r="H50" s="703">
        <f>transport!G18</f>
        <v>27831.35471877654</v>
      </c>
      <c r="I50" s="703">
        <f>transport!H18</f>
        <v>5062.3701806836852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32984.531520389821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6.0746972359153624</v>
      </c>
      <c r="D52" s="732">
        <f t="shared" ref="D52:Q52" ca="1" si="6">SUM(D48:D51)</f>
        <v>0</v>
      </c>
      <c r="E52" s="732">
        <f t="shared" si="6"/>
        <v>15.136439292866967</v>
      </c>
      <c r="F52" s="732">
        <f t="shared" si="6"/>
        <v>69.59548440081447</v>
      </c>
      <c r="G52" s="732">
        <f t="shared" si="6"/>
        <v>0</v>
      </c>
      <c r="H52" s="732">
        <f t="shared" si="6"/>
        <v>28287.267949640056</v>
      </c>
      <c r="I52" s="732">
        <f t="shared" si="6"/>
        <v>5062.3701806836852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33440.444751253337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444.17035593332832</v>
      </c>
      <c r="D54" s="703">
        <f ca="1">+landbouw!C12</f>
        <v>0</v>
      </c>
      <c r="E54" s="703">
        <f>+landbouw!D12</f>
        <v>770.25647775999994</v>
      </c>
      <c r="F54" s="703">
        <f>+landbouw!E12</f>
        <v>13.896168825486063</v>
      </c>
      <c r="G54" s="703">
        <f>+landbouw!F12</f>
        <v>2316.8814617507137</v>
      </c>
      <c r="H54" s="703">
        <f>+landbouw!G12</f>
        <v>0</v>
      </c>
      <c r="I54" s="703">
        <f>+landbouw!H12</f>
        <v>0</v>
      </c>
      <c r="J54" s="703">
        <f>+landbouw!I12</f>
        <v>0</v>
      </c>
      <c r="K54" s="703">
        <f>+landbouw!J12</f>
        <v>120.98661827031678</v>
      </c>
      <c r="L54" s="703">
        <f>+landbouw!K12</f>
        <v>0</v>
      </c>
      <c r="M54" s="703">
        <f>+landbouw!L12</f>
        <v>0</v>
      </c>
      <c r="N54" s="703">
        <f>+landbouw!M12</f>
        <v>0</v>
      </c>
      <c r="O54" s="703">
        <f>+landbouw!N12</f>
        <v>0</v>
      </c>
      <c r="P54" s="703">
        <f>+landbouw!O12</f>
        <v>0</v>
      </c>
      <c r="Q54" s="704">
        <f>+landbouw!P12</f>
        <v>0</v>
      </c>
      <c r="R54" s="731">
        <f ca="1">SUM(C54:Q54)</f>
        <v>3666.191082539845</v>
      </c>
    </row>
    <row r="55" spans="1:18" ht="15" thickBot="1">
      <c r="A55" s="825" t="s">
        <v>848</v>
      </c>
      <c r="B55" s="835"/>
      <c r="C55" s="703">
        <f ca="1">C25*'EF ele_warmte'!B12</f>
        <v>81.361600621831812</v>
      </c>
      <c r="D55" s="703"/>
      <c r="E55" s="703">
        <f>E25*EF_CO2_aardgas</f>
        <v>251.23265200000003</v>
      </c>
      <c r="F55" s="703"/>
      <c r="G55" s="703"/>
      <c r="H55" s="703"/>
      <c r="I55" s="703"/>
      <c r="J55" s="703"/>
      <c r="K55" s="703"/>
      <c r="L55" s="703"/>
      <c r="M55" s="703"/>
      <c r="N55" s="703"/>
      <c r="O55" s="703"/>
      <c r="P55" s="703"/>
      <c r="Q55" s="704"/>
      <c r="R55" s="731">
        <f ca="1">SUM(C55:Q55)</f>
        <v>332.59425262183186</v>
      </c>
    </row>
    <row r="56" spans="1:18" ht="15.75" thickBot="1">
      <c r="A56" s="823" t="s">
        <v>849</v>
      </c>
      <c r="B56" s="836"/>
      <c r="C56" s="732">
        <f ca="1">SUM(C54:C55)</f>
        <v>525.53195655516015</v>
      </c>
      <c r="D56" s="732">
        <f t="shared" ref="D56:Q56" ca="1" si="7">SUM(D54:D55)</f>
        <v>0</v>
      </c>
      <c r="E56" s="732">
        <f t="shared" si="7"/>
        <v>1021.48912976</v>
      </c>
      <c r="F56" s="732">
        <f t="shared" si="7"/>
        <v>13.896168825486063</v>
      </c>
      <c r="G56" s="732">
        <f t="shared" si="7"/>
        <v>2316.8814617507137</v>
      </c>
      <c r="H56" s="732">
        <f t="shared" si="7"/>
        <v>0</v>
      </c>
      <c r="I56" s="732">
        <f t="shared" si="7"/>
        <v>0</v>
      </c>
      <c r="J56" s="732">
        <f t="shared" si="7"/>
        <v>0</v>
      </c>
      <c r="K56" s="732">
        <f t="shared" si="7"/>
        <v>120.98661827031678</v>
      </c>
      <c r="L56" s="732">
        <f t="shared" si="7"/>
        <v>0</v>
      </c>
      <c r="M56" s="732">
        <f t="shared" si="7"/>
        <v>0</v>
      </c>
      <c r="N56" s="732">
        <f t="shared" si="7"/>
        <v>0</v>
      </c>
      <c r="O56" s="732">
        <f t="shared" si="7"/>
        <v>0</v>
      </c>
      <c r="P56" s="732">
        <f t="shared" si="7"/>
        <v>0</v>
      </c>
      <c r="Q56" s="733">
        <f t="shared" si="7"/>
        <v>0</v>
      </c>
      <c r="R56" s="734">
        <f ca="1">SUM(R54:R55)</f>
        <v>3998.7853351616768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9769.2300993820918</v>
      </c>
      <c r="D61" s="740">
        <f t="shared" ref="D61:Q61" ca="1" si="8">D46+D52+D56</f>
        <v>0</v>
      </c>
      <c r="E61" s="740">
        <f t="shared" ca="1" si="8"/>
        <v>11967.846502080867</v>
      </c>
      <c r="F61" s="740">
        <f t="shared" si="8"/>
        <v>1440.0529387710819</v>
      </c>
      <c r="G61" s="740">
        <f t="shared" ca="1" si="8"/>
        <v>22614.908920754948</v>
      </c>
      <c r="H61" s="740">
        <f t="shared" si="8"/>
        <v>28287.267949640056</v>
      </c>
      <c r="I61" s="740">
        <f t="shared" si="8"/>
        <v>5062.3701806836852</v>
      </c>
      <c r="J61" s="740">
        <f t="shared" si="8"/>
        <v>0</v>
      </c>
      <c r="K61" s="740">
        <f t="shared" si="8"/>
        <v>122.29656892185795</v>
      </c>
      <c r="L61" s="740">
        <f t="shared" si="8"/>
        <v>0</v>
      </c>
      <c r="M61" s="740">
        <f t="shared" ca="1" si="8"/>
        <v>0</v>
      </c>
      <c r="N61" s="740">
        <f t="shared" si="8"/>
        <v>0</v>
      </c>
      <c r="O61" s="740">
        <f t="shared" ca="1" si="8"/>
        <v>0</v>
      </c>
      <c r="P61" s="740">
        <f t="shared" si="8"/>
        <v>0</v>
      </c>
      <c r="Q61" s="740">
        <f t="shared" si="8"/>
        <v>0</v>
      </c>
      <c r="R61" s="740">
        <f ca="1">R46+R52+R56</f>
        <v>79263.973160234586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0.18709708717879381</v>
      </c>
      <c r="D63" s="781">
        <f t="shared" ca="1" si="9"/>
        <v>0</v>
      </c>
      <c r="E63" s="1023">
        <f t="shared" ca="1" si="9"/>
        <v>0.20199999999999999</v>
      </c>
      <c r="F63" s="781">
        <f t="shared" si="9"/>
        <v>0.22700000000000006</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7956.1021004231661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54</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63.529411764705898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8010.1021004231661</v>
      </c>
      <c r="C78" s="755">
        <f>SUM(C72:C77)</f>
        <v>0</v>
      </c>
      <c r="D78" s="756">
        <f t="shared" ref="D78:H78" si="10">SUM(D76:D77)</f>
        <v>0</v>
      </c>
      <c r="E78" s="756">
        <f t="shared" si="10"/>
        <v>0</v>
      </c>
      <c r="F78" s="756">
        <f t="shared" si="10"/>
        <v>0</v>
      </c>
      <c r="G78" s="756">
        <f t="shared" si="10"/>
        <v>0</v>
      </c>
      <c r="H78" s="756">
        <f t="shared" si="10"/>
        <v>0</v>
      </c>
      <c r="I78" s="756">
        <f>SUM(I76:I77)</f>
        <v>0</v>
      </c>
      <c r="J78" s="756">
        <f>SUM(J76:J77)</f>
        <v>63.529411764705898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77.142857142857139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90.756302521008422</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77.142857142857139</v>
      </c>
      <c r="C90" s="755">
        <f>SUM(C87:C89)</f>
        <v>0</v>
      </c>
      <c r="D90" s="755">
        <f t="shared" ref="D90:H90" si="12">SUM(D87:D89)</f>
        <v>0</v>
      </c>
      <c r="E90" s="755">
        <f t="shared" si="12"/>
        <v>0</v>
      </c>
      <c r="F90" s="755">
        <f t="shared" si="12"/>
        <v>0</v>
      </c>
      <c r="G90" s="755">
        <f t="shared" si="12"/>
        <v>0</v>
      </c>
      <c r="H90" s="755">
        <f t="shared" si="12"/>
        <v>0</v>
      </c>
      <c r="I90" s="755">
        <f>SUM(I87:I89)</f>
        <v>0</v>
      </c>
      <c r="J90" s="755">
        <f>SUM(J87:J89)</f>
        <v>90.756302521008422</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7956.1021004231661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54</v>
      </c>
      <c r="C8" s="570">
        <f>B101</f>
        <v>0</v>
      </c>
      <c r="D8" s="1043"/>
      <c r="E8" s="1043">
        <f>E101</f>
        <v>0</v>
      </c>
      <c r="F8" s="1044"/>
      <c r="G8" s="571"/>
      <c r="H8" s="1043">
        <f>I101</f>
        <v>0</v>
      </c>
      <c r="I8" s="1043">
        <f>G101+F101</f>
        <v>0</v>
      </c>
      <c r="J8" s="1043">
        <f>H101+D101+C101</f>
        <v>63.529411764705898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8010.1021004231661</v>
      </c>
      <c r="C10" s="583">
        <f t="shared" ref="C10:L10" si="0">SUM(C8:C9)</f>
        <v>0</v>
      </c>
      <c r="D10" s="583">
        <f t="shared" si="0"/>
        <v>0</v>
      </c>
      <c r="E10" s="583">
        <f t="shared" si="0"/>
        <v>0</v>
      </c>
      <c r="F10" s="583">
        <f t="shared" si="0"/>
        <v>0</v>
      </c>
      <c r="G10" s="583">
        <f t="shared" si="0"/>
        <v>0</v>
      </c>
      <c r="H10" s="583">
        <f t="shared" si="0"/>
        <v>0</v>
      </c>
      <c r="I10" s="583">
        <f t="shared" si="0"/>
        <v>0</v>
      </c>
      <c r="J10" s="583">
        <f t="shared" si="0"/>
        <v>63.529411764705898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77.142857142857139</v>
      </c>
      <c r="C17" s="595">
        <f>B102</f>
        <v>0</v>
      </c>
      <c r="D17" s="596"/>
      <c r="E17" s="596">
        <f>E102</f>
        <v>0</v>
      </c>
      <c r="F17" s="1049"/>
      <c r="G17" s="597"/>
      <c r="H17" s="595">
        <f>I102</f>
        <v>0</v>
      </c>
      <c r="I17" s="596">
        <f>G102+F102</f>
        <v>0</v>
      </c>
      <c r="J17" s="596">
        <f>H102+D102+C102</f>
        <v>90.756302521008422</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77.142857142857139</v>
      </c>
      <c r="C20" s="582">
        <f>SUM(C17:C19)</f>
        <v>0</v>
      </c>
      <c r="D20" s="582">
        <f t="shared" ref="D20:L20" si="1">SUM(D17:D19)</f>
        <v>0</v>
      </c>
      <c r="E20" s="582">
        <f t="shared" si="1"/>
        <v>0</v>
      </c>
      <c r="F20" s="582">
        <f t="shared" si="1"/>
        <v>0</v>
      </c>
      <c r="G20" s="582">
        <f t="shared" si="1"/>
        <v>0</v>
      </c>
      <c r="H20" s="582">
        <f t="shared" si="1"/>
        <v>0</v>
      </c>
      <c r="I20" s="582">
        <f t="shared" si="1"/>
        <v>0</v>
      </c>
      <c r="J20" s="582">
        <f t="shared" si="1"/>
        <v>90.756302521008422</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73066</v>
      </c>
      <c r="C28" s="796">
        <v>3770</v>
      </c>
      <c r="D28" s="653" t="s">
        <v>890</v>
      </c>
      <c r="E28" s="652" t="s">
        <v>891</v>
      </c>
      <c r="F28" s="652" t="s">
        <v>892</v>
      </c>
      <c r="G28" s="652" t="s">
        <v>893</v>
      </c>
      <c r="H28" s="652" t="s">
        <v>894</v>
      </c>
      <c r="I28" s="652" t="s">
        <v>891</v>
      </c>
      <c r="J28" s="795">
        <v>40624</v>
      </c>
      <c r="K28" s="795">
        <v>41306</v>
      </c>
      <c r="L28" s="652" t="s">
        <v>895</v>
      </c>
      <c r="M28" s="652">
        <v>12</v>
      </c>
      <c r="N28" s="652">
        <v>54</v>
      </c>
      <c r="O28" s="652">
        <v>77.142857142857139</v>
      </c>
      <c r="P28" s="652">
        <v>0</v>
      </c>
      <c r="Q28" s="652">
        <v>0</v>
      </c>
      <c r="R28" s="652">
        <v>0</v>
      </c>
      <c r="S28" s="652">
        <v>0</v>
      </c>
      <c r="T28" s="652">
        <v>0</v>
      </c>
      <c r="U28" s="652">
        <v>0</v>
      </c>
      <c r="V28" s="652">
        <v>154.28571428571431</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v>
      </c>
      <c r="N58" s="610">
        <f>SUM(N28:N57)</f>
        <v>54</v>
      </c>
      <c r="O58" s="610">
        <f t="shared" ref="O58:W58" si="2">SUM(O28:O57)</f>
        <v>77.142857142857139</v>
      </c>
      <c r="P58" s="610">
        <f t="shared" si="2"/>
        <v>0</v>
      </c>
      <c r="Q58" s="610">
        <f t="shared" si="2"/>
        <v>0</v>
      </c>
      <c r="R58" s="610">
        <f t="shared" si="2"/>
        <v>0</v>
      </c>
      <c r="S58" s="610">
        <f t="shared" si="2"/>
        <v>0</v>
      </c>
      <c r="T58" s="610">
        <f t="shared" si="2"/>
        <v>0</v>
      </c>
      <c r="U58" s="610">
        <f t="shared" si="2"/>
        <v>0</v>
      </c>
      <c r="V58" s="610">
        <f t="shared" si="2"/>
        <v>154.28571428571431</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v>
      </c>
      <c r="N61" s="615">
        <f t="shared" si="4"/>
        <v>54</v>
      </c>
      <c r="O61" s="615">
        <f t="shared" si="4"/>
        <v>77.142857142857139</v>
      </c>
      <c r="P61" s="615">
        <f t="shared" si="4"/>
        <v>0</v>
      </c>
      <c r="Q61" s="615">
        <f t="shared" si="4"/>
        <v>0</v>
      </c>
      <c r="R61" s="615">
        <f t="shared" si="4"/>
        <v>0</v>
      </c>
      <c r="S61" s="615">
        <f t="shared" si="4"/>
        <v>0</v>
      </c>
      <c r="T61" s="615">
        <f t="shared" si="4"/>
        <v>0</v>
      </c>
      <c r="U61" s="615">
        <f t="shared" si="4"/>
        <v>0</v>
      </c>
      <c r="V61" s="615">
        <f t="shared" si="4"/>
        <v>154.28571428571431</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63.529411764705898</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90.756302521008422</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29337.951028550102</v>
      </c>
      <c r="C4" s="477">
        <f>huishoudens!C8</f>
        <v>0</v>
      </c>
      <c r="D4" s="477">
        <f>huishoudens!D8</f>
        <v>38561.407412</v>
      </c>
      <c r="E4" s="477">
        <f>huishoudens!E8</f>
        <v>5449.1705555121262</v>
      </c>
      <c r="F4" s="477">
        <f>huishoudens!F8</f>
        <v>70842.971188522541</v>
      </c>
      <c r="G4" s="477">
        <f>huishoudens!G8</f>
        <v>0</v>
      </c>
      <c r="H4" s="477">
        <f>huishoudens!H8</f>
        <v>0</v>
      </c>
      <c r="I4" s="477">
        <f>huishoudens!I8</f>
        <v>0</v>
      </c>
      <c r="J4" s="477">
        <f>huishoudens!J8</f>
        <v>0</v>
      </c>
      <c r="K4" s="477">
        <f>huishoudens!K8</f>
        <v>0</v>
      </c>
      <c r="L4" s="477">
        <f>huishoudens!L8</f>
        <v>0</v>
      </c>
      <c r="M4" s="477">
        <f>huishoudens!M8</f>
        <v>0</v>
      </c>
      <c r="N4" s="477">
        <f>huishoudens!N8</f>
        <v>9967.595672225978</v>
      </c>
      <c r="O4" s="477">
        <f>huishoudens!O8</f>
        <v>328.3</v>
      </c>
      <c r="P4" s="478">
        <f>huishoudens!P8</f>
        <v>1124.9333333333334</v>
      </c>
      <c r="Q4" s="479">
        <f>SUM(B4:P4)</f>
        <v>155612.32919014405</v>
      </c>
    </row>
    <row r="5" spans="1:17">
      <c r="A5" s="476" t="s">
        <v>156</v>
      </c>
      <c r="B5" s="477">
        <f ca="1">tertiair!B16</f>
        <v>16726.019</v>
      </c>
      <c r="C5" s="477">
        <f ca="1">tertiair!C16</f>
        <v>0</v>
      </c>
      <c r="D5" s="477">
        <f ca="1">tertiair!D16</f>
        <v>8312.1464800000012</v>
      </c>
      <c r="E5" s="477">
        <f>tertiair!E16</f>
        <v>261.85628944300726</v>
      </c>
      <c r="F5" s="477">
        <f ca="1">tertiair!F16</f>
        <v>4102.3612830795928</v>
      </c>
      <c r="G5" s="477">
        <f>tertiair!G16</f>
        <v>0</v>
      </c>
      <c r="H5" s="477">
        <f>tertiair!H16</f>
        <v>0</v>
      </c>
      <c r="I5" s="477">
        <f>tertiair!I16</f>
        <v>0</v>
      </c>
      <c r="J5" s="477">
        <f>tertiair!J16</f>
        <v>0</v>
      </c>
      <c r="K5" s="477">
        <f>tertiair!K16</f>
        <v>0</v>
      </c>
      <c r="L5" s="477">
        <f ca="1">tertiair!L16</f>
        <v>0</v>
      </c>
      <c r="M5" s="477">
        <f>tertiair!M16</f>
        <v>0</v>
      </c>
      <c r="N5" s="477">
        <f ca="1">tertiair!N16</f>
        <v>4877.4071354748448</v>
      </c>
      <c r="O5" s="477">
        <f>tertiair!O16</f>
        <v>4.6900000000000004</v>
      </c>
      <c r="P5" s="478">
        <f>tertiair!P16</f>
        <v>19.066666666666666</v>
      </c>
      <c r="Q5" s="476">
        <f t="shared" ref="Q5:Q14" ca="1" si="0">SUM(B5:P5)</f>
        <v>34303.54685466412</v>
      </c>
    </row>
    <row r="6" spans="1:17">
      <c r="A6" s="476" t="s">
        <v>194</v>
      </c>
      <c r="B6" s="477">
        <f>'openbare verlichting'!B8</f>
        <v>936.76700000000005</v>
      </c>
      <c r="C6" s="477"/>
      <c r="D6" s="477"/>
      <c r="E6" s="477"/>
      <c r="F6" s="477"/>
      <c r="G6" s="477"/>
      <c r="H6" s="477"/>
      <c r="I6" s="477"/>
      <c r="J6" s="477"/>
      <c r="K6" s="477"/>
      <c r="L6" s="477"/>
      <c r="M6" s="477"/>
      <c r="N6" s="477"/>
      <c r="O6" s="477"/>
      <c r="P6" s="478"/>
      <c r="Q6" s="476">
        <f t="shared" si="0"/>
        <v>936.76700000000005</v>
      </c>
    </row>
    <row r="7" spans="1:17">
      <c r="A7" s="476" t="s">
        <v>112</v>
      </c>
      <c r="B7" s="477">
        <f>landbouw!B8</f>
        <v>2374.0100000000002</v>
      </c>
      <c r="C7" s="477">
        <f>landbouw!C8</f>
        <v>77.142857142857139</v>
      </c>
      <c r="D7" s="477">
        <f>landbouw!D8</f>
        <v>3813.1508799999997</v>
      </c>
      <c r="E7" s="477">
        <f>landbouw!E8</f>
        <v>61.216602755445209</v>
      </c>
      <c r="F7" s="477">
        <f>landbouw!F8</f>
        <v>8677.4586582423726</v>
      </c>
      <c r="G7" s="477">
        <f>landbouw!G8</f>
        <v>0</v>
      </c>
      <c r="H7" s="477">
        <f>landbouw!H8</f>
        <v>0</v>
      </c>
      <c r="I7" s="477">
        <f>landbouw!I8</f>
        <v>0</v>
      </c>
      <c r="J7" s="477">
        <f>landbouw!J8</f>
        <v>341.77010810823953</v>
      </c>
      <c r="K7" s="477">
        <f>landbouw!K8</f>
        <v>0</v>
      </c>
      <c r="L7" s="477">
        <f>landbouw!L8</f>
        <v>0</v>
      </c>
      <c r="M7" s="477">
        <f>landbouw!M8</f>
        <v>0</v>
      </c>
      <c r="N7" s="477">
        <f>landbouw!N8</f>
        <v>0</v>
      </c>
      <c r="O7" s="477">
        <f>landbouw!O8</f>
        <v>0</v>
      </c>
      <c r="P7" s="478">
        <f>landbouw!P8</f>
        <v>0</v>
      </c>
      <c r="Q7" s="476">
        <f t="shared" si="0"/>
        <v>15344.749106248915</v>
      </c>
    </row>
    <row r="8" spans="1:17">
      <c r="A8" s="476" t="s">
        <v>638</v>
      </c>
      <c r="B8" s="477">
        <f>industrie!B18</f>
        <v>2372.6849999999999</v>
      </c>
      <c r="C8" s="477">
        <f>industrie!C18</f>
        <v>0</v>
      </c>
      <c r="D8" s="477">
        <f>industrie!D18</f>
        <v>7241.4012220000004</v>
      </c>
      <c r="E8" s="477">
        <f>industrie!E18</f>
        <v>265.01406052848438</v>
      </c>
      <c r="F8" s="477">
        <f>industrie!F18</f>
        <v>1077.2422812227117</v>
      </c>
      <c r="G8" s="477">
        <f>industrie!G18</f>
        <v>0</v>
      </c>
      <c r="H8" s="477">
        <f>industrie!H18</f>
        <v>0</v>
      </c>
      <c r="I8" s="477">
        <f>industrie!I18</f>
        <v>0</v>
      </c>
      <c r="J8" s="477">
        <f>industrie!J18</f>
        <v>3.7004255693253341</v>
      </c>
      <c r="K8" s="477">
        <f>industrie!K18</f>
        <v>0</v>
      </c>
      <c r="L8" s="477">
        <f>industrie!L18</f>
        <v>0</v>
      </c>
      <c r="M8" s="477">
        <f>industrie!M18</f>
        <v>0</v>
      </c>
      <c r="N8" s="477">
        <f>industrie!N18</f>
        <v>631.50862205969418</v>
      </c>
      <c r="O8" s="477">
        <f>industrie!O18</f>
        <v>0</v>
      </c>
      <c r="P8" s="478">
        <f>industrie!P18</f>
        <v>0</v>
      </c>
      <c r="Q8" s="476">
        <f t="shared" si="0"/>
        <v>11591.551611380217</v>
      </c>
    </row>
    <row r="9" spans="1:17" s="482" customFormat="1">
      <c r="A9" s="480" t="s">
        <v>564</v>
      </c>
      <c r="B9" s="481">
        <f>transport!B14</f>
        <v>32.468155049951456</v>
      </c>
      <c r="C9" s="481">
        <f>transport!C14</f>
        <v>0</v>
      </c>
      <c r="D9" s="481">
        <f>transport!D14</f>
        <v>74.932867786470126</v>
      </c>
      <c r="E9" s="481">
        <f>transport!E14</f>
        <v>306.58803700799325</v>
      </c>
      <c r="F9" s="481">
        <f>transport!F14</f>
        <v>0</v>
      </c>
      <c r="G9" s="481">
        <f>transport!G14</f>
        <v>104237.28359092337</v>
      </c>
      <c r="H9" s="481">
        <f>transport!H14</f>
        <v>20330.803938488694</v>
      </c>
      <c r="I9" s="481">
        <f>transport!I14</f>
        <v>0</v>
      </c>
      <c r="J9" s="481">
        <f>transport!J14</f>
        <v>0</v>
      </c>
      <c r="K9" s="481">
        <f>transport!K14</f>
        <v>0</v>
      </c>
      <c r="L9" s="481">
        <f>transport!L14</f>
        <v>0</v>
      </c>
      <c r="M9" s="481">
        <f>transport!M14</f>
        <v>3893.1337419840124</v>
      </c>
      <c r="N9" s="481">
        <f>transport!N14</f>
        <v>0</v>
      </c>
      <c r="O9" s="481">
        <f>transport!O14</f>
        <v>0</v>
      </c>
      <c r="P9" s="481">
        <f>transport!P14</f>
        <v>0</v>
      </c>
      <c r="Q9" s="480">
        <f>SUM(B9:P9)</f>
        <v>128875.21033124049</v>
      </c>
    </row>
    <row r="10" spans="1:17">
      <c r="A10" s="476" t="s">
        <v>554</v>
      </c>
      <c r="B10" s="477">
        <f>transport!B54</f>
        <v>0</v>
      </c>
      <c r="C10" s="477">
        <f>transport!C54</f>
        <v>0</v>
      </c>
      <c r="D10" s="477">
        <f>transport!D54</f>
        <v>0</v>
      </c>
      <c r="E10" s="477">
        <f>transport!E54</f>
        <v>0</v>
      </c>
      <c r="F10" s="477">
        <f>transport!F54</f>
        <v>0</v>
      </c>
      <c r="G10" s="477">
        <f>transport!G54</f>
        <v>1707.5401905000581</v>
      </c>
      <c r="H10" s="477">
        <f>transport!H54</f>
        <v>0</v>
      </c>
      <c r="I10" s="477">
        <f>transport!I54</f>
        <v>0</v>
      </c>
      <c r="J10" s="477">
        <f>transport!J54</f>
        <v>0</v>
      </c>
      <c r="K10" s="477">
        <f>transport!K54</f>
        <v>0</v>
      </c>
      <c r="L10" s="477">
        <f>transport!L54</f>
        <v>0</v>
      </c>
      <c r="M10" s="477">
        <f>transport!M54</f>
        <v>52.964076630982852</v>
      </c>
      <c r="N10" s="477">
        <f>transport!N54</f>
        <v>0</v>
      </c>
      <c r="O10" s="477">
        <f>transport!O54</f>
        <v>0</v>
      </c>
      <c r="P10" s="478">
        <f>transport!P54</f>
        <v>0</v>
      </c>
      <c r="Q10" s="476">
        <f t="shared" si="0"/>
        <v>1760.5042671310409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434.863</v>
      </c>
      <c r="C14" s="484"/>
      <c r="D14" s="484">
        <f>'SEAP template'!E25</f>
        <v>1243.7260000000001</v>
      </c>
      <c r="E14" s="484"/>
      <c r="F14" s="484"/>
      <c r="G14" s="484"/>
      <c r="H14" s="484"/>
      <c r="I14" s="484"/>
      <c r="J14" s="484"/>
      <c r="K14" s="484"/>
      <c r="L14" s="484"/>
      <c r="M14" s="484"/>
      <c r="N14" s="484"/>
      <c r="O14" s="484"/>
      <c r="P14" s="485"/>
      <c r="Q14" s="476">
        <f t="shared" si="0"/>
        <v>1678.5890000000002</v>
      </c>
    </row>
    <row r="15" spans="1:17" s="486" customFormat="1">
      <c r="A15" s="1038" t="s">
        <v>558</v>
      </c>
      <c r="B15" s="978">
        <f ca="1">SUM(B4:B14)</f>
        <v>52214.763183600051</v>
      </c>
      <c r="C15" s="978">
        <f t="shared" ref="C15:Q15" ca="1" si="1">SUM(C4:C14)</f>
        <v>77.142857142857139</v>
      </c>
      <c r="D15" s="978">
        <f t="shared" ca="1" si="1"/>
        <v>59246.764861786476</v>
      </c>
      <c r="E15" s="978">
        <f t="shared" si="1"/>
        <v>6343.8455452470553</v>
      </c>
      <c r="F15" s="978">
        <f t="shared" ca="1" si="1"/>
        <v>84700.033411067212</v>
      </c>
      <c r="G15" s="978">
        <f t="shared" si="1"/>
        <v>105944.82378142343</v>
      </c>
      <c r="H15" s="978">
        <f t="shared" si="1"/>
        <v>20330.803938488694</v>
      </c>
      <c r="I15" s="978">
        <f t="shared" si="1"/>
        <v>0</v>
      </c>
      <c r="J15" s="978">
        <f t="shared" si="1"/>
        <v>345.47053367756484</v>
      </c>
      <c r="K15" s="978">
        <f t="shared" si="1"/>
        <v>0</v>
      </c>
      <c r="L15" s="978">
        <f t="shared" ca="1" si="1"/>
        <v>0</v>
      </c>
      <c r="M15" s="978">
        <f t="shared" si="1"/>
        <v>3946.0978186149955</v>
      </c>
      <c r="N15" s="978">
        <f t="shared" ca="1" si="1"/>
        <v>15476.511429760518</v>
      </c>
      <c r="O15" s="978">
        <f t="shared" si="1"/>
        <v>332.99</v>
      </c>
      <c r="P15" s="978">
        <f t="shared" si="1"/>
        <v>1144</v>
      </c>
      <c r="Q15" s="978">
        <f t="shared" ca="1" si="1"/>
        <v>350103.24736080883</v>
      </c>
    </row>
    <row r="17" spans="1:17">
      <c r="A17" s="487" t="s">
        <v>559</v>
      </c>
      <c r="B17" s="786">
        <f ca="1">huishoudens!B10</f>
        <v>0.18709708717879381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5489.0451812358215</v>
      </c>
      <c r="C22" s="477">
        <f t="shared" ref="C22:C32" ca="1" si="3">C4*$C$17</f>
        <v>0</v>
      </c>
      <c r="D22" s="477">
        <f t="shared" ref="D22:D32" si="4">D4*$D$17</f>
        <v>7789.4042972240004</v>
      </c>
      <c r="E22" s="477">
        <f t="shared" ref="E22:E32" si="5">E4*$E$17</f>
        <v>1236.9617161012527</v>
      </c>
      <c r="F22" s="477">
        <f t="shared" ref="F22:F32" si="6">F4*$F$17</f>
        <v>18915.073307335519</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33430.484501896593</v>
      </c>
    </row>
    <row r="23" spans="1:17">
      <c r="A23" s="476" t="s">
        <v>156</v>
      </c>
      <c r="B23" s="477">
        <f t="shared" ca="1" si="2"/>
        <v>3129.3894349971615</v>
      </c>
      <c r="C23" s="477">
        <f t="shared" ca="1" si="3"/>
        <v>0</v>
      </c>
      <c r="D23" s="477">
        <f t="shared" ca="1" si="4"/>
        <v>1679.0535889600003</v>
      </c>
      <c r="E23" s="477">
        <f t="shared" si="5"/>
        <v>59.441377703562651</v>
      </c>
      <c r="F23" s="477">
        <f t="shared" ca="1" si="6"/>
        <v>1095.3304625822514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5963.2148642429756</v>
      </c>
    </row>
    <row r="24" spans="1:17">
      <c r="A24" s="476" t="s">
        <v>194</v>
      </c>
      <c r="B24" s="477">
        <f t="shared" ca="1" si="2"/>
        <v>175.26637706521714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175.26637706521714</v>
      </c>
    </row>
    <row r="25" spans="1:17">
      <c r="A25" s="476" t="s">
        <v>112</v>
      </c>
      <c r="B25" s="477">
        <f t="shared" ca="1" si="2"/>
        <v>444.17035593332832</v>
      </c>
      <c r="C25" s="477">
        <f t="shared" ca="1" si="3"/>
        <v>0</v>
      </c>
      <c r="D25" s="477">
        <f t="shared" si="4"/>
        <v>770.25647775999994</v>
      </c>
      <c r="E25" s="477">
        <f t="shared" si="5"/>
        <v>13.896168825486063</v>
      </c>
      <c r="F25" s="477">
        <f t="shared" si="6"/>
        <v>2316.8814617507137</v>
      </c>
      <c r="G25" s="477">
        <f t="shared" si="7"/>
        <v>0</v>
      </c>
      <c r="H25" s="477">
        <f t="shared" si="8"/>
        <v>0</v>
      </c>
      <c r="I25" s="477">
        <f t="shared" si="9"/>
        <v>0</v>
      </c>
      <c r="J25" s="477">
        <f t="shared" si="10"/>
        <v>120.98661827031678</v>
      </c>
      <c r="K25" s="477">
        <f t="shared" si="11"/>
        <v>0</v>
      </c>
      <c r="L25" s="477">
        <f t="shared" si="12"/>
        <v>0</v>
      </c>
      <c r="M25" s="477">
        <f t="shared" si="13"/>
        <v>0</v>
      </c>
      <c r="N25" s="477">
        <f t="shared" si="14"/>
        <v>0</v>
      </c>
      <c r="O25" s="477">
        <f t="shared" si="15"/>
        <v>0</v>
      </c>
      <c r="P25" s="478">
        <f t="shared" si="16"/>
        <v>0</v>
      </c>
      <c r="Q25" s="476">
        <f t="shared" ca="1" si="17"/>
        <v>3666.191082539845</v>
      </c>
    </row>
    <row r="26" spans="1:17">
      <c r="A26" s="476" t="s">
        <v>638</v>
      </c>
      <c r="B26" s="477">
        <f t="shared" ca="1" si="2"/>
        <v>443.92245229281639</v>
      </c>
      <c r="C26" s="477">
        <f t="shared" ca="1" si="3"/>
        <v>0</v>
      </c>
      <c r="D26" s="477">
        <f t="shared" si="4"/>
        <v>1462.7630468440002</v>
      </c>
      <c r="E26" s="477">
        <f t="shared" si="5"/>
        <v>60.158191739965957</v>
      </c>
      <c r="F26" s="477">
        <f t="shared" si="6"/>
        <v>287.62368908646403</v>
      </c>
      <c r="G26" s="477">
        <f t="shared" si="7"/>
        <v>0</v>
      </c>
      <c r="H26" s="477">
        <f t="shared" si="8"/>
        <v>0</v>
      </c>
      <c r="I26" s="477">
        <f t="shared" si="9"/>
        <v>0</v>
      </c>
      <c r="J26" s="477">
        <f t="shared" si="10"/>
        <v>1.3099506515411683</v>
      </c>
      <c r="K26" s="477">
        <f t="shared" si="11"/>
        <v>0</v>
      </c>
      <c r="L26" s="477">
        <f t="shared" si="12"/>
        <v>0</v>
      </c>
      <c r="M26" s="477">
        <f t="shared" si="13"/>
        <v>0</v>
      </c>
      <c r="N26" s="477">
        <f t="shared" si="14"/>
        <v>0</v>
      </c>
      <c r="O26" s="477">
        <f t="shared" si="15"/>
        <v>0</v>
      </c>
      <c r="P26" s="478">
        <f t="shared" si="16"/>
        <v>0</v>
      </c>
      <c r="Q26" s="476">
        <f t="shared" ca="1" si="17"/>
        <v>2255.7773306147878</v>
      </c>
    </row>
    <row r="27" spans="1:17" s="482" customFormat="1">
      <c r="A27" s="480" t="s">
        <v>564</v>
      </c>
      <c r="B27" s="780">
        <f t="shared" ca="1" si="2"/>
        <v>6.0746972359153624</v>
      </c>
      <c r="C27" s="481">
        <f t="shared" ca="1" si="3"/>
        <v>0</v>
      </c>
      <c r="D27" s="481">
        <f t="shared" si="4"/>
        <v>15.136439292866967</v>
      </c>
      <c r="E27" s="481">
        <f t="shared" si="5"/>
        <v>69.59548440081447</v>
      </c>
      <c r="F27" s="481">
        <f t="shared" si="6"/>
        <v>0</v>
      </c>
      <c r="G27" s="481">
        <f t="shared" si="7"/>
        <v>27831.35471877654</v>
      </c>
      <c r="H27" s="481">
        <f t="shared" si="8"/>
        <v>5062.3701806836852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32984.531520389821</v>
      </c>
    </row>
    <row r="28" spans="1:17">
      <c r="A28" s="476" t="s">
        <v>554</v>
      </c>
      <c r="B28" s="477">
        <f t="shared" ca="1" si="2"/>
        <v>0</v>
      </c>
      <c r="C28" s="477">
        <f t="shared" ca="1" si="3"/>
        <v>0</v>
      </c>
      <c r="D28" s="477">
        <f t="shared" si="4"/>
        <v>0</v>
      </c>
      <c r="E28" s="477">
        <f t="shared" si="5"/>
        <v>0</v>
      </c>
      <c r="F28" s="477">
        <f t="shared" si="6"/>
        <v>0</v>
      </c>
      <c r="G28" s="477">
        <f t="shared" si="7"/>
        <v>455.91323086351554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455.91323086351554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81.361600621831812</v>
      </c>
      <c r="C32" s="477">
        <f t="shared" ca="1" si="3"/>
        <v>0</v>
      </c>
      <c r="D32" s="477">
        <f t="shared" si="4"/>
        <v>251.23265200000003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332.59425262183186</v>
      </c>
    </row>
    <row r="33" spans="1:17" s="486" customFormat="1">
      <c r="A33" s="1038" t="s">
        <v>558</v>
      </c>
      <c r="B33" s="978">
        <f ca="1">SUM(B22:B32)</f>
        <v>9769.2300993820936</v>
      </c>
      <c r="C33" s="978">
        <f t="shared" ref="C33:Q33" ca="1" si="18">SUM(C22:C32)</f>
        <v>0</v>
      </c>
      <c r="D33" s="978">
        <f t="shared" ca="1" si="18"/>
        <v>11967.846502080867</v>
      </c>
      <c r="E33" s="978">
        <f t="shared" si="18"/>
        <v>1440.0529387710819</v>
      </c>
      <c r="F33" s="978">
        <f t="shared" ca="1" si="18"/>
        <v>22614.908920754948</v>
      </c>
      <c r="G33" s="978">
        <f t="shared" si="18"/>
        <v>28287.267949640056</v>
      </c>
      <c r="H33" s="978">
        <f t="shared" si="18"/>
        <v>5062.3701806836852</v>
      </c>
      <c r="I33" s="978">
        <f t="shared" si="18"/>
        <v>0</v>
      </c>
      <c r="J33" s="978">
        <f t="shared" si="18"/>
        <v>122.29656892185795</v>
      </c>
      <c r="K33" s="978">
        <f t="shared" si="18"/>
        <v>0</v>
      </c>
      <c r="L33" s="978">
        <f t="shared" ca="1" si="18"/>
        <v>0</v>
      </c>
      <c r="M33" s="978">
        <f t="shared" si="18"/>
        <v>0</v>
      </c>
      <c r="N33" s="978">
        <f t="shared" ca="1" si="18"/>
        <v>0</v>
      </c>
      <c r="O33" s="978">
        <f t="shared" si="18"/>
        <v>0</v>
      </c>
      <c r="P33" s="978">
        <f t="shared" si="18"/>
        <v>0</v>
      </c>
      <c r="Q33" s="978">
        <f t="shared" ca="1" si="18"/>
        <v>79263.973160234586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7956.1021004231661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54</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63.529411764705898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8010.1021004231661</v>
      </c>
      <c r="C10" s="1059">
        <f>SUM(C4:C9)</f>
        <v>0</v>
      </c>
      <c r="D10" s="1059">
        <f t="shared" ref="D10:H10" si="0">SUM(D8:D9)</f>
        <v>0</v>
      </c>
      <c r="E10" s="1059">
        <f t="shared" si="0"/>
        <v>0</v>
      </c>
      <c r="F10" s="1059">
        <f t="shared" si="0"/>
        <v>0</v>
      </c>
      <c r="G10" s="1059">
        <f t="shared" si="0"/>
        <v>0</v>
      </c>
      <c r="H10" s="1059">
        <f t="shared" si="0"/>
        <v>0</v>
      </c>
      <c r="I10" s="1059">
        <f>SUM(I8:I9)</f>
        <v>0</v>
      </c>
      <c r="J10" s="1059">
        <f>SUM(J8:J9)</f>
        <v>63.529411764705898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0.18709708717879381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77.142857142857139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90.756302521008422</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77.142857142857139</v>
      </c>
      <c r="C20" s="1059">
        <f>SUM(C17:C19)</f>
        <v>0</v>
      </c>
      <c r="D20" s="1059">
        <f t="shared" ref="D20:H20" si="2">SUM(D17:D19)</f>
        <v>0</v>
      </c>
      <c r="E20" s="1059">
        <f t="shared" si="2"/>
        <v>0</v>
      </c>
      <c r="F20" s="1059">
        <f t="shared" si="2"/>
        <v>0</v>
      </c>
      <c r="G20" s="1059">
        <f t="shared" si="2"/>
        <v>0</v>
      </c>
      <c r="H20" s="1059">
        <f t="shared" si="2"/>
        <v>0</v>
      </c>
      <c r="I20" s="1059">
        <f>SUM(I17:I19)</f>
        <v>0</v>
      </c>
      <c r="J20" s="1059">
        <f>SUM(J17:J19)</f>
        <v>90.756302521008422</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0.18709708717879381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2019-08-12T08:26:39Z</dcterms:modified>
</cp:coreProperties>
</file>