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<sst xmlns="http://schemas.openxmlformats.org/spreadsheetml/2006/main" count="2392" uniqueCount="890">
  <si>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</si>
  <si>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</si>
  <si>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</si>
  <si>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</si>
  <si>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</si>
  <si>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</si>
  <si>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</si>
  <si>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</si>
  <si>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</si>
  <si>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</si>
  <si>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</si>
  <si>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</si>
  <si>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</si>
  <si>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</si>
  <si>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</si>
  <si>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</si>
  <si>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</si>
  <si>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</si>
  <si>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</si>
  <si>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</si>
  <si>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</si>
  <si>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</si>
  <si>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</si>
  <si>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</si>
  <si>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</si>
  <si>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</si>
  <si>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</si>
  <si>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</si>
  <si>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</si>
  <si>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</si>
  <si>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</si>
  <si>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</si>
  <si>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</si>
  <si>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</si>
  <si>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</si>
  <si>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</si>
  <si>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</si>
  <si>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</si>
  <si>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</si>
  <si>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</si>
  <si>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</si>
  <si>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</si>
  <si>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</si>
  <si>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</si>
  <si>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</si>
  <si>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</si>
  <si>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</si>
  <si>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</si>
  <si>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</si>
  <si>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</si>
  <si>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</si>
  <si>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</si>
  <si>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</si>
  <si>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</si>
  <si>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</si>
  <si>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</si>
  <si>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</si>
  <si>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</si>
  <si>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</si>
  <si>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</si>
  <si>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</si>
  <si>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</si>
  <si>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</si>
  <si>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</si>
  <si>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</si>
  <si>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</si>
  <si>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</si>
  <si>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</si>
  <si>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</si>
  <si>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</si>
  <si>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</si>
  <si>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</si>
  <si>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</si>
  <si>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</si>
  <si>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</si>
  <si>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</si>
  <si>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</si>
  <si>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</si>
  <si>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</si>
  <si>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</si>
  <si>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</si>
  <si>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</si>
  <si>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</si>
  <si>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</si>
  <si>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</si>
  <si>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</si>
  <si>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</si>
  <si>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</si>
  <si>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</si>
  <si>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</si>
  <si>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</si>
  <si>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</si>
  <si>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</si>
  <si>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</si>
  <si>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</si>
  <si>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</si>
  <si>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</si>
  <si>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</si>
  <si>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</si>
  <si>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</si>
  <si>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</si>
  <si>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</si>
  <si>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</si>
  <si>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</si>
  <si>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</si>
  <si>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</si>
  <si>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</si>
  <si>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</si>
  <si>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</si>
  <si>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</si>
  <si>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</si>
  <si>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</si>
  <si>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</si>
  <si>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</si>
  <si>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</si>
  <si>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</si>
  <si>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</si>
  <si>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</si>
  <si>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</si>
  <si>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</si>
  <si>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</si>
  <si>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</si>
  <si>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</si>
  <si>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</si>
  <si>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</si>
  <si>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</si>
  <si>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</si>
  <si>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</si>
  <si>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</si>
  <si>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</si>
  <si>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</si>
  <si>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</si>
  <si>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</si>
  <si>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</si>
  <si>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</si>
  <si>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</si>
  <si>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</si>
  <si>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</si>
  <si>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</si>
  <si>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</si>
  <si>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</si>
  <si>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</si>
  <si>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</si>
  <si>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</si>
  <si>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</si>
  <si>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</si>
  <si>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</si>
  <si>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</si>
  <si>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</si>
  <si>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</si>
  <si>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</si>
  <si>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</si>
  <si>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</si>
  <si>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</si>
  <si>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</si>
  <si>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</si>
  <si>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</si>
  <si>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</si>
  <si>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</si>
  <si>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</si>
  <si>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</si>
  <si>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</si>
  <si>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</si>
  <si>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</si>
  <si>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</si>
  <si>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</si>
  <si>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</si>
  <si>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</si>
  <si>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</si>
  <si>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</si>
  <si>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</si>
  <si>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</si>
  <si>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</si>
  <si>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</si>
  <si>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</si>
  <si>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</si>
  <si>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</si>
  <si>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</si>
  <si>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</si>
  <si>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</si>
  <si>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</si>
  <si>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</si>
  <si>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</si>
  <si>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</si>
  <si>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</si>
  <si>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</si>
  <si>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</si>
  <si>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</si>
  <si>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</si>
  <si>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</si>
  <si>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</si>
  <si>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</si>
  <si>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</si>
  <si>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</si>
  <si>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</si>
  <si>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</si>
  <si>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</si>
  <si>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</si>
  <si>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</si>
  <si>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</si>
  <si>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</si>
  <si>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</si>
  <si>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</si>
  <si>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</si>
  <si>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</si>
  <si>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</si>
  <si>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</si>
  <si>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</si>
  <si>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</si>
  <si>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</si>
  <si>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</si>
  <si>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</si>
  <si>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</si>
  <si>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</si>
  <si>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</si>
  <si>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</si>
  <si>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</si>
  <si>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</si>
  <si>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</si>
  <si>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</si>
  <si>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</si>
  <si>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</si>
  <si>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</si>
  <si>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</si>
  <si>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</si>
  <si>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</si>
  <si>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</si>
  <si>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</si>
  <si>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</si>
  <si>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</si>
  <si>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</si>
  <si>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</si>
  <si>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</si>
  <si>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</si>
  <si>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</si>
  <si>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</si>
  <si>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</si>
  <si>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</si>
  <si>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</si>
  <si>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</si>
  <si>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</si>
  <si>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</si>
  <si>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</si>
  <si>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</si>
  <si>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</si>
  <si>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</si>
  <si>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</si>
  <si>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</si>
  <si>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</si>
  <si>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</si>
  <si>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</si>
  <si>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</si>
  <si>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</si>
  <si>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</si>
  <si>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</si>
  <si>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</si>
  <si>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</si>
  <si>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</si>
  <si>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</si>
  <si>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</si>
  <si>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</si>
  <si>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</si>
  <si>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</si>
  <si>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</si>
  <si>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</si>
  <si>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</si>
  <si>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</si>
  <si>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</si>
  <si>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</si>
  <si>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</si>
  <si>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</si>
  <si>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</si>
  <si>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</si>
  <si>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</si>
  <si>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</si>
  <si>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</si>
  <si>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</si>
  <si>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</si>
  <si>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</si>
  <si>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</si>
  <si>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</si>
  <si>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</si>
  <si>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</si>
  <si>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</si>
  <si>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</si>
  <si>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</si>
  <si>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</si>
  <si>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</si>
  <si>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</si>
  <si>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</si>
  <si>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</si>
  <si>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</si>
  <si>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</si>
  <si>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</si>
  <si>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</si>
  <si>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</si>
  <si>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</si>
  <si>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</si>
  <si>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</si>
  <si>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</si>
  <si>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</si>
  <si>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</si>
  <si>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</si>
  <si>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</si>
  <si>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</si>
  <si>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</si>
  <si>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</si>
  <si>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</si>
  <si>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</si>
  <si>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</si>
  <si>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</si>
  <si>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</si>
  <si>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</si>
  <si>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</si>
  <si>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</si>
  <si>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</si>
  <si>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</si>
  <si>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</si>
  <si>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</si>
  <si>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</si>
  <si>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</si>
  <si>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</si>
  <si>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</si>
  <si>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</si>
  <si>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</si>
  <si>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</si>
  <si>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</si>
  <si>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</si>
  <si>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</si>
  <si>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</si>
  <si>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</si>
  <si>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</si>
  <si>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</si>
  <si>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</si>
  <si>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</si>
  <si>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</si>
  <si>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</si>
  <si>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</si>
  <si>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</si>
  <si>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</si>
  <si>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</si>
  <si>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</si>
  <si>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</si>
  <si>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</si>
  <si>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</si>
  <si>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</si>
  <si>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</si>
  <si>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</si>
  <si>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</si>
  <si>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</si>
  <si>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</si>
  <si>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</si>
  <si>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</si>
  <si>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</si>
  <si>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</si>
  <si>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</si>
  <si>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</si>
  <si>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</si>
  <si>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</si>
  <si>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</si>
  <si>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</si>
  <si>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</si>
  <si>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</si>
  <si>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</si>
  <si>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</si>
  <si>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</si>
  <si>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</si>
  <si>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</si>
  <si>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</si>
  <si>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</si>
  <si>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</si>
  <si>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</si>
  <si>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</si>
  <si>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</si>
  <si>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</si>
  <si>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</si>
  <si>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</si>
  <si>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</si>
  <si>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</si>
  <si>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</si>
  <si>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</si>
  <si>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</si>
  <si>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</si>
  <si>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</si>
  <si>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</si>
  <si>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</si>
  <si>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</si>
  <si>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</si>
  <si>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</si>
  <si>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</si>
  <si>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</si>
  <si>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</si>
  <si>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</si>
  <si>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</si>
  <si>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</si>
  <si>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</si>
  <si>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</si>
  <si>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</si>
  <si>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</si>
  <si>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</si>
  <si>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</si>
  <si>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</si>
  <si>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</si>
  <si>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</si>
  <si>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</si>
  <si>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</si>
  <si>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</si>
  <si>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</si>
  <si>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</si>
  <si>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</si>
  <si>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</si>
  <si>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</si>
  <si>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</si>
  <si>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</si>
  <si>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</si>
  <si>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</si>
  <si>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</si>
  <si>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</si>
  <si>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</si>
  <si>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</si>
  <si>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</si>
  <si>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</si>
  <si>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</si>
  <si>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</si>
  <si>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</si>
  <si>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</si>
  <si>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</si>
  <si>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</si>
  <si>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</si>
  <si>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</si>
  <si>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</si>
  <si>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</si>
  <si>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</si>
  <si>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</si>
  <si>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</si>
  <si>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</si>
  <si>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</si>
  <si>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</si>
  <si>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</si>
  <si>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</si>
  <si>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</si>
  <si>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</si>
  <si>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</si>
  <si>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</si>
  <si>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</si>
  <si>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</si>
  <si>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</si>
  <si>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</si>
  <si>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</si>
  <si>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</si>
  <si>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</si>
  <si>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</si>
  <si>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</si>
  <si>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</si>
  <si>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</si>
  <si>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</si>
  <si>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</si>
  <si>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</si>
  <si>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</si>
  <si>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</si>
  <si>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</si>
  <si>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</si>
  <si>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</si>
  <si>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</si>
  <si>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</si>
  <si>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</si>
  <si>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</si>
  <si>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</si>
  <si>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</si>
  <si>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</si>
  <si>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</si>
  <si>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</si>
  <si>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</si>
  <si>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</si>
  <si>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</si>
  <si>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</si>
  <si>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</si>
  <si>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</si>
  <si>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</si>
  <si>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</si>
  <si>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</si>
  <si>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</si>
  <si>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</si>
  <si>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</si>
  <si>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</si>
  <si>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</si>
  <si>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</si>
  <si>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</si>
  <si>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</si>
  <si>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</si>
  <si>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</si>
  <si>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</si>
  <si>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</si>
  <si>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</si>
  <si>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</si>
  <si>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</si>
  <si>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</si>
  <si>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</si>
  <si>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</si>
  <si>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</si>
  <si>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</si>
  <si>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</si>
  <si>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</si>
  <si>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</si>
  <si>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</si>
  <si>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</si>
  <si>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</si>
  <si>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</si>
  <si>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</si>
  <si>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</si>
  <si>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</si>
  <si>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</si>
  <si>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</si>
  <si>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</si>
  <si>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</si>
  <si>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</si>
  <si>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</si>
  <si>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</si>
  <si>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</si>
  <si>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</si>
  <si>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</si>
  <si>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</si>
  <si>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</si>
  <si>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</si>
  <si>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</si>
  <si>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</si>
  <si>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</si>
  <si>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</si>
  <si>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</si>
  <si>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</si>
  <si>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</si>
  <si>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</si>
  <si>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</si>
  <si>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</si>
  <si>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</si>
  <si>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</si>
  <si>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</si>
  <si>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</si>
  <si>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</si>
  <si>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</si>
  <si>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</si>
  <si>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</si>
  <si>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</si>
  <si>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</si>
  <si>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</si>
  <si>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</si>
  <si>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</si>
  <si>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</si>
  <si>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</si>
  <si>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</si>
  <si>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</si>
  <si>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</si>
  <si>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</si>
  <si>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</si>
  <si>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</si>
  <si>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</si>
  <si>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</si>
  <si>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</si>
  <si>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</si>
  <si>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</si>
  <si>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</si>
  <si>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</si>
  <si>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</si>
  <si>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</si>
  <si>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</si>
  <si>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</si>
  <si>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</si>
  <si>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</si>
  <si>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</si>
  <si>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</si>
  <si>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</si>
  <si>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</si>
  <si>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</si>
  <si>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</si>
  <si>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</si>
  <si>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</si>
  <si>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</si>
  <si>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</si>
  <si>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</si>
  <si>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</si>
  <si>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</si>
  <si>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</si>
  <si>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</si>
  <si>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</si>
  <si>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</si>
  <si>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</si>
  <si>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</si>
  <si>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</si>
  <si>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</si>
  <si>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</si>
  <si>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</si>
  <si>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</si>
  <si>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</si>
  <si>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</si>
  <si>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</si>
  <si>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</si>
  <si>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</si>
  <si>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</si>
  <si>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</si>
  <si>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</si>
  <si>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</si>
  <si>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</si>
  <si>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</si>
  <si>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</si>
  <si>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</si>
  <si>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</si>
  <si>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</si>
  <si>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</si>
  <si>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</si>
  <si>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</si>
  <si>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</si>
  <si>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</si>
  <si>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</si>
  <si>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</si>
  <si>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</si>
  <si>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</si>
  <si>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</si>
  <si>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</si>
  <si>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</si>
  <si>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</si>
  <si>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</si>
  <si>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</si>
  <si>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</si>
  <si>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</si>
  <si>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</si>
  <si>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</si>
  <si>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</si>
  <si>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</si>
  <si>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</si>
  <si>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</si>
  <si>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</si>
  <si>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</si>
  <si>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</si>
  <si>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</si>
  <si>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</si>
  <si>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</si>
  <si>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</si>
  <si>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</si>
  <si>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</si>
  <si>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</si>
  <si>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</si>
  <si>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</si>
  <si>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</si>
  <si>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</si>
  <si>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</si>
  <si>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</si>
  <si>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</si>
  <si>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</si>
  <si>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</si>
  <si>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</si>
  <si>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</si>
  <si>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</si>
  <si>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</si>
  <si>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</si>
  <si>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</si>
  <si>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</si>
  <si>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</si>
  <si>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</si>
  <si>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</si>
  <si>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</si>
  <si>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</si>
  <si>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</si>
  <si>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</si>
  <si>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</si>
  <si>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</si>
  <si>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</si>
  <si>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</si>
  <si>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</si>
  <si>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</si>
  <si>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</si>
  <si>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</si>
  <si>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</si>
  <si>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</si>
  <si>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</si>
  <si>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</si>
  <si>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</si>
  <si>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</si>
  <si>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</si>
  <si>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</si>
  <si>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</si>
  <si>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</si>
  <si>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</si>
  <si>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</si>
  <si>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</si>
  <si>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</si>
  <si>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</si>
  <si>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</si>
  <si>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</si>
  <si>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</si>
  <si>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</si>
  <si>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</si>
  <si>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</si>
  <si>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</si>
  <si>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</si>
  <si>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</si>
  <si>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</si>
  <si>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</si>
  <si>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</si>
  <si>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</si>
  <si>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</si>
  <si>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</si>
  <si>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</si>
  <si>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</si>
  <si>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</si>
  <si>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</si>
  <si>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</si>
  <si>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</si>
  <si>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</si>
  <si>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</si>
  <si>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</si>
  <si>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</si>
  <si>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</si>
  <si>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</si>
  <si>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</si>
  <si>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</si>
  <si>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</si>
  <si>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</si>
  <si>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</si>
  <si>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</si>
  <si>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</si>
  <si>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</si>
  <si>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</si>
  <si>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</si>
  <si>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</si>
  <si>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</si>
  <si>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</si>
  <si>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</si>
  <si>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</si>
  <si>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</si>
  <si>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</si>
  <si>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</si>
  <si>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</si>
  <si>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</si>
  <si>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</si>
  <si>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</si>
  <si>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</si>
  <si>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</si>
  <si>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</si>
  <si>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</si>
  <si>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</si>
  <si>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</si>
  <si>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</si>
  <si>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</si>
  <si>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</si>
  <si>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</si>
  <si>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</si>
  <si>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</si>
  <si>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</si>
  <si>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</si>
  <si>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</si>
  <si>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</si>
  <si>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</si>
  <si>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</si>
  <si>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</si>
  <si>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</si>
  <si>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</si>
  <si>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</si>
  <si>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</si>
  <si>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</si>
  <si>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</si>
  <si>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</si>
  <si>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</si>
  <si>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</si>
  <si>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</si>
  <si>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</si>
  <si>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</si>
  <si>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</si>
  <si>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</si>
  <si>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</si>
  <si>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</si>
  <si>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</si>
  <si>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</si>
  <si>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</si>
  <si>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</si>
  <si>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</si>
  <si>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</si>
  <si>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</si>
  <si>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</si>
  <si>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</si>
  <si>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</si>
  <si>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</si>
  <si>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</si>
  <si>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</si>
  <si>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</si>
  <si>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</si>
  <si>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</si>
  <si>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</si>
  <si>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</si>
  <si>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</si>
  <si>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</si>
  <si>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</si>
  <si>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</si>
  <si>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</si>
  <si>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</si>
  <si>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</si>
  <si>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</si>
  <si>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</si>
  <si>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</si>
  <si>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</si>
  <si>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</si>
  <si>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</si>
  <si>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</si>
  <si>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</si>
  <si>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</si>
  <si>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</si>
  <si>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</si>
  <si>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</si>
  <si>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</si>
  <si>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</si>
  <si>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</si>
  <si>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</si>
  <si>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</si>
  <si>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</si>
  <si>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</si>
  <si>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</si>
  <si>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</si>
  <si>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</si>
  <si>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</si>
  <si>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</si>
  <si>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</si>
  <si>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</si>
  <si>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</si>
  <si>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</si>
  <si>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</si>
  <si>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</si>
  <si>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</si>
  <si>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</si>
  <si>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</si>
  <si>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</si>
  <si>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</si>
  <si>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</si>
  <si>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</si>
  <si>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</si>
  <si>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</si>
  <si>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</si>
  <si>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</si>
  <si>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</si>
  <si>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</si>
  <si>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</si>
  <si>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</si>
  <si>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</si>
  <si>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</si>
  <si>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</si>
  <si>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</si>
  <si>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</si>
  <si>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</si>
  <si>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</si>
  <si>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</si>
  <si>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</si>
  <si>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</si>
  <si>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</si>
  <si>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</si>
  <si>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</si>
  <si>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</si>
  <si>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</si>
  <si>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</si>
  <si>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</si>
  <si>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</si>
  <si>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</si>
  <si>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</si>
  <si>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</si>
  <si>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</si>
  <si>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</si>
  <si>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</si>
  <si>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</si>
  <si>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</si>
  <si>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</si>
  <si>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</si>
  <si>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</si>
  <si>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</si>
  <si>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</si>
  <si>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</si>
  <si>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</si>
  <si>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</si>
  <si>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</si>
  <si>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</si>
  <si>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</si>
  <si>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</si>
  <si>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</si>
  <si>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</si>
  <si>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</si>
  <si>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</si>
  <si>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73032</t>
  </si>
  <si>
    <t>HOESELT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</si>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</sst>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90600.029556745052</c:v>
                </c:pt>
                <c:pt idx="1">
                  <c:v>20055.879956446461</c:v>
                </c:pt>
                <c:pt idx="2">
                  <c:v>560.63</c:v>
                </c:pt>
                <c:pt idx="3">
                  <c:v>6135.2276746098487</c:v>
                </c:pt>
                <c:pt idx="4">
                  <c:v>9472.9509020163077</c:v>
                </c:pt>
                <c:pt idx="5">
                  <c:v>90953.72682186609</c:v>
                </c:pt>
                <c:pt idx="6">
                  <c:v>514.9023209947519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5344"/>
        <c:axId val="131626880"/>
      </c:barChart>
      <c:catAx>
        <c:axId val="131625344"/>
        <c:scaling>
          <c:orientation val="minMax"/>
        </c:scaling>
        <c:axPos val="b"/>
        <c:numFmt formatCode="General" sourceLinked="0"/>
        <c:tickLblPos val="nextTo"/>
        <c:crossAx val="131626880"/>
        <c:crosses val="autoZero"/>
        <c:auto val="1"/>
        <c:lblAlgn val="ctr"/>
        <c:lblOffset val="100"/>
      </c:catAx>
      <c:valAx>
        <c:axId val="131626880"/>
        <c:scaling>
          <c:orientation val="minMax"/>
        </c:scaling>
        <c:axPos val="l"/>
        <c:majorGridlines/>
        <c:numFmt formatCode="#,##0" sourceLinked="1"/>
        <c:tickLblPos val="nextTo"/>
        <c:crossAx val="131625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90600.029556745052</c:v>
                </c:pt>
                <c:pt idx="1">
                  <c:v>20055.879956446461</c:v>
                </c:pt>
                <c:pt idx="2">
                  <c:v>560.63</c:v>
                </c:pt>
                <c:pt idx="3">
                  <c:v>6135.2276746098487</c:v>
                </c:pt>
                <c:pt idx="4">
                  <c:v>9472.9509020163077</c:v>
                </c:pt>
                <c:pt idx="5">
                  <c:v>90953.72682186609</c:v>
                </c:pt>
                <c:pt idx="6">
                  <c:v>514.9023209947519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19180.571611100346</c:v>
                </c:pt>
                <c:pt idx="2">
                  <c:v>3981.3272985400067</c:v>
                </c:pt>
                <c:pt idx="3">
                  <c:v>106.81307642225423</c:v>
                </c:pt>
                <c:pt idx="4">
                  <c:v>1529.1992490636724</c:v>
                </c:pt>
                <c:pt idx="5">
                  <c:v>1666.9684305444741</c:v>
                </c:pt>
                <c:pt idx="6">
                  <c:v>23284.986444928156</c:v>
                </c:pt>
                <c:pt idx="7">
                  <c:v>133.3429206203491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9312"/>
      </c:barChart>
      <c:catAx>
        <c:axId val="149859328"/>
        <c:scaling>
          <c:orientation val="minMax"/>
        </c:scaling>
        <c:axPos val="b"/>
        <c:numFmt formatCode="General" sourceLinked="0"/>
        <c:tickLblPos val="nextTo"/>
        <c:crossAx val="149869312"/>
        <c:crosses val="autoZero"/>
        <c:auto val="1"/>
        <c:lblAlgn val="ctr"/>
        <c:lblOffset val="100"/>
      </c:catAx>
      <c:valAx>
        <c:axId val="149869312"/>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19180.571611100346</c:v>
                </c:pt>
                <c:pt idx="2">
                  <c:v>3981.3272985400067</c:v>
                </c:pt>
                <c:pt idx="3">
                  <c:v>106.81307642225423</c:v>
                </c:pt>
                <c:pt idx="4">
                  <c:v>1529.1992490636724</c:v>
                </c:pt>
                <c:pt idx="5">
                  <c:v>1666.9684305444741</c:v>
                </c:pt>
                <c:pt idx="6">
                  <c:v>23284.986444928156</c:v>
                </c:pt>
                <c:pt idx="7">
                  <c:v>133.3429206203491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73032</v>
      </c>
      <c r="B6" s="415"/>
      <c r="C6" s="416"/>
    </row>
    <row r="7" spans="1:7" s="413" customFormat="1" ht="15.75" customHeight="1">
      <c r="A7" s="417" t="str">
        <f>txtMunicipality</f>
        <v>HOESELT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9854.2709999999988</v>
      </c>
      <c r="D10" s="1012">
        <f ca="1">tertiair!C16</f>
        <v>0</v>
      </c>
      <c r="E10" s="1012">
        <f ca="1">tertiair!D16</f>
        <v>7806.5628520000009</v>
      </c>
      <c r="F10" s="1012">
        <f>tertiair!E16</f>
        <v>220.38366894609109</v>
      </c>
      <c r="G10" s="1012">
        <f ca="1">tertiair!F16</f>
        <v>2186.2148991879867</v>
      </c>
      <c r="H10" s="1012">
        <f>tertiair!G16</f>
        <v>0</v>
      </c>
      <c r="I10" s="1012">
        <f>tertiair!H16</f>
        <v>0</v>
      </c>
      <c r="J10" s="1012">
        <f>tertiair!I16</f>
        <v>0</v>
      </c>
      <c r="K10" s="1012">
        <f>tertiair!J16</f>
        <v>0</v>
      </c>
      <c r="L10" s="1012">
        <f>tertiair!K16</f>
        <v>0</v>
      </c>
      <c r="M10" s="1012">
        <f ca="1">tertiair!L16</f>
        <v>0</v>
      </c>
      <c r="N10" s="1012">
        <f>tertiair!M16</f>
        <v>0</v>
      </c>
      <c r="O10" s="1012">
        <f ca="1">tertiair!N16</f>
        <v>528.44753631238586</v>
      </c>
      <c r="P10" s="1012">
        <f>tertiair!O16</f>
        <v>1.5633333333333335</v>
      </c>
      <c r="Q10" s="1013">
        <f>tertiair!P16</f>
        <v>19.066666666666666</v>
      </c>
      <c r="R10" s="700">
        <f ca="1">SUM(C10:Q10)</f>
        <v>20616.509956446462</v>
      </c>
      <c r="S10" s="67"/>
    </row>
    <row r="11" spans="1:19" s="473" customFormat="1">
      <c r="A11" s="809" t="s">
        <v>225</v>
      </c>
      <c r="B11" s="814"/>
      <c r="C11" s="1012">
        <f>huishoudens!B8</f>
        <v>16514.062605977604</v>
      </c>
      <c r="D11" s="1012">
        <f>huishoudens!C8</f>
        <v>0</v>
      </c>
      <c r="E11" s="1012">
        <f>huishoudens!D8</f>
        <v>21446.669991999999</v>
      </c>
      <c r="F11" s="1012">
        <f>huishoudens!E8</f>
        <v>1757.7183071955014</v>
      </c>
      <c r="G11" s="1012">
        <f>huishoudens!F8</f>
        <v>42333.440261814772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8112.058389757166</v>
      </c>
      <c r="P11" s="1012">
        <f>huishoudens!O8</f>
        <v>150.08000000000001</v>
      </c>
      <c r="Q11" s="1013">
        <f>huishoudens!P8</f>
        <v>286</v>
      </c>
      <c r="R11" s="700">
        <f>SUM(C11:Q11)</f>
        <v>90600.029556745052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4485.3289999999997</v>
      </c>
      <c r="D13" s="1012">
        <f>industrie!C18</f>
        <v>0</v>
      </c>
      <c r="E13" s="1012">
        <f>industrie!D18</f>
        <v>2033.5319399999998</v>
      </c>
      <c r="F13" s="1012">
        <f>industrie!E18</f>
        <v>211.54526063018812</v>
      </c>
      <c r="G13" s="1012">
        <f>industrie!F18</f>
        <v>1314.6568254591627</v>
      </c>
      <c r="H13" s="1012">
        <f>industrie!G18</f>
        <v>0</v>
      </c>
      <c r="I13" s="1012">
        <f>industrie!H18</f>
        <v>0</v>
      </c>
      <c r="J13" s="1012">
        <f>industrie!I18</f>
        <v>0</v>
      </c>
      <c r="K13" s="1012">
        <f>industrie!J18</f>
        <v>7.3479081715794763</v>
      </c>
      <c r="L13" s="1012">
        <f>industrie!K18</f>
        <v>0</v>
      </c>
      <c r="M13" s="1012">
        <f>industrie!L18</f>
        <v>0</v>
      </c>
      <c r="N13" s="1012">
        <f>industrie!M18</f>
        <v>0</v>
      </c>
      <c r="O13" s="1012">
        <f>industrie!N18</f>
        <v>1420.5399677553783</v>
      </c>
      <c r="P13" s="1012">
        <f>industrie!O18</f>
        <v>0</v>
      </c>
      <c r="Q13" s="1013">
        <f>industrie!P18</f>
        <v>0</v>
      </c>
      <c r="R13" s="700">
        <f>SUM(C13:Q13)</f>
        <v>9472.9509020163077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30853.662605977603</v>
      </c>
      <c r="D16" s="732">
        <f t="shared" ref="D16:R16" ca="1" si="0">SUM(D9:D15)</f>
        <v>0</v>
      </c>
      <c r="E16" s="732">
        <f t="shared" ca="1" si="0"/>
        <v>31286.764783999999</v>
      </c>
      <c r="F16" s="732">
        <f t="shared" si="0"/>
        <v>2189.6472367717806</v>
      </c>
      <c r="G16" s="732">
        <f t="shared" ca="1" si="0"/>
        <v>45834.311986461922</v>
      </c>
      <c r="H16" s="732">
        <f t="shared" si="0"/>
        <v>0</v>
      </c>
      <c r="I16" s="732">
        <f t="shared" si="0"/>
        <v>0</v>
      </c>
      <c r="J16" s="732">
        <f t="shared" si="0"/>
        <v>0</v>
      </c>
      <c r="K16" s="732">
        <f t="shared" si="0"/>
        <v>7.3479081715794763</v>
      </c>
      <c r="L16" s="732">
        <f t="shared" si="0"/>
        <v>0</v>
      </c>
      <c r="M16" s="732">
        <f t="shared" ca="1" si="0"/>
        <v>0</v>
      </c>
      <c r="N16" s="732">
        <f t="shared" si="0"/>
        <v>0</v>
      </c>
      <c r="O16" s="732">
        <f t="shared" ca="1" si="0"/>
        <v>10061.04589382493</v>
      </c>
      <c r="P16" s="732">
        <f t="shared" si="0"/>
        <v>151.64333333333335</v>
      </c>
      <c r="Q16" s="732">
        <f t="shared" si="0"/>
        <v>305.06666666666666</v>
      </c>
      <c r="R16" s="732">
        <f t="shared" ca="1" si="0"/>
        <v>120689.49041520782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499.41168771666332</v>
      </c>
      <c r="I19" s="1012">
        <f>transport!H54</f>
        <v>0</v>
      </c>
      <c r="J19" s="1012">
        <f>transport!I54</f>
        <v>0</v>
      </c>
      <c r="K19" s="1012">
        <f>transport!J54</f>
        <v>0</v>
      </c>
      <c r="L19" s="1012">
        <f>transport!K54</f>
        <v>0</v>
      </c>
      <c r="M19" s="1012">
        <f>transport!L54</f>
        <v>0</v>
      </c>
      <c r="N19" s="1012">
        <f>transport!M54</f>
        <v>15.490633278088533</v>
      </c>
      <c r="O19" s="1012">
        <f>transport!N54</f>
        <v>0</v>
      </c>
      <c r="P19" s="1012">
        <f>transport!O54</f>
        <v>0</v>
      </c>
      <c r="Q19" s="1013">
        <f>transport!P54</f>
        <v>0</v>
      </c>
      <c r="R19" s="700">
        <f>SUM(C19:Q19)</f>
        <v>514.9023209947519</v>
      </c>
      <c r="S19" s="67"/>
    </row>
    <row r="20" spans="1:19" s="473" customFormat="1">
      <c r="A20" s="809" t="s">
        <v>307</v>
      </c>
      <c r="B20" s="814"/>
      <c r="C20" s="1012">
        <f>transport!B14</f>
        <v>22.037454018475277</v>
      </c>
      <c r="D20" s="1012">
        <f>transport!C14</f>
        <v>0</v>
      </c>
      <c r="E20" s="1012">
        <f>transport!D14</f>
        <v>50.853300333910049</v>
      </c>
      <c r="F20" s="1012">
        <f>transport!E14</f>
        <v>224.56330385747219</v>
      </c>
      <c r="G20" s="1012">
        <f>transport!F14</f>
        <v>0</v>
      </c>
      <c r="H20" s="1012">
        <f>transport!G14</f>
        <v>73908.996103768266</v>
      </c>
      <c r="I20" s="1012">
        <f>transport!H14</f>
        <v>13999.347791827842</v>
      </c>
      <c r="J20" s="1012">
        <f>transport!I14</f>
        <v>0</v>
      </c>
      <c r="K20" s="1012">
        <f>transport!J14</f>
        <v>0</v>
      </c>
      <c r="L20" s="1012">
        <f>transport!K14</f>
        <v>0</v>
      </c>
      <c r="M20" s="1012">
        <f>transport!L14</f>
        <v>0</v>
      </c>
      <c r="N20" s="1012">
        <f>transport!M14</f>
        <v>2747.9288680601253</v>
      </c>
      <c r="O20" s="1012">
        <f>transport!N14</f>
        <v>0</v>
      </c>
      <c r="P20" s="1012">
        <f>transport!O14</f>
        <v>0</v>
      </c>
      <c r="Q20" s="1013">
        <f>transport!P14</f>
        <v>0</v>
      </c>
      <c r="R20" s="700">
        <f>SUM(C20:Q20)</f>
        <v>90953.72682186609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22.037454018475277</v>
      </c>
      <c r="D22" s="812">
        <f t="shared" ref="D22:R22" si="1">SUM(D18:D21)</f>
        <v>0</v>
      </c>
      <c r="E22" s="812">
        <f t="shared" si="1"/>
        <v>50.853300333910049</v>
      </c>
      <c r="F22" s="812">
        <f t="shared" si="1"/>
        <v>224.56330385747219</v>
      </c>
      <c r="G22" s="812">
        <f t="shared" si="1"/>
        <v>0</v>
      </c>
      <c r="H22" s="812">
        <f t="shared" si="1"/>
        <v>74408.407791484933</v>
      </c>
      <c r="I22" s="812">
        <f t="shared" si="1"/>
        <v>13999.347791827842</v>
      </c>
      <c r="J22" s="812">
        <f t="shared" si="1"/>
        <v>0</v>
      </c>
      <c r="K22" s="812">
        <f t="shared" si="1"/>
        <v>0</v>
      </c>
      <c r="L22" s="812">
        <f t="shared" si="1"/>
        <v>0</v>
      </c>
      <c r="M22" s="812">
        <f t="shared" si="1"/>
        <v>0</v>
      </c>
      <c r="N22" s="812">
        <f t="shared" si="1"/>
        <v>2763.4195013382136</v>
      </c>
      <c r="O22" s="812">
        <f t="shared" si="1"/>
        <v>0</v>
      </c>
      <c r="P22" s="812">
        <f t="shared" si="1"/>
        <v>0</v>
      </c>
      <c r="Q22" s="812">
        <f t="shared" si="1"/>
        <v>0</v>
      </c>
      <c r="R22" s="812">
        <f t="shared" si="1"/>
        <v>91468.629142860838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1165.886</v>
      </c>
      <c r="D24" s="1012">
        <f>+landbouw!C8</f>
        <v>0</v>
      </c>
      <c r="E24" s="1012">
        <f>+landbouw!D8</f>
        <v>509.89789400000006</v>
      </c>
      <c r="F24" s="1012">
        <f>+landbouw!E8</f>
        <v>30.063723455307692</v>
      </c>
      <c r="G24" s="1012">
        <f>+landbouw!F8</f>
        <v>4261.5353622030107</v>
      </c>
      <c r="H24" s="1012">
        <f>+landbouw!G8</f>
        <v>0</v>
      </c>
      <c r="I24" s="1012">
        <f>+landbouw!H8</f>
        <v>0</v>
      </c>
      <c r="J24" s="1012">
        <f>+landbouw!I8</f>
        <v>0</v>
      </c>
      <c r="K24" s="1012">
        <f>+landbouw!J8</f>
        <v>167.8446949515305</v>
      </c>
      <c r="L24" s="1012">
        <f>+landbouw!K8</f>
        <v>0</v>
      </c>
      <c r="M24" s="1012">
        <f>+landbouw!L8</f>
        <v>0</v>
      </c>
      <c r="N24" s="1012">
        <f>+landbouw!M8</f>
        <v>0</v>
      </c>
      <c r="O24" s="1012">
        <f>+landbouw!N8</f>
        <v>0</v>
      </c>
      <c r="P24" s="1012">
        <f>+landbouw!O8</f>
        <v>0</v>
      </c>
      <c r="Q24" s="1013">
        <f>+landbouw!P8</f>
        <v>0</v>
      </c>
      <c r="R24" s="700">
        <f>SUM(C24:Q24)</f>
        <v>6135.2276746098487</v>
      </c>
      <c r="S24" s="67"/>
    </row>
    <row r="25" spans="1:19" s="473" customFormat="1" ht="15" thickBot="1">
      <c r="A25" s="831" t="s">
        <v>848</v>
      </c>
      <c r="B25" s="1015"/>
      <c r="C25" s="1016">
        <f>IF(Onbekend_ele_kWh="---",0,Onbekend_ele_kWh)/1000+IF(REST_rest_ele_kWh="---",0,REST_rest_ele_kWh)/1000</f>
        <v>393.80700000000002</v>
      </c>
      <c r="D25" s="1016"/>
      <c r="E25" s="1016">
        <f>IF(onbekend_gas_kWh="---",0,onbekend_gas_kWh)/1000+IF(REST_rest_gas_kWh="---",0,REST_rest_gas_kWh)/1000</f>
        <v>455.96699999999998</v>
      </c>
      <c r="F25" s="1016"/>
      <c r="G25" s="1016"/>
      <c r="H25" s="1016"/>
      <c r="I25" s="1016"/>
      <c r="J25" s="1016"/>
      <c r="K25" s="1016"/>
      <c r="L25" s="1016"/>
      <c r="M25" s="1016"/>
      <c r="N25" s="1016"/>
      <c r="O25" s="1016"/>
      <c r="P25" s="1016"/>
      <c r="Q25" s="1017"/>
      <c r="R25" s="700">
        <f>SUM(C25:Q25)</f>
        <v>849.774</v>
      </c>
      <c r="S25" s="67"/>
    </row>
    <row r="26" spans="1:19" s="473" customFormat="1" ht="15.75" thickBot="1">
      <c r="A26" s="705" t="s">
        <v>849</v>
      </c>
      <c r="B26" s="817"/>
      <c r="C26" s="812">
        <f>SUM(C24:C25)</f>
        <v>1559.693</v>
      </c>
      <c r="D26" s="812">
        <f t="shared" ref="D26:R26" si="2">SUM(D24:D25)</f>
        <v>0</v>
      </c>
      <c r="E26" s="812">
        <f t="shared" si="2"/>
        <v>965.86489400000005</v>
      </c>
      <c r="F26" s="812">
        <f t="shared" si="2"/>
        <v>30.063723455307692</v>
      </c>
      <c r="G26" s="812">
        <f t="shared" si="2"/>
        <v>4261.5353622030107</v>
      </c>
      <c r="H26" s="812">
        <f t="shared" si="2"/>
        <v>0</v>
      </c>
      <c r="I26" s="812">
        <f t="shared" si="2"/>
        <v>0</v>
      </c>
      <c r="J26" s="812">
        <f t="shared" si="2"/>
        <v>0</v>
      </c>
      <c r="K26" s="812">
        <f t="shared" si="2"/>
        <v>167.8446949515305</v>
      </c>
      <c r="L26" s="812">
        <f t="shared" si="2"/>
        <v>0</v>
      </c>
      <c r="M26" s="812">
        <f t="shared" si="2"/>
        <v>0</v>
      </c>
      <c r="N26" s="812">
        <f t="shared" si="2"/>
        <v>0</v>
      </c>
      <c r="O26" s="812">
        <f t="shared" si="2"/>
        <v>0</v>
      </c>
      <c r="P26" s="812">
        <f t="shared" si="2"/>
        <v>0</v>
      </c>
      <c r="Q26" s="812">
        <f t="shared" si="2"/>
        <v>0</v>
      </c>
      <c r="R26" s="812">
        <f t="shared" si="2"/>
        <v>6985.001674609849</v>
      </c>
      <c r="S26" s="67"/>
    </row>
    <row r="27" spans="1:19" s="473" customFormat="1" ht="17.25" thickTop="1" thickBot="1">
      <c r="A27" s="706" t="s">
        <v>116</v>
      </c>
      <c r="B27" s="805"/>
      <c r="C27" s="707">
        <f ca="1">C22+C16+C26</f>
        <v>32435.393059996077</v>
      </c>
      <c r="D27" s="707">
        <f t="shared" ref="D27:R27" ca="1" si="3">D22+D16+D26</f>
        <v>0</v>
      </c>
      <c r="E27" s="707">
        <f t="shared" ca="1" si="3"/>
        <v>32303.482978333908</v>
      </c>
      <c r="F27" s="707">
        <f t="shared" si="3"/>
        <v>2444.2742640845609</v>
      </c>
      <c r="G27" s="707">
        <f t="shared" ca="1" si="3"/>
        <v>50095.847348664931</v>
      </c>
      <c r="H27" s="707">
        <f t="shared" si="3"/>
        <v>74408.407791484933</v>
      </c>
      <c r="I27" s="707">
        <f t="shared" si="3"/>
        <v>13999.347791827842</v>
      </c>
      <c r="J27" s="707">
        <f t="shared" si="3"/>
        <v>0</v>
      </c>
      <c r="K27" s="707">
        <f t="shared" si="3"/>
        <v>175.19260312310996</v>
      </c>
      <c r="L27" s="707">
        <f t="shared" si="3"/>
        <v>0</v>
      </c>
      <c r="M27" s="707">
        <f t="shared" ca="1" si="3"/>
        <v>0</v>
      </c>
      <c r="N27" s="707">
        <f t="shared" si="3"/>
        <v>2763.4195013382136</v>
      </c>
      <c r="O27" s="707">
        <f t="shared" ca="1" si="3"/>
        <v>10061.04589382493</v>
      </c>
      <c r="P27" s="707">
        <f t="shared" si="3"/>
        <v>151.64333333333335</v>
      </c>
      <c r="Q27" s="707">
        <f t="shared" si="3"/>
        <v>305.06666666666666</v>
      </c>
      <c r="R27" s="707">
        <f t="shared" ca="1" si="3"/>
        <v>219143.1212326785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1877.4682079243057</v>
      </c>
      <c r="D40" s="1012">
        <f ca="1">tertiair!C20</f>
        <v>0</v>
      </c>
      <c r="E40" s="1012">
        <f ca="1">tertiair!D20</f>
        <v>1576.9256961040003</v>
      </c>
      <c r="F40" s="1012">
        <f>tertiair!E20</f>
        <v>50.027092850762678</v>
      </c>
      <c r="G40" s="1012">
        <f ca="1">tertiair!F20</f>
        <v>583.71937808319251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4088.1403749622609</v>
      </c>
    </row>
    <row r="41" spans="1:18">
      <c r="A41" s="822" t="s">
        <v>225</v>
      </c>
      <c r="B41" s="829"/>
      <c r="C41" s="1012">
        <f ca="1">huishoudens!B12</f>
        <v>3146.3136670784234</v>
      </c>
      <c r="D41" s="1012">
        <f ca="1">huishoudens!C12</f>
        <v>0</v>
      </c>
      <c r="E41" s="1012">
        <f>huishoudens!D12</f>
        <v>4332.2273383840002</v>
      </c>
      <c r="F41" s="1012">
        <f>huishoudens!E12</f>
        <v>399.00205573337882</v>
      </c>
      <c r="G41" s="1012">
        <f>huishoudens!F12</f>
        <v>11303.028549904544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19180.571611100346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854.55967261108594</v>
      </c>
      <c r="D43" s="1012">
        <f ca="1">industrie!C22</f>
        <v>0</v>
      </c>
      <c r="E43" s="1012">
        <f>industrie!D22</f>
        <v>410.77345187999998</v>
      </c>
      <c r="F43" s="1012">
        <f>industrie!E22</f>
        <v>48.020774163052707</v>
      </c>
      <c r="G43" s="1012">
        <f>industrie!F22</f>
        <v>351.01337239759647</v>
      </c>
      <c r="H43" s="1012">
        <f>industrie!G22</f>
        <v>0</v>
      </c>
      <c r="I43" s="1012">
        <f>industrie!H22</f>
        <v>0</v>
      </c>
      <c r="J43" s="1012">
        <f>industrie!I22</f>
        <v>0</v>
      </c>
      <c r="K43" s="1012">
        <f>industrie!J22</f>
        <v>2.6011594927391344</v>
      </c>
      <c r="L43" s="1012">
        <f>industrie!K22</f>
        <v>0</v>
      </c>
      <c r="M43" s="1012">
        <f>industrie!L22</f>
        <v>0</v>
      </c>
      <c r="N43" s="1012">
        <f>industrie!M22</f>
        <v>0</v>
      </c>
      <c r="O43" s="1012">
        <f>industrie!N22</f>
        <v>0</v>
      </c>
      <c r="P43" s="1012">
        <f>industrie!O22</f>
        <v>0</v>
      </c>
      <c r="Q43" s="774">
        <f>industrie!P22</f>
        <v>0</v>
      </c>
      <c r="R43" s="849">
        <f t="shared" ca="1" si="4"/>
        <v>1666.9684305444741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5878.3415476138152</v>
      </c>
      <c r="D46" s="732">
        <f t="shared" ref="D46:Q46" ca="1" si="5">SUM(D39:D45)</f>
        <v>0</v>
      </c>
      <c r="E46" s="732">
        <f t="shared" ca="1" si="5"/>
        <v>6319.926486368</v>
      </c>
      <c r="F46" s="732">
        <f t="shared" si="5"/>
        <v>497.04992274719422</v>
      </c>
      <c r="G46" s="732">
        <f t="shared" ca="1" si="5"/>
        <v>12237.761300385333</v>
      </c>
      <c r="H46" s="732">
        <f t="shared" si="5"/>
        <v>0</v>
      </c>
      <c r="I46" s="732">
        <f t="shared" si="5"/>
        <v>0</v>
      </c>
      <c r="J46" s="732">
        <f t="shared" si="5"/>
        <v>0</v>
      </c>
      <c r="K46" s="732">
        <f t="shared" si="5"/>
        <v>2.6011594927391344</v>
      </c>
      <c r="L46" s="732">
        <f t="shared" si="5"/>
        <v>0</v>
      </c>
      <c r="M46" s="732">
        <f t="shared" ca="1" si="5"/>
        <v>0</v>
      </c>
      <c r="N46" s="732">
        <f t="shared" si="5"/>
        <v>0</v>
      </c>
      <c r="O46" s="732">
        <f t="shared" ca="1" si="5"/>
        <v>0</v>
      </c>
      <c r="P46" s="732">
        <f t="shared" si="5"/>
        <v>0</v>
      </c>
      <c r="Q46" s="732">
        <f t="shared" si="5"/>
        <v>0</v>
      </c>
      <c r="R46" s="732">
        <f ca="1">SUM(R39:R45)</f>
        <v>24935.680416607083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133.3429206203491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133.3429206203491</v>
      </c>
    </row>
    <row r="50" spans="1:18">
      <c r="A50" s="825" t="s">
        <v>307</v>
      </c>
      <c r="B50" s="835"/>
      <c r="C50" s="703">
        <f ca="1">transport!B18</f>
        <v>4.1986484137975371</v>
      </c>
      <c r="D50" s="703">
        <f>transport!C18</f>
        <v>0</v>
      </c>
      <c r="E50" s="703">
        <f>transport!D18</f>
        <v>10.27236666744983</v>
      </c>
      <c r="F50" s="703">
        <f>transport!E18</f>
        <v>50.975869975646191</v>
      </c>
      <c r="G50" s="703">
        <f>transport!F18</f>
        <v>0</v>
      </c>
      <c r="H50" s="703">
        <f>transport!G18</f>
        <v>19733.70195970613</v>
      </c>
      <c r="I50" s="703">
        <f>transport!H18</f>
        <v>3485.8376001651327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23284.986444928156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4.1986484137975371</v>
      </c>
      <c r="D52" s="732">
        <f t="shared" ref="D52:Q52" ca="1" si="6">SUM(D48:D51)</f>
        <v>0</v>
      </c>
      <c r="E52" s="732">
        <f t="shared" si="6"/>
        <v>10.27236666744983</v>
      </c>
      <c r="F52" s="732">
        <f t="shared" si="6"/>
        <v>50.975869975646191</v>
      </c>
      <c r="G52" s="732">
        <f t="shared" si="6"/>
        <v>0</v>
      </c>
      <c r="H52" s="732">
        <f t="shared" si="6"/>
        <v>19867.044880326481</v>
      </c>
      <c r="I52" s="732">
        <f t="shared" si="6"/>
        <v>3485.8376001651327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23418.329365548503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222.12844553027182</v>
      </c>
      <c r="D54" s="703">
        <f ca="1">+landbouw!C12</f>
        <v>0</v>
      </c>
      <c r="E54" s="703">
        <f>+landbouw!D12</f>
        <v>102.99937458800002</v>
      </c>
      <c r="F54" s="703">
        <f>+landbouw!E12</f>
        <v>6.8244652243548458</v>
      </c>
      <c r="G54" s="703">
        <f>+landbouw!F12</f>
        <v>1137.8299417082039</v>
      </c>
      <c r="H54" s="703">
        <f>+landbouw!G12</f>
        <v>0</v>
      </c>
      <c r="I54" s="703">
        <f>+landbouw!H12</f>
        <v>0</v>
      </c>
      <c r="J54" s="703">
        <f>+landbouw!I12</f>
        <v>0</v>
      </c>
      <c r="K54" s="703">
        <f>+landbouw!J12</f>
        <v>59.417022012841791</v>
      </c>
      <c r="L54" s="703">
        <f>+landbouw!K12</f>
        <v>0</v>
      </c>
      <c r="M54" s="703">
        <f>+landbouw!L12</f>
        <v>0</v>
      </c>
      <c r="N54" s="703">
        <f>+landbouw!M12</f>
        <v>0</v>
      </c>
      <c r="O54" s="703">
        <f>+landbouw!N12</f>
        <v>0</v>
      </c>
      <c r="P54" s="703">
        <f>+landbouw!O12</f>
        <v>0</v>
      </c>
      <c r="Q54" s="704">
        <f>+landbouw!P12</f>
        <v>0</v>
      </c>
      <c r="R54" s="731">
        <f ca="1">SUM(C54:Q54)</f>
        <v>1529.1992490636724</v>
      </c>
    </row>
    <row r="55" spans="1:18" ht="15" thickBot="1">
      <c r="A55" s="825" t="s">
        <v>848</v>
      </c>
      <c r="B55" s="835"/>
      <c r="C55" s="703">
        <f ca="1">C25*'EF ele_warmte'!B12</f>
        <v>75.029408320315838</v>
      </c>
      <c r="D55" s="703"/>
      <c r="E55" s="703">
        <f>E25*EF_CO2_aardgas</f>
        <v>92.105333999999999</v>
      </c>
      <c r="F55" s="703"/>
      <c r="G55" s="703"/>
      <c r="H55" s="703"/>
      <c r="I55" s="703"/>
      <c r="J55" s="703"/>
      <c r="K55" s="703"/>
      <c r="L55" s="703"/>
      <c r="M55" s="703"/>
      <c r="N55" s="703"/>
      <c r="O55" s="703"/>
      <c r="P55" s="703"/>
      <c r="Q55" s="704"/>
      <c r="R55" s="731">
        <f ca="1">SUM(C55:Q55)</f>
        <v>167.13474232031584</v>
      </c>
    </row>
    <row r="56" spans="1:18" ht="15.75" thickBot="1">
      <c r="A56" s="823" t="s">
        <v>849</v>
      </c>
      <c r="B56" s="836"/>
      <c r="C56" s="732">
        <f ca="1">SUM(C54:C55)</f>
        <v>297.15785385058768</v>
      </c>
      <c r="D56" s="732">
        <f t="shared" ref="D56:Q56" ca="1" si="7">SUM(D54:D55)</f>
        <v>0</v>
      </c>
      <c r="E56" s="732">
        <f t="shared" si="7"/>
        <v>195.10470858800002</v>
      </c>
      <c r="F56" s="732">
        <f t="shared" si="7"/>
        <v>6.8244652243548458</v>
      </c>
      <c r="G56" s="732">
        <f t="shared" si="7"/>
        <v>1137.8299417082039</v>
      </c>
      <c r="H56" s="732">
        <f t="shared" si="7"/>
        <v>0</v>
      </c>
      <c r="I56" s="732">
        <f t="shared" si="7"/>
        <v>0</v>
      </c>
      <c r="J56" s="732">
        <f t="shared" si="7"/>
        <v>0</v>
      </c>
      <c r="K56" s="732">
        <f t="shared" si="7"/>
        <v>59.417022012841791</v>
      </c>
      <c r="L56" s="732">
        <f t="shared" si="7"/>
        <v>0</v>
      </c>
      <c r="M56" s="732">
        <f t="shared" si="7"/>
        <v>0</v>
      </c>
      <c r="N56" s="732">
        <f t="shared" si="7"/>
        <v>0</v>
      </c>
      <c r="O56" s="732">
        <f t="shared" si="7"/>
        <v>0</v>
      </c>
      <c r="P56" s="732">
        <f t="shared" si="7"/>
        <v>0</v>
      </c>
      <c r="Q56" s="733">
        <f t="shared" si="7"/>
        <v>0</v>
      </c>
      <c r="R56" s="734">
        <f ca="1">SUM(R54:R55)</f>
        <v>1696.3339913839882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6179.6980498782004</v>
      </c>
      <c r="D61" s="740">
        <f t="shared" ref="D61:Q61" ca="1" si="8">D46+D52+D56</f>
        <v>0</v>
      </c>
      <c r="E61" s="740">
        <f t="shared" ca="1" si="8"/>
        <v>6525.3035616234502</v>
      </c>
      <c r="F61" s="740">
        <f t="shared" si="8"/>
        <v>554.85025794719525</v>
      </c>
      <c r="G61" s="740">
        <f t="shared" ca="1" si="8"/>
        <v>13375.591242093536</v>
      </c>
      <c r="H61" s="740">
        <f t="shared" si="8"/>
        <v>19867.044880326481</v>
      </c>
      <c r="I61" s="740">
        <f t="shared" si="8"/>
        <v>3485.8376001651327</v>
      </c>
      <c r="J61" s="740">
        <f t="shared" si="8"/>
        <v>0</v>
      </c>
      <c r="K61" s="740">
        <f t="shared" si="8"/>
        <v>62.018181505580927</v>
      </c>
      <c r="L61" s="740">
        <f t="shared" si="8"/>
        <v>0</v>
      </c>
      <c r="M61" s="740">
        <f t="shared" ca="1" si="8"/>
        <v>0</v>
      </c>
      <c r="N61" s="740">
        <f t="shared" si="8"/>
        <v>0</v>
      </c>
      <c r="O61" s="740">
        <f t="shared" ca="1" si="8"/>
        <v>0</v>
      </c>
      <c r="P61" s="740">
        <f t="shared" si="8"/>
        <v>0</v>
      </c>
      <c r="Q61" s="740">
        <f t="shared" si="8"/>
        <v>0</v>
      </c>
      <c r="R61" s="740">
        <f ca="1">R46+R52+R56</f>
        <v>50050.343773539571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0.19052329775833302</v>
      </c>
      <c r="D63" s="781">
        <f t="shared" ca="1" si="9"/>
        <v>0</v>
      </c>
      <c r="E63" s="1023">
        <f t="shared" ca="1" si="9"/>
        <v>0.20200000000000001</v>
      </c>
      <c r="F63" s="781">
        <f t="shared" si="9"/>
        <v>0.22699999999999998</v>
      </c>
      <c r="G63" s="781">
        <f t="shared" ca="1" si="9"/>
        <v>0.26700000000000002</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4472.9584451625979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4472.9584451625979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16514.062605977604</v>
      </c>
      <c r="C4" s="477">
        <f>huishoudens!C8</f>
        <v>0</v>
      </c>
      <c r="D4" s="477">
        <f>huishoudens!D8</f>
        <v>21446.669991999999</v>
      </c>
      <c r="E4" s="477">
        <f>huishoudens!E8</f>
        <v>1757.7183071955014</v>
      </c>
      <c r="F4" s="477">
        <f>huishoudens!F8</f>
        <v>42333.440261814772</v>
      </c>
      <c r="G4" s="477">
        <f>huishoudens!G8</f>
        <v>0</v>
      </c>
      <c r="H4" s="477">
        <f>huishoudens!H8</f>
        <v>0</v>
      </c>
      <c r="I4" s="477">
        <f>huishoudens!I8</f>
        <v>0</v>
      </c>
      <c r="J4" s="477">
        <f>huishoudens!J8</f>
        <v>0</v>
      </c>
      <c r="K4" s="477">
        <f>huishoudens!K8</f>
        <v>0</v>
      </c>
      <c r="L4" s="477">
        <f>huishoudens!L8</f>
        <v>0</v>
      </c>
      <c r="M4" s="477">
        <f>huishoudens!M8</f>
        <v>0</v>
      </c>
      <c r="N4" s="477">
        <f>huishoudens!N8</f>
        <v>8112.058389757166</v>
      </c>
      <c r="O4" s="477">
        <f>huishoudens!O8</f>
        <v>150.08000000000001</v>
      </c>
      <c r="P4" s="478">
        <f>huishoudens!P8</f>
        <v>286</v>
      </c>
      <c r="Q4" s="479">
        <f>SUM(B4:P4)</f>
        <v>90600.029556745052</v>
      </c>
    </row>
    <row r="5" spans="1:17">
      <c r="A5" s="476" t="s">
        <v>156</v>
      </c>
      <c r="B5" s="477">
        <f ca="1">tertiair!B16</f>
        <v>9293.6409999999996</v>
      </c>
      <c r="C5" s="477">
        <f ca="1">tertiair!C16</f>
        <v>0</v>
      </c>
      <c r="D5" s="477">
        <f ca="1">tertiair!D16</f>
        <v>7806.5628520000009</v>
      </c>
      <c r="E5" s="477">
        <f>tertiair!E16</f>
        <v>220.38366894609109</v>
      </c>
      <c r="F5" s="477">
        <f ca="1">tertiair!F16</f>
        <v>2186.2148991879867</v>
      </c>
      <c r="G5" s="477">
        <f>tertiair!G16</f>
        <v>0</v>
      </c>
      <c r="H5" s="477">
        <f>tertiair!H16</f>
        <v>0</v>
      </c>
      <c r="I5" s="477">
        <f>tertiair!I16</f>
        <v>0</v>
      </c>
      <c r="J5" s="477">
        <f>tertiair!J16</f>
        <v>0</v>
      </c>
      <c r="K5" s="477">
        <f>tertiair!K16</f>
        <v>0</v>
      </c>
      <c r="L5" s="477">
        <f ca="1">tertiair!L16</f>
        <v>0</v>
      </c>
      <c r="M5" s="477">
        <f>tertiair!M16</f>
        <v>0</v>
      </c>
      <c r="N5" s="477">
        <f ca="1">tertiair!N16</f>
        <v>528.44753631238586</v>
      </c>
      <c r="O5" s="477">
        <f>tertiair!O16</f>
        <v>1.5633333333333335</v>
      </c>
      <c r="P5" s="478">
        <f>tertiair!P16</f>
        <v>19.066666666666666</v>
      </c>
      <c r="Q5" s="476">
        <f t="shared" ref="Q5:Q14" ca="1" si="0">SUM(B5:P5)</f>
        <v>20055.879956446461</v>
      </c>
    </row>
    <row r="6" spans="1:17">
      <c r="A6" s="476" t="s">
        <v>194</v>
      </c>
      <c r="B6" s="477">
        <f>'openbare verlichting'!B8</f>
        <v>560.63</v>
      </c>
      <c r="C6" s="477"/>
      <c r="D6" s="477"/>
      <c r="E6" s="477"/>
      <c r="F6" s="477"/>
      <c r="G6" s="477"/>
      <c r="H6" s="477"/>
      <c r="I6" s="477"/>
      <c r="J6" s="477"/>
      <c r="K6" s="477"/>
      <c r="L6" s="477"/>
      <c r="M6" s="477"/>
      <c r="N6" s="477"/>
      <c r="O6" s="477"/>
      <c r="P6" s="478"/>
      <c r="Q6" s="476">
        <f t="shared" si="0"/>
        <v>560.63</v>
      </c>
    </row>
    <row r="7" spans="1:17">
      <c r="A7" s="476" t="s">
        <v>112</v>
      </c>
      <c r="B7" s="477">
        <f>landbouw!B8</f>
        <v>1165.886</v>
      </c>
      <c r="C7" s="477">
        <f>landbouw!C8</f>
        <v>0</v>
      </c>
      <c r="D7" s="477">
        <f>landbouw!D8</f>
        <v>509.89789400000006</v>
      </c>
      <c r="E7" s="477">
        <f>landbouw!E8</f>
        <v>30.063723455307692</v>
      </c>
      <c r="F7" s="477">
        <f>landbouw!F8</f>
        <v>4261.5353622030107</v>
      </c>
      <c r="G7" s="477">
        <f>landbouw!G8</f>
        <v>0</v>
      </c>
      <c r="H7" s="477">
        <f>landbouw!H8</f>
        <v>0</v>
      </c>
      <c r="I7" s="477">
        <f>landbouw!I8</f>
        <v>0</v>
      </c>
      <c r="J7" s="477">
        <f>landbouw!J8</f>
        <v>167.8446949515305</v>
      </c>
      <c r="K7" s="477">
        <f>landbouw!K8</f>
        <v>0</v>
      </c>
      <c r="L7" s="477">
        <f>landbouw!L8</f>
        <v>0</v>
      </c>
      <c r="M7" s="477">
        <f>landbouw!M8</f>
        <v>0</v>
      </c>
      <c r="N7" s="477">
        <f>landbouw!N8</f>
        <v>0</v>
      </c>
      <c r="O7" s="477">
        <f>landbouw!O8</f>
        <v>0</v>
      </c>
      <c r="P7" s="478">
        <f>landbouw!P8</f>
        <v>0</v>
      </c>
      <c r="Q7" s="476">
        <f t="shared" si="0"/>
        <v>6135.2276746098487</v>
      </c>
    </row>
    <row r="8" spans="1:17">
      <c r="A8" s="476" t="s">
        <v>638</v>
      </c>
      <c r="B8" s="477">
        <f>industrie!B18</f>
        <v>4485.3289999999997</v>
      </c>
      <c r="C8" s="477">
        <f>industrie!C18</f>
        <v>0</v>
      </c>
      <c r="D8" s="477">
        <f>industrie!D18</f>
        <v>2033.5319399999998</v>
      </c>
      <c r="E8" s="477">
        <f>industrie!E18</f>
        <v>211.54526063018812</v>
      </c>
      <c r="F8" s="477">
        <f>industrie!F18</f>
        <v>1314.6568254591627</v>
      </c>
      <c r="G8" s="477">
        <f>industrie!G18</f>
        <v>0</v>
      </c>
      <c r="H8" s="477">
        <f>industrie!H18</f>
        <v>0</v>
      </c>
      <c r="I8" s="477">
        <f>industrie!I18</f>
        <v>0</v>
      </c>
      <c r="J8" s="477">
        <f>industrie!J18</f>
        <v>7.3479081715794763</v>
      </c>
      <c r="K8" s="477">
        <f>industrie!K18</f>
        <v>0</v>
      </c>
      <c r="L8" s="477">
        <f>industrie!L18</f>
        <v>0</v>
      </c>
      <c r="M8" s="477">
        <f>industrie!M18</f>
        <v>0</v>
      </c>
      <c r="N8" s="477">
        <f>industrie!N18</f>
        <v>1420.5399677553783</v>
      </c>
      <c r="O8" s="477">
        <f>industrie!O18</f>
        <v>0</v>
      </c>
      <c r="P8" s="478">
        <f>industrie!P18</f>
        <v>0</v>
      </c>
      <c r="Q8" s="476">
        <f t="shared" si="0"/>
        <v>9472.9509020163077</v>
      </c>
    </row>
    <row r="9" spans="1:17" s="482" customFormat="1">
      <c r="A9" s="480" t="s">
        <v>564</v>
      </c>
      <c r="B9" s="481">
        <f>transport!B14</f>
        <v>22.037454018475277</v>
      </c>
      <c r="C9" s="481">
        <f>transport!C14</f>
        <v>0</v>
      </c>
      <c r="D9" s="481">
        <f>transport!D14</f>
        <v>50.853300333910049</v>
      </c>
      <c r="E9" s="481">
        <f>transport!E14</f>
        <v>224.56330385747219</v>
      </c>
      <c r="F9" s="481">
        <f>transport!F14</f>
        <v>0</v>
      </c>
      <c r="G9" s="481">
        <f>transport!G14</f>
        <v>73908.996103768266</v>
      </c>
      <c r="H9" s="481">
        <f>transport!H14</f>
        <v>13999.347791827842</v>
      </c>
      <c r="I9" s="481">
        <f>transport!I14</f>
        <v>0</v>
      </c>
      <c r="J9" s="481">
        <f>transport!J14</f>
        <v>0</v>
      </c>
      <c r="K9" s="481">
        <f>transport!K14</f>
        <v>0</v>
      </c>
      <c r="L9" s="481">
        <f>transport!L14</f>
        <v>0</v>
      </c>
      <c r="M9" s="481">
        <f>transport!M14</f>
        <v>2747.9288680601253</v>
      </c>
      <c r="N9" s="481">
        <f>transport!N14</f>
        <v>0</v>
      </c>
      <c r="O9" s="481">
        <f>transport!O14</f>
        <v>0</v>
      </c>
      <c r="P9" s="481">
        <f>transport!P14</f>
        <v>0</v>
      </c>
      <c r="Q9" s="480">
        <f>SUM(B9:P9)</f>
        <v>90953.72682186609</v>
      </c>
    </row>
    <row r="10" spans="1:17">
      <c r="A10" s="476" t="s">
        <v>554</v>
      </c>
      <c r="B10" s="477">
        <f>transport!B54</f>
        <v>0</v>
      </c>
      <c r="C10" s="477">
        <f>transport!C54</f>
        <v>0</v>
      </c>
      <c r="D10" s="477">
        <f>transport!D54</f>
        <v>0</v>
      </c>
      <c r="E10" s="477">
        <f>transport!E54</f>
        <v>0</v>
      </c>
      <c r="F10" s="477">
        <f>transport!F54</f>
        <v>0</v>
      </c>
      <c r="G10" s="477">
        <f>transport!G54</f>
        <v>499.41168771666332</v>
      </c>
      <c r="H10" s="477">
        <f>transport!H54</f>
        <v>0</v>
      </c>
      <c r="I10" s="477">
        <f>transport!I54</f>
        <v>0</v>
      </c>
      <c r="J10" s="477">
        <f>transport!J54</f>
        <v>0</v>
      </c>
      <c r="K10" s="477">
        <f>transport!K54</f>
        <v>0</v>
      </c>
      <c r="L10" s="477">
        <f>transport!L54</f>
        <v>0</v>
      </c>
      <c r="M10" s="477">
        <f>transport!M54</f>
        <v>15.490633278088533</v>
      </c>
      <c r="N10" s="477">
        <f>transport!N54</f>
        <v>0</v>
      </c>
      <c r="O10" s="477">
        <f>transport!O54</f>
        <v>0</v>
      </c>
      <c r="P10" s="478">
        <f>transport!P54</f>
        <v>0</v>
      </c>
      <c r="Q10" s="476">
        <f t="shared" si="0"/>
        <v>514.9023209947519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393.80700000000002</v>
      </c>
      <c r="C14" s="484"/>
      <c r="D14" s="484">
        <f>'SEAP template'!E25</f>
        <v>455.96699999999998</v>
      </c>
      <c r="E14" s="484"/>
      <c r="F14" s="484"/>
      <c r="G14" s="484"/>
      <c r="H14" s="484"/>
      <c r="I14" s="484"/>
      <c r="J14" s="484"/>
      <c r="K14" s="484"/>
      <c r="L14" s="484"/>
      <c r="M14" s="484"/>
      <c r="N14" s="484"/>
      <c r="O14" s="484"/>
      <c r="P14" s="485"/>
      <c r="Q14" s="476">
        <f t="shared" si="0"/>
        <v>849.774</v>
      </c>
    </row>
    <row r="15" spans="1:17" s="486" customFormat="1">
      <c r="A15" s="1038" t="s">
        <v>558</v>
      </c>
      <c r="B15" s="978">
        <f ca="1">SUM(B4:B14)</f>
        <v>32435.393059996077</v>
      </c>
      <c r="C15" s="978">
        <f t="shared" ref="C15:Q15" ca="1" si="1">SUM(C4:C14)</f>
        <v>0</v>
      </c>
      <c r="D15" s="978">
        <f t="shared" ca="1" si="1"/>
        <v>32303.482978333912</v>
      </c>
      <c r="E15" s="978">
        <f t="shared" si="1"/>
        <v>2444.2742640845609</v>
      </c>
      <c r="F15" s="978">
        <f t="shared" ca="1" si="1"/>
        <v>50095.847348664931</v>
      </c>
      <c r="G15" s="978">
        <f t="shared" si="1"/>
        <v>74408.407791484933</v>
      </c>
      <c r="H15" s="978">
        <f t="shared" si="1"/>
        <v>13999.347791827842</v>
      </c>
      <c r="I15" s="978">
        <f t="shared" si="1"/>
        <v>0</v>
      </c>
      <c r="J15" s="978">
        <f t="shared" si="1"/>
        <v>175.19260312310996</v>
      </c>
      <c r="K15" s="978">
        <f t="shared" si="1"/>
        <v>0</v>
      </c>
      <c r="L15" s="978">
        <f t="shared" ca="1" si="1"/>
        <v>0</v>
      </c>
      <c r="M15" s="978">
        <f t="shared" si="1"/>
        <v>2763.4195013382136</v>
      </c>
      <c r="N15" s="978">
        <f t="shared" ca="1" si="1"/>
        <v>10061.04589382493</v>
      </c>
      <c r="O15" s="978">
        <f t="shared" si="1"/>
        <v>151.64333333333335</v>
      </c>
      <c r="P15" s="978">
        <f t="shared" si="1"/>
        <v>305.06666666666666</v>
      </c>
      <c r="Q15" s="978">
        <f t="shared" ca="1" si="1"/>
        <v>219143.12123267853</v>
      </c>
    </row>
    <row r="17" spans="1:17">
      <c r="A17" s="487" t="s">
        <v>559</v>
      </c>
      <c r="B17" s="786">
        <f ca="1">huishoudens!B10</f>
        <v>0.19052329775833299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3146.3136670784234</v>
      </c>
      <c r="C22" s="477">
        <f t="shared" ref="C22:C32" ca="1" si="3">C4*$C$17</f>
        <v>0</v>
      </c>
      <c r="D22" s="477">
        <f t="shared" ref="D22:D32" si="4">D4*$D$17</f>
        <v>4332.2273383840002</v>
      </c>
      <c r="E22" s="477">
        <f t="shared" ref="E22:E32" si="5">E4*$E$17</f>
        <v>399.00205573337882</v>
      </c>
      <c r="F22" s="477">
        <f t="shared" ref="F22:F32" si="6">F4*$F$17</f>
        <v>11303.028549904544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19180.571611100346</v>
      </c>
    </row>
    <row r="23" spans="1:17">
      <c r="A23" s="476" t="s">
        <v>156</v>
      </c>
      <c r="B23" s="477">
        <f t="shared" ca="1" si="2"/>
        <v>1770.6551315020515</v>
      </c>
      <c r="C23" s="477">
        <f t="shared" ca="1" si="3"/>
        <v>0</v>
      </c>
      <c r="D23" s="477">
        <f t="shared" ca="1" si="4"/>
        <v>1576.9256961040003</v>
      </c>
      <c r="E23" s="477">
        <f t="shared" si="5"/>
        <v>50.027092850762678</v>
      </c>
      <c r="F23" s="477">
        <f t="shared" ca="1" si="6"/>
        <v>583.71937808319251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3981.3272985400067</v>
      </c>
    </row>
    <row r="24" spans="1:17">
      <c r="A24" s="476" t="s">
        <v>194</v>
      </c>
      <c r="B24" s="477">
        <f t="shared" ca="1" si="2"/>
        <v>106.81307642225423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106.81307642225423</v>
      </c>
    </row>
    <row r="25" spans="1:17">
      <c r="A25" s="476" t="s">
        <v>112</v>
      </c>
      <c r="B25" s="477">
        <f t="shared" ca="1" si="2"/>
        <v>222.12844553027182</v>
      </c>
      <c r="C25" s="477">
        <f t="shared" ca="1" si="3"/>
        <v>0</v>
      </c>
      <c r="D25" s="477">
        <f t="shared" si="4"/>
        <v>102.99937458800002</v>
      </c>
      <c r="E25" s="477">
        <f t="shared" si="5"/>
        <v>6.8244652243548458</v>
      </c>
      <c r="F25" s="477">
        <f t="shared" si="6"/>
        <v>1137.8299417082039</v>
      </c>
      <c r="G25" s="477">
        <f t="shared" si="7"/>
        <v>0</v>
      </c>
      <c r="H25" s="477">
        <f t="shared" si="8"/>
        <v>0</v>
      </c>
      <c r="I25" s="477">
        <f t="shared" si="9"/>
        <v>0</v>
      </c>
      <c r="J25" s="477">
        <f t="shared" si="10"/>
        <v>59.417022012841791</v>
      </c>
      <c r="K25" s="477">
        <f t="shared" si="11"/>
        <v>0</v>
      </c>
      <c r="L25" s="477">
        <f t="shared" si="12"/>
        <v>0</v>
      </c>
      <c r="M25" s="477">
        <f t="shared" si="13"/>
        <v>0</v>
      </c>
      <c r="N25" s="477">
        <f t="shared" si="14"/>
        <v>0</v>
      </c>
      <c r="O25" s="477">
        <f t="shared" si="15"/>
        <v>0</v>
      </c>
      <c r="P25" s="478">
        <f t="shared" si="16"/>
        <v>0</v>
      </c>
      <c r="Q25" s="476">
        <f t="shared" ca="1" si="17"/>
        <v>1529.1992490636724</v>
      </c>
    </row>
    <row r="26" spans="1:17">
      <c r="A26" s="476" t="s">
        <v>638</v>
      </c>
      <c r="B26" s="477">
        <f t="shared" ca="1" si="2"/>
        <v>854.55967261108594</v>
      </c>
      <c r="C26" s="477">
        <f t="shared" ca="1" si="3"/>
        <v>0</v>
      </c>
      <c r="D26" s="477">
        <f t="shared" si="4"/>
        <v>410.77345187999998</v>
      </c>
      <c r="E26" s="477">
        <f t="shared" si="5"/>
        <v>48.020774163052707</v>
      </c>
      <c r="F26" s="477">
        <f t="shared" si="6"/>
        <v>351.01337239759647</v>
      </c>
      <c r="G26" s="477">
        <f t="shared" si="7"/>
        <v>0</v>
      </c>
      <c r="H26" s="477">
        <f t="shared" si="8"/>
        <v>0</v>
      </c>
      <c r="I26" s="477">
        <f t="shared" si="9"/>
        <v>0</v>
      </c>
      <c r="J26" s="477">
        <f t="shared" si="10"/>
        <v>2.6011594927391344</v>
      </c>
      <c r="K26" s="477">
        <f t="shared" si="11"/>
        <v>0</v>
      </c>
      <c r="L26" s="477">
        <f t="shared" si="12"/>
        <v>0</v>
      </c>
      <c r="M26" s="477">
        <f t="shared" si="13"/>
        <v>0</v>
      </c>
      <c r="N26" s="477">
        <f t="shared" si="14"/>
        <v>0</v>
      </c>
      <c r="O26" s="477">
        <f t="shared" si="15"/>
        <v>0</v>
      </c>
      <c r="P26" s="478">
        <f t="shared" si="16"/>
        <v>0</v>
      </c>
      <c r="Q26" s="476">
        <f t="shared" ca="1" si="17"/>
        <v>1666.9684305444741</v>
      </c>
    </row>
    <row r="27" spans="1:17" s="482" customFormat="1">
      <c r="A27" s="480" t="s">
        <v>564</v>
      </c>
      <c r="B27" s="780">
        <f t="shared" ca="1" si="2"/>
        <v>4.1986484137975371</v>
      </c>
      <c r="C27" s="481">
        <f t="shared" ca="1" si="3"/>
        <v>0</v>
      </c>
      <c r="D27" s="481">
        <f t="shared" si="4"/>
        <v>10.27236666744983</v>
      </c>
      <c r="E27" s="481">
        <f t="shared" si="5"/>
        <v>50.975869975646191</v>
      </c>
      <c r="F27" s="481">
        <f t="shared" si="6"/>
        <v>0</v>
      </c>
      <c r="G27" s="481">
        <f t="shared" si="7"/>
        <v>19733.70195970613</v>
      </c>
      <c r="H27" s="481">
        <f t="shared" si="8"/>
        <v>3485.8376001651327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23284.986444928156</v>
      </c>
    </row>
    <row r="28" spans="1:17">
      <c r="A28" s="476" t="s">
        <v>554</v>
      </c>
      <c r="B28" s="477">
        <f t="shared" ca="1" si="2"/>
        <v>0</v>
      </c>
      <c r="C28" s="477">
        <f t="shared" ca="1" si="3"/>
        <v>0</v>
      </c>
      <c r="D28" s="477">
        <f t="shared" si="4"/>
        <v>0</v>
      </c>
      <c r="E28" s="477">
        <f t="shared" si="5"/>
        <v>0</v>
      </c>
      <c r="F28" s="477">
        <f t="shared" si="6"/>
        <v>0</v>
      </c>
      <c r="G28" s="477">
        <f t="shared" si="7"/>
        <v>133.3429206203491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133.3429206203491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75.029408320315838</v>
      </c>
      <c r="C32" s="477">
        <f t="shared" ca="1" si="3"/>
        <v>0</v>
      </c>
      <c r="D32" s="477">
        <f t="shared" si="4"/>
        <v>92.105333999999999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167.13474232031584</v>
      </c>
    </row>
    <row r="33" spans="1:17" s="486" customFormat="1">
      <c r="A33" s="1038" t="s">
        <v>558</v>
      </c>
      <c r="B33" s="978">
        <f ca="1">SUM(B22:B32)</f>
        <v>6179.6980498782013</v>
      </c>
      <c r="C33" s="978">
        <f t="shared" ref="C33:Q33" ca="1" si="18">SUM(C22:C32)</f>
        <v>0</v>
      </c>
      <c r="D33" s="978">
        <f t="shared" ca="1" si="18"/>
        <v>6525.3035616234502</v>
      </c>
      <c r="E33" s="978">
        <f t="shared" si="18"/>
        <v>554.85025794719525</v>
      </c>
      <c r="F33" s="978">
        <f t="shared" ca="1" si="18"/>
        <v>13375.591242093536</v>
      </c>
      <c r="G33" s="978">
        <f t="shared" si="18"/>
        <v>19867.044880326481</v>
      </c>
      <c r="H33" s="978">
        <f t="shared" si="18"/>
        <v>3485.8376001651327</v>
      </c>
      <c r="I33" s="978">
        <f t="shared" si="18"/>
        <v>0</v>
      </c>
      <c r="J33" s="978">
        <f t="shared" si="18"/>
        <v>62.018181505580927</v>
      </c>
      <c r="K33" s="978">
        <f t="shared" si="18"/>
        <v>0</v>
      </c>
      <c r="L33" s="978">
        <f t="shared" ca="1" si="18"/>
        <v>0</v>
      </c>
      <c r="M33" s="978">
        <f t="shared" si="18"/>
        <v>0</v>
      </c>
      <c r="N33" s="978">
        <f t="shared" ca="1" si="18"/>
        <v>0</v>
      </c>
      <c r="O33" s="978">
        <f t="shared" si="18"/>
        <v>0</v>
      </c>
      <c r="P33" s="978">
        <f t="shared" si="18"/>
        <v>0</v>
      </c>
      <c r="Q33" s="978">
        <f t="shared" ca="1" si="18"/>
        <v>50050.343773539586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4472.9584451625979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4472.9584451625979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0.19052329775833299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0.19052329775833299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0.19052329775833299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0.19052329775833299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73032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3859</v>
      </c>
      <c r="C9" s="342">
        <v>4041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1646.29</v>
      </c>
    </row>
    <row r="15" spans="1:6">
      <c r="A15" s="348" t="s">
        <v>184</v>
      </c>
      <c r="B15" s="334">
        <v>4</v>
      </c>
    </row>
    <row r="16" spans="1:6">
      <c r="A16" s="348" t="s">
        <v>6</v>
      </c>
      <c r="B16" s="334">
        <v>72</v>
      </c>
    </row>
    <row r="17" spans="1:6">
      <c r="A17" s="348" t="s">
        <v>7</v>
      </c>
      <c r="B17" s="334">
        <v>238</v>
      </c>
    </row>
    <row r="18" spans="1:6">
      <c r="A18" s="348" t="s">
        <v>8</v>
      </c>
      <c r="B18" s="334">
        <v>196</v>
      </c>
    </row>
    <row r="19" spans="1:6">
      <c r="A19" s="348" t="s">
        <v>9</v>
      </c>
      <c r="B19" s="334">
        <v>212</v>
      </c>
    </row>
    <row r="20" spans="1:6">
      <c r="A20" s="348" t="s">
        <v>10</v>
      </c>
      <c r="B20" s="334">
        <v>219</v>
      </c>
    </row>
    <row r="21" spans="1:6">
      <c r="A21" s="348" t="s">
        <v>11</v>
      </c>
      <c r="B21" s="334">
        <v>1320</v>
      </c>
    </row>
    <row r="22" spans="1:6">
      <c r="A22" s="348" t="s">
        <v>12</v>
      </c>
      <c r="B22" s="334">
        <v>8453</v>
      </c>
    </row>
    <row r="23" spans="1:6">
      <c r="A23" s="348" t="s">
        <v>13</v>
      </c>
      <c r="B23" s="334">
        <v>90</v>
      </c>
    </row>
    <row r="24" spans="1:6">
      <c r="A24" s="348" t="s">
        <v>14</v>
      </c>
      <c r="B24" s="334">
        <v>6</v>
      </c>
    </row>
    <row r="25" spans="1:6">
      <c r="A25" s="348" t="s">
        <v>15</v>
      </c>
      <c r="B25" s="334">
        <v>561</v>
      </c>
    </row>
    <row r="26" spans="1:6">
      <c r="A26" s="348" t="s">
        <v>16</v>
      </c>
      <c r="B26" s="334">
        <v>86</v>
      </c>
    </row>
    <row r="27" spans="1:6">
      <c r="A27" s="348" t="s">
        <v>17</v>
      </c>
      <c r="B27" s="334">
        <v>16</v>
      </c>
    </row>
    <row r="28" spans="1:6" s="356" customFormat="1">
      <c r="A28" s="355" t="s">
        <v>18</v>
      </c>
      <c r="B28" s="355">
        <v>0</v>
      </c>
    </row>
    <row r="29" spans="1:6">
      <c r="A29" s="355" t="s">
        <v>884</v>
      </c>
      <c r="B29" s="355">
        <v>39</v>
      </c>
      <c r="C29" s="356"/>
      <c r="D29" s="356"/>
      <c r="E29" s="356"/>
      <c r="F29" s="356"/>
    </row>
    <row r="30" spans="1:6">
      <c r="A30" s="355" t="s">
        <v>885</v>
      </c>
      <c r="B30" s="341">
        <v>39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216957</v>
      </c>
    </row>
    <row r="39" spans="1:6">
      <c r="A39" s="348" t="s">
        <v>30</v>
      </c>
      <c r="B39" s="348" t="s">
        <v>31</v>
      </c>
      <c r="C39" s="334">
        <v>1535</v>
      </c>
      <c r="D39" s="334">
        <v>23776796</v>
      </c>
      <c r="E39" s="334">
        <v>3900</v>
      </c>
      <c r="F39" s="334">
        <v>13367400</v>
      </c>
    </row>
    <row r="40" spans="1:6">
      <c r="A40" s="348" t="s">
        <v>30</v>
      </c>
      <c r="B40" s="348" t="s">
        <v>29</v>
      </c>
      <c r="C40" s="334">
        <v>0</v>
      </c>
      <c r="D40" s="334">
        <v>0</v>
      </c>
      <c r="E40" s="334">
        <v>0</v>
      </c>
      <c r="F40" s="334">
        <v>0</v>
      </c>
    </row>
    <row r="41" spans="1:6">
      <c r="A41" s="348" t="s">
        <v>32</v>
      </c>
      <c r="B41" s="348" t="s">
        <v>33</v>
      </c>
      <c r="C41" s="334">
        <v>24</v>
      </c>
      <c r="D41" s="334">
        <v>519216</v>
      </c>
      <c r="E41" s="334">
        <v>65</v>
      </c>
      <c r="F41" s="334">
        <v>421801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592207</v>
      </c>
      <c r="E44" s="334">
        <v>16</v>
      </c>
      <c r="F44" s="334">
        <v>429638</v>
      </c>
    </row>
    <row r="45" spans="1:6">
      <c r="A45" s="348" t="s">
        <v>32</v>
      </c>
      <c r="B45" s="348" t="s">
        <v>37</v>
      </c>
      <c r="C45" s="334">
        <v>0</v>
      </c>
      <c r="D45" s="334">
        <v>0</v>
      </c>
      <c r="E45" s="334">
        <v>6</v>
      </c>
      <c r="F45" s="334">
        <v>615202</v>
      </c>
    </row>
    <row r="46" spans="1:6">
      <c r="A46" s="348" t="s">
        <v>32</v>
      </c>
      <c r="B46" s="348" t="s">
        <v>38</v>
      </c>
      <c r="C46" s="334">
        <v>0</v>
      </c>
      <c r="D46" s="334">
        <v>0</v>
      </c>
      <c r="E46" s="334">
        <v>0</v>
      </c>
      <c r="F46" s="334">
        <v>0</v>
      </c>
    </row>
    <row r="47" spans="1:6">
      <c r="A47" s="348" t="s">
        <v>32</v>
      </c>
      <c r="B47" s="348" t="s">
        <v>39</v>
      </c>
      <c r="C47" s="334">
        <v>0</v>
      </c>
      <c r="D47" s="334">
        <v>0</v>
      </c>
      <c r="E47" s="334">
        <v>4</v>
      </c>
      <c r="F47" s="334">
        <v>96224</v>
      </c>
    </row>
    <row r="48" spans="1:6">
      <c r="A48" s="348" t="s">
        <v>32</v>
      </c>
      <c r="B48" s="348" t="s">
        <v>29</v>
      </c>
      <c r="C48" s="334">
        <v>5</v>
      </c>
      <c r="D48" s="334">
        <v>813983</v>
      </c>
      <c r="E48" s="334">
        <v>3</v>
      </c>
      <c r="F48" s="334">
        <v>23371</v>
      </c>
    </row>
    <row r="49" spans="1:6">
      <c r="A49" s="348" t="s">
        <v>32</v>
      </c>
      <c r="B49" s="348" t="s">
        <v>40</v>
      </c>
      <c r="C49" s="334">
        <v>0</v>
      </c>
      <c r="D49" s="334">
        <v>0</v>
      </c>
      <c r="E49" s="334">
        <v>0</v>
      </c>
      <c r="F49" s="334">
        <v>0</v>
      </c>
    </row>
    <row r="50" spans="1:6">
      <c r="A50" s="348" t="s">
        <v>32</v>
      </c>
      <c r="B50" s="348" t="s">
        <v>41</v>
      </c>
      <c r="C50" s="334">
        <v>6</v>
      </c>
      <c r="D50" s="334">
        <v>329064</v>
      </c>
      <c r="E50" s="334">
        <v>14</v>
      </c>
      <c r="F50" s="334">
        <v>2899093</v>
      </c>
    </row>
    <row r="51" spans="1:6">
      <c r="A51" s="348" t="s">
        <v>42</v>
      </c>
      <c r="B51" s="348" t="s">
        <v>43</v>
      </c>
      <c r="C51" s="334">
        <v>11</v>
      </c>
      <c r="D51" s="334">
        <v>565297</v>
      </c>
      <c r="E51" s="334">
        <v>67</v>
      </c>
      <c r="F51" s="334">
        <v>1165886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49</v>
      </c>
      <c r="F54" s="334">
        <v>560630</v>
      </c>
    </row>
    <row r="55" spans="1:6">
      <c r="A55" s="348" t="s">
        <v>46</v>
      </c>
      <c r="B55" s="348" t="s">
        <v>29</v>
      </c>
      <c r="C55" s="334">
        <v>0</v>
      </c>
      <c r="D55" s="334">
        <v>0</v>
      </c>
      <c r="E55" s="334">
        <v>0</v>
      </c>
      <c r="F55" s="334">
        <v>0</v>
      </c>
    </row>
    <row r="56" spans="1:6">
      <c r="A56" s="348" t="s">
        <v>48</v>
      </c>
      <c r="B56" s="348" t="s">
        <v>29</v>
      </c>
      <c r="C56" s="334">
        <v>21</v>
      </c>
      <c r="D56" s="334">
        <v>455967</v>
      </c>
      <c r="E56" s="334">
        <v>83</v>
      </c>
      <c r="F56" s="334">
        <v>393807</v>
      </c>
    </row>
    <row r="57" spans="1:6">
      <c r="A57" s="348" t="s">
        <v>49</v>
      </c>
      <c r="B57" s="348" t="s">
        <v>50</v>
      </c>
      <c r="C57" s="334">
        <v>16</v>
      </c>
      <c r="D57" s="334">
        <v>537356</v>
      </c>
      <c r="E57" s="334">
        <v>53</v>
      </c>
      <c r="F57" s="334">
        <v>654007</v>
      </c>
    </row>
    <row r="58" spans="1:6">
      <c r="A58" s="348" t="s">
        <v>49</v>
      </c>
      <c r="B58" s="348" t="s">
        <v>51</v>
      </c>
      <c r="C58" s="334">
        <v>9</v>
      </c>
      <c r="D58" s="334">
        <v>476456</v>
      </c>
      <c r="E58" s="334">
        <v>15</v>
      </c>
      <c r="F58" s="334">
        <v>356480</v>
      </c>
    </row>
    <row r="59" spans="1:6">
      <c r="A59" s="348" t="s">
        <v>49</v>
      </c>
      <c r="B59" s="348" t="s">
        <v>52</v>
      </c>
      <c r="C59" s="334">
        <v>43</v>
      </c>
      <c r="D59" s="334">
        <v>4587880</v>
      </c>
      <c r="E59" s="334">
        <v>108</v>
      </c>
      <c r="F59" s="334">
        <v>5297928</v>
      </c>
    </row>
    <row r="60" spans="1:6">
      <c r="A60" s="348" t="s">
        <v>49</v>
      </c>
      <c r="B60" s="348" t="s">
        <v>53</v>
      </c>
      <c r="C60" s="334">
        <v>20</v>
      </c>
      <c r="D60" s="334">
        <v>619490</v>
      </c>
      <c r="E60" s="334">
        <v>43</v>
      </c>
      <c r="F60" s="334">
        <v>751332</v>
      </c>
    </row>
    <row r="61" spans="1:6">
      <c r="A61" s="348" t="s">
        <v>49</v>
      </c>
      <c r="B61" s="348" t="s">
        <v>54</v>
      </c>
      <c r="C61" s="334">
        <v>58</v>
      </c>
      <c r="D61" s="334">
        <v>2281030</v>
      </c>
      <c r="E61" s="334">
        <v>183</v>
      </c>
      <c r="F61" s="334">
        <v>2060455</v>
      </c>
    </row>
    <row r="62" spans="1:6">
      <c r="A62" s="348" t="s">
        <v>49</v>
      </c>
      <c r="B62" s="348" t="s">
        <v>55</v>
      </c>
      <c r="C62" s="334">
        <v>4</v>
      </c>
      <c r="D62" s="334">
        <v>152514</v>
      </c>
      <c r="E62" s="334">
        <v>11</v>
      </c>
      <c r="F62" s="334">
        <v>173439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19971</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36509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17946922</v>
      </c>
      <c r="E73" s="475">
        <v>18650354.536412165</v>
      </c>
    </row>
    <row r="74" spans="1:6">
      <c r="A74" s="348" t="s">
        <v>64</v>
      </c>
      <c r="B74" s="348" t="s">
        <v>667</v>
      </c>
      <c r="C74" s="1294" t="s">
        <v>669</v>
      </c>
      <c r="D74" s="475">
        <v>257089.12814471201</v>
      </c>
      <c r="E74" s="475">
        <v>260891.81507532106</v>
      </c>
    </row>
    <row r="75" spans="1:6">
      <c r="A75" s="348" t="s">
        <v>65</v>
      </c>
      <c r="B75" s="348" t="s">
        <v>666</v>
      </c>
      <c r="C75" s="1294" t="s">
        <v>670</v>
      </c>
      <c r="D75" s="475">
        <v>16036983</v>
      </c>
      <c r="E75" s="475">
        <v>17038028.565752774</v>
      </c>
    </row>
    <row r="76" spans="1:6">
      <c r="A76" s="348" t="s">
        <v>65</v>
      </c>
      <c r="B76" s="348" t="s">
        <v>667</v>
      </c>
      <c r="C76" s="1294" t="s">
        <v>671</v>
      </c>
      <c r="D76" s="475">
        <v>13349.128144711998</v>
      </c>
      <c r="E76" s="475">
        <v>15831.076615666811</v>
      </c>
    </row>
    <row r="77" spans="1:6">
      <c r="A77" s="348" t="s">
        <v>66</v>
      </c>
      <c r="B77" s="348" t="s">
        <v>666</v>
      </c>
      <c r="C77" s="1294" t="s">
        <v>672</v>
      </c>
      <c r="D77" s="475">
        <v>60058518</v>
      </c>
      <c r="E77" s="475">
        <v>63024722.006048411</v>
      </c>
    </row>
    <row r="78" spans="1:6">
      <c r="A78" s="341" t="s">
        <v>66</v>
      </c>
      <c r="B78" s="341" t="s">
        <v>667</v>
      </c>
      <c r="C78" s="341" t="s">
        <v>673</v>
      </c>
      <c r="D78" s="1295">
        <v>9478874</v>
      </c>
      <c r="E78" s="1295">
        <v>9567291.3368578814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138295.743710576</v>
      </c>
      <c r="C83" s="475">
        <v>138295.743710576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3146.6626059776031</v>
      </c>
    </row>
    <row r="92" spans="1:6">
      <c r="A92" s="341" t="s">
        <v>69</v>
      </c>
      <c r="B92" s="342">
        <v>1326.295839184995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314</v>
      </c>
    </row>
    <row r="98" spans="1:6">
      <c r="A98" s="348" t="s">
        <v>72</v>
      </c>
      <c r="B98" s="334">
        <v>1</v>
      </c>
    </row>
    <row r="99" spans="1:6">
      <c r="A99" s="348" t="s">
        <v>73</v>
      </c>
      <c r="B99" s="334">
        <v>24</v>
      </c>
    </row>
    <row r="100" spans="1:6">
      <c r="A100" s="348" t="s">
        <v>74</v>
      </c>
      <c r="B100" s="334">
        <v>113</v>
      </c>
    </row>
    <row r="101" spans="1:6">
      <c r="A101" s="348" t="s">
        <v>75</v>
      </c>
      <c r="B101" s="334">
        <v>39</v>
      </c>
    </row>
    <row r="102" spans="1:6">
      <c r="A102" s="348" t="s">
        <v>76</v>
      </c>
      <c r="B102" s="334">
        <v>41</v>
      </c>
    </row>
    <row r="103" spans="1:6">
      <c r="A103" s="348" t="s">
        <v>77</v>
      </c>
      <c r="B103" s="334">
        <v>91</v>
      </c>
    </row>
    <row r="104" spans="1:6">
      <c r="A104" s="348" t="s">
        <v>78</v>
      </c>
      <c r="B104" s="334">
        <v>2838</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1</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32435.393059996077</v>
      </c>
      <c r="C3" s="43" t="s">
        <v>170</v>
      </c>
      <c r="D3" s="43"/>
      <c r="E3" s="154"/>
      <c r="F3" s="43"/>
      <c r="G3" s="43"/>
      <c r="H3" s="43"/>
      <c r="I3" s="43"/>
      <c r="J3" s="43"/>
      <c r="K3" s="96"/>
    </row>
    <row r="4" spans="1:11">
      <c r="A4" s="383" t="s">
        <v>171</v>
      </c>
      <c r="B4" s="49">
        <f>IF(ISERROR('SEAP template'!B78+'SEAP template'!C78),0,'SEAP template'!B78+'SEAP template'!C78)</f>
        <v>4472.9584451625979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0.19052329775833299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560.63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560.63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0.19052329775833299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106.81307642225423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13367.4</v>
      </c>
      <c r="C5" s="17">
        <f>IF(ISERROR('Eigen informatie GS &amp; warmtenet'!B57),0,'Eigen informatie GS &amp; warmtenet'!B57)</f>
        <v>0</v>
      </c>
      <c r="D5" s="30">
        <f>(SUM(HH_hh_gas_kWh,HH_rest_gas_kWh)/1000)*0.902</f>
        <v>21446.669991999999</v>
      </c>
      <c r="E5" s="17">
        <f>B46*B57</f>
        <v>1757.7183071955014</v>
      </c>
      <c r="F5" s="17">
        <f>B51*B62</f>
        <v>42333.440261814772</v>
      </c>
      <c r="G5" s="18"/>
      <c r="H5" s="17"/>
      <c r="I5" s="17"/>
      <c r="J5" s="17">
        <f>B50*B61+C50*C61</f>
        <v>0</v>
      </c>
      <c r="K5" s="17"/>
      <c r="L5" s="17"/>
      <c r="M5" s="17"/>
      <c r="N5" s="17">
        <f>B48*B59+C48*C59</f>
        <v>8112.058389757166</v>
      </c>
      <c r="O5" s="17">
        <f>B69*B70*B71</f>
        <v>150.08000000000001</v>
      </c>
      <c r="P5" s="17">
        <f>B77*B78*B79/1000-B77*B78*B79/1000/B80</f>
        <v>286</v>
      </c>
    </row>
    <row r="6" spans="1:16">
      <c r="A6" s="16" t="s">
        <v>624</v>
      </c>
      <c r="B6" s="788">
        <f>kWh_PV_kleiner_dan_10kW</f>
        <v>3146.6626059776031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16514.062605977604</v>
      </c>
      <c r="C8" s="21">
        <f>C5</f>
        <v>0</v>
      </c>
      <c r="D8" s="21">
        <f>D5</f>
        <v>21446.669991999999</v>
      </c>
      <c r="E8" s="21">
        <f>E5</f>
        <v>1757.7183071955014</v>
      </c>
      <c r="F8" s="21">
        <f>F5</f>
        <v>42333.440261814772</v>
      </c>
      <c r="G8" s="21"/>
      <c r="H8" s="21"/>
      <c r="I8" s="21"/>
      <c r="J8" s="21">
        <f>J5</f>
        <v>0</v>
      </c>
      <c r="K8" s="21"/>
      <c r="L8" s="21">
        <f>L5</f>
        <v>0</v>
      </c>
      <c r="M8" s="21">
        <f>M5</f>
        <v>0</v>
      </c>
      <c r="N8" s="21">
        <f>N5</f>
        <v>8112.058389757166</v>
      </c>
      <c r="O8" s="21">
        <f>O5</f>
        <v>150.08000000000001</v>
      </c>
      <c r="P8" s="21">
        <f>P5</f>
        <v>286</v>
      </c>
    </row>
    <row r="9" spans="1:16">
      <c r="B9" s="19"/>
      <c r="C9" s="19"/>
      <c r="D9" s="258"/>
      <c r="E9" s="19"/>
      <c r="F9" s="19"/>
      <c r="G9" s="19"/>
      <c r="H9" s="19"/>
      <c r="I9" s="19"/>
      <c r="J9" s="19"/>
      <c r="K9" s="19"/>
      <c r="L9" s="19"/>
      <c r="M9" s="19"/>
      <c r="N9" s="19"/>
      <c r="O9" s="19"/>
      <c r="P9" s="19"/>
    </row>
    <row r="10" spans="1:16">
      <c r="A10" s="24" t="s">
        <v>214</v>
      </c>
      <c r="B10" s="25">
        <f ca="1">'EF ele_warmte'!B12</f>
        <v>0.19052329775833299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3146.3136670784234</v>
      </c>
      <c r="C12" s="23">
        <f ca="1">C10*C8</f>
        <v>0</v>
      </c>
      <c r="D12" s="23">
        <f>D8*D10</f>
        <v>4332.2273383840002</v>
      </c>
      <c r="E12" s="23">
        <f>E10*E8</f>
        <v>399.00205573337882</v>
      </c>
      <c r="F12" s="23">
        <f>F10*F8</f>
        <v>11303.028549904544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314</v>
      </c>
      <c r="C18" s="166" t="s">
        <v>111</v>
      </c>
      <c r="D18" s="228"/>
      <c r="E18" s="15"/>
    </row>
    <row r="19" spans="1:7">
      <c r="A19" s="171" t="s">
        <v>72</v>
      </c>
      <c r="B19" s="37">
        <f>aantalw2001_ander</f>
        <v>1</v>
      </c>
      <c r="C19" s="166" t="s">
        <v>111</v>
      </c>
      <c r="D19" s="229"/>
      <c r="E19" s="15"/>
    </row>
    <row r="20" spans="1:7">
      <c r="A20" s="171" t="s">
        <v>73</v>
      </c>
      <c r="B20" s="37">
        <f>aantalw2001_propaan</f>
        <v>24</v>
      </c>
      <c r="C20" s="167">
        <f>IF(ISERROR(B20/SUM($B$20,$B$21,$B$22)*100),0,B20/SUM($B$20,$B$21,$B$22)*100)</f>
        <v>13.636363636363635</v>
      </c>
      <c r="D20" s="229"/>
      <c r="E20" s="15"/>
    </row>
    <row r="21" spans="1:7">
      <c r="A21" s="171" t="s">
        <v>74</v>
      </c>
      <c r="B21" s="37">
        <f>aantalw2001_elektriciteit</f>
        <v>113</v>
      </c>
      <c r="C21" s="167">
        <f>IF(ISERROR(B21/SUM($B$20,$B$21,$B$22)*100),0,B21/SUM($B$20,$B$21,$B$22)*100)</f>
        <v>64.204545454545453</v>
      </c>
      <c r="D21" s="229"/>
      <c r="E21" s="15"/>
    </row>
    <row r="22" spans="1:7">
      <c r="A22" s="171" t="s">
        <v>75</v>
      </c>
      <c r="B22" s="37">
        <f>aantalw2001_hout</f>
        <v>39</v>
      </c>
      <c r="C22" s="167">
        <f>IF(ISERROR(B22/SUM($B$20,$B$21,$B$22)*100),0,B22/SUM($B$20,$B$21,$B$22)*100)</f>
        <v>22.15909090909091</v>
      </c>
      <c r="D22" s="229"/>
      <c r="E22" s="15"/>
    </row>
    <row r="23" spans="1:7">
      <c r="A23" s="171" t="s">
        <v>76</v>
      </c>
      <c r="B23" s="37">
        <f>aantalw2001_niet_gespec</f>
        <v>41</v>
      </c>
      <c r="C23" s="166" t="s">
        <v>111</v>
      </c>
      <c r="D23" s="228"/>
      <c r="E23" s="15"/>
    </row>
    <row r="24" spans="1:7">
      <c r="A24" s="171" t="s">
        <v>77</v>
      </c>
      <c r="B24" s="37">
        <f>aantalw2001_steenkool</f>
        <v>91</v>
      </c>
      <c r="C24" s="166" t="s">
        <v>111</v>
      </c>
      <c r="D24" s="229"/>
      <c r="E24" s="15"/>
    </row>
    <row r="25" spans="1:7">
      <c r="A25" s="171" t="s">
        <v>78</v>
      </c>
      <c r="B25" s="37">
        <f>aantalw2001_stookolie</f>
        <v>2838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3859</v>
      </c>
      <c r="C28" s="36"/>
      <c r="D28" s="228"/>
    </row>
    <row r="29" spans="1:7" s="15" customFormat="1">
      <c r="A29" s="230" t="s">
        <v>699</v>
      </c>
      <c r="B29" s="37">
        <f>SUM(HH_hh_gas_aantal,HH_rest_gas_aantal)</f>
        <v>1535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1535</v>
      </c>
      <c r="C32" s="167">
        <f>IF(ISERROR(B32/SUM($B$32,$B$34,$B$35,$B$36,$B$38,$B$39)*100),0,B32/SUM($B$32,$B$34,$B$35,$B$36,$B$38,$B$39)*100)</f>
        <v>39.93236212278876</v>
      </c>
      <c r="D32" s="233"/>
      <c r="G32" s="15"/>
    </row>
    <row r="33" spans="1:7">
      <c r="A33" s="171" t="s">
        <v>72</v>
      </c>
      <c r="B33" s="34" t="s">
        <v>111</v>
      </c>
      <c r="C33" s="167"/>
      <c r="D33" s="233"/>
      <c r="G33" s="15"/>
    </row>
    <row r="34" spans="1:7">
      <c r="A34" s="171" t="s">
        <v>73</v>
      </c>
      <c r="B34" s="33">
        <f>IF((($B$28-$B$32-$B$39-$B$77-$B$38)*C20/100)&lt;0,0,($B$28-$B$32-$B$39-$B$77-$B$38)*C20/100)</f>
        <v>77.713636363636368</v>
      </c>
      <c r="C34" s="167">
        <f>IF(ISERROR(B34/SUM($B$32,$B$34,$B$35,$B$36,$B$38,$B$39)*100),0,B34/SUM($B$32,$B$34,$B$35,$B$36,$B$38,$B$39)*100)</f>
        <v>2.021686690000946</v>
      </c>
      <c r="D34" s="233"/>
      <c r="G34" s="15"/>
    </row>
    <row r="35" spans="1:7">
      <c r="A35" s="171" t="s">
        <v>74</v>
      </c>
      <c r="B35" s="33">
        <f>IF((($B$28-$B$32-$B$39-$B$77-$B$38)*C21/100)&lt;0,0,($B$28-$B$32-$B$39-$B$77-$B$38)*C21/100)</f>
        <v>365.90170454545461</v>
      </c>
      <c r="C35" s="167">
        <f>IF(ISERROR(B35/SUM($B$32,$B$34,$B$35,$B$36,$B$38,$B$39)*100),0,B35/SUM($B$32,$B$34,$B$35,$B$36,$B$38,$B$39)*100)</f>
        <v>9.5187748320877876</v>
      </c>
      <c r="D35" s="233"/>
      <c r="G35" s="15"/>
    </row>
    <row r="36" spans="1:7">
      <c r="A36" s="171" t="s">
        <v>75</v>
      </c>
      <c r="B36" s="33">
        <f>IF((($B$28-$B$32-$B$39-$B$77-$B$38)*C22/100)&lt;0,0,($B$28-$B$32-$B$39-$B$77-$B$38)*C22/100)</f>
        <v>126.28465909090912</v>
      </c>
      <c r="C36" s="167">
        <f>IF(ISERROR(B36/SUM($B$32,$B$34,$B$35,$B$36,$B$38,$B$39)*100),0,B36/SUM($B$32,$B$34,$B$35,$B$36,$B$38,$B$39)*100)</f>
        <v>3.285240871251538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1739.1</v>
      </c>
      <c r="C39" s="167">
        <f>IF(ISERROR(B39/SUM($B$32,$B$34,$B$35,$B$36,$B$38,$B$39)*100),0,B39/SUM($B$32,$B$34,$B$35,$B$36,$B$38,$B$39)*100)</f>
        <v>45.241935483870968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1535</v>
      </c>
      <c r="C44" s="34" t="s">
        <v>111</v>
      </c>
      <c r="D44" s="174"/>
    </row>
    <row r="45" spans="1:7">
      <c r="A45" s="171" t="s">
        <v>72</v>
      </c>
      <c r="B45" s="33" t="str">
        <f t="shared" si="0"/>
        <v>-</v>
      </c>
      <c r="C45" s="34" t="s">
        <v>111</v>
      </c>
      <c r="D45" s="174"/>
    </row>
    <row r="46" spans="1:7">
      <c r="A46" s="171" t="s">
        <v>73</v>
      </c>
      <c r="B46" s="33">
        <f t="shared" si="0"/>
        <v>77.713636363636368</v>
      </c>
      <c r="C46" s="34" t="s">
        <v>111</v>
      </c>
      <c r="D46" s="174"/>
    </row>
    <row r="47" spans="1:7">
      <c r="A47" s="171" t="s">
        <v>74</v>
      </c>
      <c r="B47" s="33">
        <f t="shared" si="0"/>
        <v>365.90170454545461</v>
      </c>
      <c r="C47" s="34" t="s">
        <v>111</v>
      </c>
      <c r="D47" s="174"/>
    </row>
    <row r="48" spans="1:7">
      <c r="A48" s="171" t="s">
        <v>75</v>
      </c>
      <c r="B48" s="33">
        <f t="shared" si="0"/>
        <v>126.28465909090912</v>
      </c>
      <c r="C48" s="33">
        <f>B48*10</f>
        <v>1262.8465909090912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1739.1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9293.6409999999996</v>
      </c>
      <c r="C5" s="17">
        <f>IF(ISERROR('Eigen informatie GS &amp; warmtenet'!B58),0,'Eigen informatie GS &amp; warmtenet'!B58)</f>
        <v>0</v>
      </c>
      <c r="D5" s="30">
        <f>SUM(D6:D12)</f>
        <v>7806.5628520000009</v>
      </c>
      <c r="E5" s="17">
        <f>SUM(E6:E12)</f>
        <v>220.38366894609109</v>
      </c>
      <c r="F5" s="17">
        <f>SUM(F6:F12)</f>
        <v>2186.2148991879867</v>
      </c>
      <c r="G5" s="18"/>
      <c r="H5" s="17"/>
      <c r="I5" s="17"/>
      <c r="J5" s="17">
        <f>SUM(J6:J12)</f>
        <v>0</v>
      </c>
      <c r="K5" s="17"/>
      <c r="L5" s="17"/>
      <c r="M5" s="17"/>
      <c r="N5" s="17">
        <f>SUM(N6:N12)</f>
        <v>528.44753631238586</v>
      </c>
      <c r="O5" s="17">
        <f>B38*B39*B40</f>
        <v>1.5633333333333335</v>
      </c>
      <c r="P5" s="17">
        <f>B46*B47*B48/1000-B46*B47*B48/1000/B49</f>
        <v>19.066666666666666</v>
      </c>
      <c r="R5" s="32"/>
    </row>
    <row r="6" spans="1:18">
      <c r="A6" s="32" t="s">
        <v>54</v>
      </c>
      <c r="B6" s="37">
        <f>B26</f>
        <v>2060.4549999999999</v>
      </c>
      <c r="C6" s="33"/>
      <c r="D6" s="37">
        <f>IF(ISERROR(TER_kantoor_gas_kWh/1000),0,TER_kantoor_gas_kWh/1000)*0.902</f>
        <v>2057.4890600000003</v>
      </c>
      <c r="E6" s="33">
        <f>$C$26*'E Balans VL '!I12/100/3.6*1000000</f>
        <v>26.97389406252347</v>
      </c>
      <c r="F6" s="33">
        <f>$C$26*('E Balans VL '!L12+'E Balans VL '!N12)/100/3.6*1000000</f>
        <v>525.39473305338845</v>
      </c>
      <c r="G6" s="34"/>
      <c r="H6" s="33"/>
      <c r="I6" s="33"/>
      <c r="J6" s="33">
        <f>$C$26*('E Balans VL '!D12+'E Balans VL '!E12)/100/3.6*1000000</f>
        <v>0</v>
      </c>
      <c r="K6" s="33"/>
      <c r="L6" s="33"/>
      <c r="M6" s="33"/>
      <c r="N6" s="33">
        <f>$C$26*'E Balans VL '!Y12/100/3.6*1000000</f>
        <v>2.0673934718487414</v>
      </c>
      <c r="O6" s="33"/>
      <c r="P6" s="33"/>
      <c r="R6" s="32"/>
    </row>
    <row r="7" spans="1:18">
      <c r="A7" s="32" t="s">
        <v>53</v>
      </c>
      <c r="B7" s="37">
        <f t="shared" ref="B7:B12" si="0">B27</f>
        <v>751.33199999999999</v>
      </c>
      <c r="C7" s="33"/>
      <c r="D7" s="37">
        <f>IF(ISERROR(TER_horeca_gas_kWh/1000),0,TER_horeca_gas_kWh/1000)*0.902</f>
        <v>558.77998000000002</v>
      </c>
      <c r="E7" s="33">
        <f>$C$27*'E Balans VL '!I9/100/3.6*1000000</f>
        <v>24.864519000755632</v>
      </c>
      <c r="F7" s="33">
        <f>$C$27*('E Balans VL '!L9+'E Balans VL '!N9)/100/3.6*1000000</f>
        <v>323.06988054699286</v>
      </c>
      <c r="G7" s="34"/>
      <c r="H7" s="33"/>
      <c r="I7" s="33"/>
      <c r="J7" s="33">
        <f>$C$27*('E Balans VL '!D9+'E Balans VL '!E9)/100/3.6*1000000</f>
        <v>0</v>
      </c>
      <c r="K7" s="33"/>
      <c r="L7" s="33"/>
      <c r="M7" s="33"/>
      <c r="N7" s="33">
        <f>$C$27*'E Balans VL '!Y9/100/3.6*1000000</f>
        <v>0.18085652293797203</v>
      </c>
      <c r="O7" s="33"/>
      <c r="P7" s="33"/>
      <c r="R7" s="32"/>
    </row>
    <row r="8" spans="1:18">
      <c r="A8" s="6" t="s">
        <v>52</v>
      </c>
      <c r="B8" s="37">
        <f t="shared" si="0"/>
        <v>5297.9279999999999</v>
      </c>
      <c r="C8" s="33"/>
      <c r="D8" s="37">
        <f>IF(ISERROR(TER_handel_gas_kWh/1000),0,TER_handel_gas_kWh/1000)*0.902</f>
        <v>4138.2677600000006</v>
      </c>
      <c r="E8" s="33">
        <f>$C$28*'E Balans VL '!I13/100/3.6*1000000</f>
        <v>167.21070267302369</v>
      </c>
      <c r="F8" s="33">
        <f>$C$28*('E Balans VL '!L13+'E Balans VL '!N13)/100/3.6*1000000</f>
        <v>1039.0169715200784</v>
      </c>
      <c r="G8" s="34"/>
      <c r="H8" s="33"/>
      <c r="I8" s="33"/>
      <c r="J8" s="33">
        <f>$C$28*('E Balans VL '!D13+'E Balans VL '!E13)/100/3.6*1000000</f>
        <v>0</v>
      </c>
      <c r="K8" s="33"/>
      <c r="L8" s="33"/>
      <c r="M8" s="33"/>
      <c r="N8" s="33">
        <f>$C$28*'E Balans VL '!Y13/100/3.6*1000000</f>
        <v>6.2876119559061276</v>
      </c>
      <c r="O8" s="33"/>
      <c r="P8" s="33"/>
      <c r="R8" s="32"/>
    </row>
    <row r="9" spans="1:18">
      <c r="A9" s="32" t="s">
        <v>51</v>
      </c>
      <c r="B9" s="37">
        <f t="shared" si="0"/>
        <v>356.48</v>
      </c>
      <c r="C9" s="33"/>
      <c r="D9" s="37">
        <f>IF(ISERROR(TER_gezond_gas_kWh/1000),0,TER_gezond_gas_kWh/1000)*0.902</f>
        <v>429.76331200000004</v>
      </c>
      <c r="E9" s="33">
        <f>$C$29*'E Balans VL '!I10/100/3.6*1000000</f>
        <v>4.5639868591009131E-2</v>
      </c>
      <c r="F9" s="33">
        <f>$C$29*('E Balans VL '!L10+'E Balans VL '!N10)/100/3.6*1000000</f>
        <v>74.269725446084678</v>
      </c>
      <c r="G9" s="34"/>
      <c r="H9" s="33"/>
      <c r="I9" s="33"/>
      <c r="J9" s="33">
        <f>$C$29*('E Balans VL '!D10+'E Balans VL '!E10)/100/3.6*1000000</f>
        <v>0</v>
      </c>
      <c r="K9" s="33"/>
      <c r="L9" s="33"/>
      <c r="M9" s="33"/>
      <c r="N9" s="33">
        <f>$C$29*'E Balans VL '!Y10/100/3.6*1000000</f>
        <v>4.1870260945992817</v>
      </c>
      <c r="O9" s="33"/>
      <c r="P9" s="33"/>
      <c r="R9" s="32"/>
    </row>
    <row r="10" spans="1:18">
      <c r="A10" s="32" t="s">
        <v>50</v>
      </c>
      <c r="B10" s="37">
        <f t="shared" si="0"/>
        <v>654.00699999999995</v>
      </c>
      <c r="C10" s="33"/>
      <c r="D10" s="37">
        <f>IF(ISERROR(TER_ander_gas_kWh/1000),0,TER_ander_gas_kWh/1000)*0.902</f>
        <v>484.69511199999999</v>
      </c>
      <c r="E10" s="33">
        <f>$C$30*'E Balans VL '!I14/100/3.6*1000000</f>
        <v>0.98347272805934072</v>
      </c>
      <c r="F10" s="33">
        <f>$C$30*('E Balans VL '!L14+'E Balans VL '!N14)/100/3.6*1000000</f>
        <v>144.38366394792794</v>
      </c>
      <c r="G10" s="34"/>
      <c r="H10" s="33"/>
      <c r="I10" s="33"/>
      <c r="J10" s="33">
        <f>$C$30*('E Balans VL '!D14+'E Balans VL '!E14)/100/3.6*1000000</f>
        <v>0</v>
      </c>
      <c r="K10" s="33"/>
      <c r="L10" s="33"/>
      <c r="M10" s="33"/>
      <c r="N10" s="33">
        <f>$C$30*'E Balans VL '!Y14/100/3.6*1000000</f>
        <v>515.40152901164413</v>
      </c>
      <c r="O10" s="33"/>
      <c r="P10" s="33"/>
      <c r="R10" s="32"/>
    </row>
    <row r="11" spans="1:18">
      <c r="A11" s="32" t="s">
        <v>55</v>
      </c>
      <c r="B11" s="37">
        <f t="shared" si="0"/>
        <v>173.43899999999999</v>
      </c>
      <c r="C11" s="33"/>
      <c r="D11" s="37">
        <f>IF(ISERROR(TER_onderwijs_gas_kWh/1000),0,TER_onderwijs_gas_kWh/1000)*0.902</f>
        <v>137.56762800000001</v>
      </c>
      <c r="E11" s="33">
        <f>$C$31*'E Balans VL '!I11/100/3.6*1000000</f>
        <v>0.30544061313796084</v>
      </c>
      <c r="F11" s="33">
        <f>$C$31*('E Balans VL '!L11+'E Balans VL '!N11)/100/3.6*1000000</f>
        <v>80.07992467351437</v>
      </c>
      <c r="G11" s="34"/>
      <c r="H11" s="33"/>
      <c r="I11" s="33"/>
      <c r="J11" s="33">
        <f>$C$31*('E Balans VL '!D11+'E Balans VL '!E11)/100/3.6*1000000</f>
        <v>0</v>
      </c>
      <c r="K11" s="33"/>
      <c r="L11" s="33"/>
      <c r="M11" s="33"/>
      <c r="N11" s="33">
        <f>$C$31*'E Balans VL '!Y11/100/3.6*1000000</f>
        <v>0.32311925544955084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9293.6409999999996</v>
      </c>
      <c r="C16" s="21">
        <f t="shared" ca="1" si="1"/>
        <v>0</v>
      </c>
      <c r="D16" s="21">
        <f t="shared" ca="1" si="1"/>
        <v>7806.5628520000009</v>
      </c>
      <c r="E16" s="21">
        <f t="shared" si="1"/>
        <v>220.38366894609109</v>
      </c>
      <c r="F16" s="21">
        <f t="shared" ca="1" si="1"/>
        <v>2186.2148991879867</v>
      </c>
      <c r="G16" s="21">
        <f t="shared" si="1"/>
        <v>0</v>
      </c>
      <c r="H16" s="21">
        <f t="shared" si="1"/>
        <v>0</v>
      </c>
      <c r="I16" s="21">
        <f t="shared" si="1"/>
        <v>0</v>
      </c>
      <c r="J16" s="21">
        <f t="shared" si="1"/>
        <v>0</v>
      </c>
      <c r="K16" s="21">
        <f t="shared" si="1"/>
        <v>0</v>
      </c>
      <c r="L16" s="21">
        <f t="shared" ca="1" si="1"/>
        <v>0</v>
      </c>
      <c r="M16" s="21">
        <f t="shared" si="1"/>
        <v>0</v>
      </c>
      <c r="N16" s="21">
        <f t="shared" ca="1" si="1"/>
        <v>528.44753631238586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0.19052329775833299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1770.6551315020515</v>
      </c>
      <c r="C20" s="23">
        <f t="shared" ref="C20:P20" ca="1" si="2">C16*C18</f>
        <v>0</v>
      </c>
      <c r="D20" s="23">
        <f t="shared" ca="1" si="2"/>
        <v>1576.9256961040003</v>
      </c>
      <c r="E20" s="23">
        <f t="shared" si="2"/>
        <v>50.027092850762678</v>
      </c>
      <c r="F20" s="23">
        <f t="shared" ca="1" si="2"/>
        <v>583.71937808319251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2060.4549999999999</v>
      </c>
      <c r="C26" s="39">
        <f>IF(ISERROR(B26*3.6/1000000/'E Balans VL '!Z12*100),0,B26*3.6/1000000/'E Balans VL '!Z12*100)</f>
        <v>4.4136546805158793E-2</v>
      </c>
      <c r="D26" s="237" t="s">
        <v>660</v>
      </c>
      <c r="F26" s="6"/>
    </row>
    <row r="27" spans="1:18">
      <c r="A27" s="231" t="s">
        <v>53</v>
      </c>
      <c r="B27" s="33">
        <f>IF(ISERROR(TER_horeca_ele_kWh/1000),0,TER_horeca_ele_kWh/1000)</f>
        <v>751.33199999999999</v>
      </c>
      <c r="C27" s="39">
        <f>IF(ISERROR(B27*3.6/1000000/'E Balans VL '!Z9*100),0,B27*3.6/1000000/'E Balans VL '!Z9*100)</f>
        <v>6.0291781396625062E-2</v>
      </c>
      <c r="D27" s="237" t="s">
        <v>660</v>
      </c>
      <c r="F27" s="6"/>
    </row>
    <row r="28" spans="1:18">
      <c r="A28" s="171" t="s">
        <v>52</v>
      </c>
      <c r="B28" s="33">
        <f>IF(ISERROR(TER_handel_ele_kWh/1000),0,TER_handel_ele_kWh/1000)</f>
        <v>5297.9279999999999</v>
      </c>
      <c r="C28" s="39">
        <f>IF(ISERROR(B28*3.6/1000000/'E Balans VL '!Z13*100),0,B28*3.6/1000000/'E Balans VL '!Z13*100)</f>
        <v>0.15625848829705899</v>
      </c>
      <c r="D28" s="237" t="s">
        <v>660</v>
      </c>
      <c r="F28" s="6"/>
    </row>
    <row r="29" spans="1:18">
      <c r="A29" s="231" t="s">
        <v>51</v>
      </c>
      <c r="B29" s="33">
        <f>IF(ISERROR(TER_gezond_ele_kWh/1000),0,TER_gezond_ele_kWh/1000)</f>
        <v>356.48</v>
      </c>
      <c r="C29" s="39">
        <f>IF(ISERROR(B29*3.6/1000000/'E Balans VL '!Z10*100),0,B29*3.6/1000000/'E Balans VL '!Z10*100)</f>
        <v>3.8062506412793441E-2</v>
      </c>
      <c r="D29" s="237" t="s">
        <v>660</v>
      </c>
      <c r="F29" s="6"/>
    </row>
    <row r="30" spans="1:18">
      <c r="A30" s="231" t="s">
        <v>50</v>
      </c>
      <c r="B30" s="33">
        <f>IF(ISERROR(TER_ander_ele_kWh/1000),0,TER_ander_ele_kWh/1000)</f>
        <v>654.00699999999995</v>
      </c>
      <c r="C30" s="39">
        <f>IF(ISERROR(B30*3.6/1000000/'E Balans VL '!Z14*100),0,B30*3.6/1000000/'E Balans VL '!Z14*100)</f>
        <v>4.9399716891897073E-2</v>
      </c>
      <c r="D30" s="237" t="s">
        <v>660</v>
      </c>
      <c r="F30" s="6"/>
    </row>
    <row r="31" spans="1:18">
      <c r="A31" s="231" t="s">
        <v>55</v>
      </c>
      <c r="B31" s="33">
        <f>IF(ISERROR(TER_onderwijs_ele_kWh/1000),0,TER_onderwijs_ele_kWh/1000)</f>
        <v>173.43899999999999</v>
      </c>
      <c r="C31" s="39">
        <f>IF(ISERROR(B31*3.6/1000000/'E Balans VL '!Z11*100),0,B31*3.6/1000000/'E Balans VL '!Z11*100)</f>
        <v>3.5023123941109617E-2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4485.3289999999997</v>
      </c>
      <c r="C5" s="17">
        <f>IF(ISERROR('Eigen informatie GS &amp; warmtenet'!B59),0,'Eigen informatie GS &amp; warmtenet'!B59)</f>
        <v>0</v>
      </c>
      <c r="D5" s="30">
        <f>SUM(D6:D15)</f>
        <v>2033.5319399999998</v>
      </c>
      <c r="E5" s="17">
        <f>SUM(E6:E15)</f>
        <v>211.54526063018812</v>
      </c>
      <c r="F5" s="17">
        <f>SUM(F6:F15)</f>
        <v>1314.6568254591627</v>
      </c>
      <c r="G5" s="18"/>
      <c r="H5" s="17"/>
      <c r="I5" s="17"/>
      <c r="J5" s="17">
        <f>SUM(J6:J15)</f>
        <v>7.3479081715794763</v>
      </c>
      <c r="K5" s="17"/>
      <c r="L5" s="17"/>
      <c r="M5" s="17"/>
      <c r="N5" s="17">
        <f>SUM(N6:N15)</f>
        <v>1420.5399677553783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429.63799999999998</v>
      </c>
      <c r="C8" s="33"/>
      <c r="D8" s="37">
        <f>IF( ISERROR(IND_metaal_Gas_kWH/1000),0,IND_metaal_Gas_kWH/1000)*0.902</f>
        <v>534.17071399999998</v>
      </c>
      <c r="E8" s="33">
        <f>C30*'E Balans VL '!I18/100/3.6*1000000</f>
        <v>15.459674983056988</v>
      </c>
      <c r="F8" s="33">
        <f>C30*'E Balans VL '!L18/100/3.6*1000000+C30*'E Balans VL '!N18/100/3.6*1000000</f>
        <v>187.60898723448341</v>
      </c>
      <c r="G8" s="34"/>
      <c r="H8" s="33"/>
      <c r="I8" s="33"/>
      <c r="J8" s="40">
        <f>C30*'E Balans VL '!D18/100/3.6*1000000+C30*'E Balans VL '!E18/100/3.6*1000000</f>
        <v>0</v>
      </c>
      <c r="K8" s="33"/>
      <c r="L8" s="33"/>
      <c r="M8" s="33"/>
      <c r="N8" s="33">
        <f>C30*'E Balans VL '!Y18/100/3.6*1000000</f>
        <v>21.533164590041977</v>
      </c>
      <c r="O8" s="33"/>
      <c r="P8" s="33"/>
      <c r="R8" s="32"/>
    </row>
    <row r="9" spans="1:18">
      <c r="A9" s="6" t="s">
        <v>33</v>
      </c>
      <c r="B9" s="37">
        <f t="shared" si="0"/>
        <v>421.80099999999999</v>
      </c>
      <c r="C9" s="33"/>
      <c r="D9" s="37">
        <f>IF( ISERROR(IND_andere_gas_kWh/1000),0,IND_andere_gas_kWh/1000)*0.902</f>
        <v>468.332832</v>
      </c>
      <c r="E9" s="33">
        <f>C31*'E Balans VL '!I19/100/3.6*1000000</f>
        <v>107.63407168507108</v>
      </c>
      <c r="F9" s="33">
        <f>C31*'E Balans VL '!L19/100/3.6*1000000+C31*'E Balans VL '!N19/100/3.6*1000000</f>
        <v>363.1389572043023</v>
      </c>
      <c r="G9" s="34"/>
      <c r="H9" s="33"/>
      <c r="I9" s="33"/>
      <c r="J9" s="40">
        <f>C31*'E Balans VL '!D19/100/3.6*1000000+C31*'E Balans VL '!E19/100/3.6*1000000</f>
        <v>0</v>
      </c>
      <c r="K9" s="33"/>
      <c r="L9" s="33"/>
      <c r="M9" s="33"/>
      <c r="N9" s="33">
        <f>C31*'E Balans VL '!Y19/100/3.6*1000000</f>
        <v>131.9116178756135</v>
      </c>
      <c r="O9" s="33"/>
      <c r="P9" s="33"/>
      <c r="R9" s="32"/>
    </row>
    <row r="10" spans="1:18">
      <c r="A10" s="6" t="s">
        <v>41</v>
      </c>
      <c r="B10" s="37">
        <f t="shared" si="0"/>
        <v>2899.0929999999998</v>
      </c>
      <c r="C10" s="33"/>
      <c r="D10" s="37">
        <f>IF( ISERROR(IND_voed_gas_kWh/1000),0,IND_voed_gas_kWh/1000)*0.902</f>
        <v>296.81572800000004</v>
      </c>
      <c r="E10" s="33">
        <f>C32*'E Balans VL '!I20/100/3.6*1000000</f>
        <v>73.698924840907281</v>
      </c>
      <c r="F10" s="33">
        <f>C32*'E Balans VL '!L20/100/3.6*1000000+C32*'E Balans VL '!N20/100/3.6*1000000</f>
        <v>656.02122676097702</v>
      </c>
      <c r="G10" s="34"/>
      <c r="H10" s="33"/>
      <c r="I10" s="33"/>
      <c r="J10" s="40">
        <f>C32*'E Balans VL '!D20/100/3.6*1000000+C32*'E Balans VL '!E20/100/3.6*1000000</f>
        <v>0</v>
      </c>
      <c r="K10" s="33"/>
      <c r="L10" s="33"/>
      <c r="M10" s="33"/>
      <c r="N10" s="33">
        <f>C32*'E Balans VL '!Y20/100/3.6*1000000</f>
        <v>1087.2384580067221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615.202</v>
      </c>
      <c r="C12" s="33"/>
      <c r="D12" s="37">
        <f>IF( ISERROR(IND_min_gas_kWh/1000),0,IND_min_gas_kWh/1000)*0.902</f>
        <v>0</v>
      </c>
      <c r="E12" s="33">
        <f>C34*'E Balans VL '!I22/100/3.6*1000000</f>
        <v>13.071500667080903</v>
      </c>
      <c r="F12" s="33">
        <f>C34*'E Balans VL '!L22/100/3.6*1000000+C34*'E Balans VL '!N22/100/3.6*1000000</f>
        <v>100.37544911211248</v>
      </c>
      <c r="G12" s="34"/>
      <c r="H12" s="33"/>
      <c r="I12" s="33"/>
      <c r="J12" s="40">
        <f>C34*'E Balans VL '!D22/100/3.6*1000000+C34*'E Balans VL '!E22/100/3.6*1000000</f>
        <v>0.71676774096559293</v>
      </c>
      <c r="K12" s="33"/>
      <c r="L12" s="33"/>
      <c r="M12" s="33"/>
      <c r="N12" s="33">
        <f>C34*'E Balans VL '!Y22/100/3.6*1000000</f>
        <v>0</v>
      </c>
      <c r="O12" s="33"/>
      <c r="P12" s="33"/>
      <c r="R12" s="32"/>
    </row>
    <row r="13" spans="1:18">
      <c r="A13" s="6" t="s">
        <v>39</v>
      </c>
      <c r="B13" s="37">
        <f t="shared" si="0"/>
        <v>96.224000000000004</v>
      </c>
      <c r="C13" s="33"/>
      <c r="D13" s="37">
        <f>IF( ISERROR(IND_papier_gas_kWh/1000),0,IND_papier_gas_kWh/1000)*0.902</f>
        <v>0</v>
      </c>
      <c r="E13" s="33">
        <f>C35*'E Balans VL '!I23/100/3.6*1000000</f>
        <v>0.41267674272719362</v>
      </c>
      <c r="F13" s="33">
        <f>C35*'E Balans VL '!L23/100/3.6*1000000+C35*'E Balans VL '!N23/100/3.6*1000000</f>
        <v>2.4184077802832729</v>
      </c>
      <c r="G13" s="34"/>
      <c r="H13" s="33"/>
      <c r="I13" s="33"/>
      <c r="J13" s="40">
        <f>C35*'E Balans VL '!D23/100/3.6*1000000+C35*'E Balans VL '!E23/100/3.6*1000000</f>
        <v>6.4416690330701982</v>
      </c>
      <c r="K13" s="33"/>
      <c r="L13" s="33"/>
      <c r="M13" s="33"/>
      <c r="N13" s="33">
        <f>C35*'E Balans VL '!Y23/100/3.6*1000000</f>
        <v>175.15056294023836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23.370999999999999</v>
      </c>
      <c r="C15" s="33"/>
      <c r="D15" s="37">
        <f>IF( ISERROR(IND_rest_gas_kWh/1000),0,IND_rest_gas_kWh/1000)*0.902</f>
        <v>734.21266600000001</v>
      </c>
      <c r="E15" s="33">
        <f>C37*'E Balans VL '!I15/100/3.6*1000000</f>
        <v>1.2684117113446756</v>
      </c>
      <c r="F15" s="33">
        <f>C37*'E Balans VL '!L15/100/3.6*1000000+C37*'E Balans VL '!N15/100/3.6*1000000</f>
        <v>5.0937973670044103</v>
      </c>
      <c r="G15" s="34"/>
      <c r="H15" s="33"/>
      <c r="I15" s="33"/>
      <c r="J15" s="40">
        <f>C37*'E Balans VL '!D15/100/3.6*1000000+C37*'E Balans VL '!E15/100/3.6*1000000</f>
        <v>0.18947139754368564</v>
      </c>
      <c r="K15" s="33"/>
      <c r="L15" s="33"/>
      <c r="M15" s="33"/>
      <c r="N15" s="33">
        <f>C37*'E Balans VL '!Y15/100/3.6*1000000</f>
        <v>4.706164342762305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4485.3289999999997</v>
      </c>
      <c r="C18" s="21">
        <f>C5+C16</f>
        <v>0</v>
      </c>
      <c r="D18" s="21">
        <f>MAX((D5+D16),0)</f>
        <v>2033.5319399999998</v>
      </c>
      <c r="E18" s="21">
        <f>MAX((E5+E16),0)</f>
        <v>211.54526063018812</v>
      </c>
      <c r="F18" s="21">
        <f>MAX((F5+F16),0)</f>
        <v>1314.6568254591627</v>
      </c>
      <c r="G18" s="21"/>
      <c r="H18" s="21"/>
      <c r="I18" s="21"/>
      <c r="J18" s="21">
        <f>MAX((J5+J16),0)</f>
        <v>7.3479081715794763</v>
      </c>
      <c r="K18" s="21"/>
      <c r="L18" s="21">
        <f>MAX((L5+L16),0)</f>
        <v>0</v>
      </c>
      <c r="M18" s="21"/>
      <c r="N18" s="21">
        <f>MAX((N5+N16),0)</f>
        <v>1420.5399677553783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0.19052329775833299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854.55967261108594</v>
      </c>
      <c r="C22" s="23">
        <f ca="1">C18*C20</f>
        <v>0</v>
      </c>
      <c r="D22" s="23">
        <f>D18*D20</f>
        <v>410.77345187999998</v>
      </c>
      <c r="E22" s="23">
        <f>E18*E20</f>
        <v>48.020774163052707</v>
      </c>
      <c r="F22" s="23">
        <f>F18*F20</f>
        <v>351.01337239759647</v>
      </c>
      <c r="G22" s="23"/>
      <c r="H22" s="23"/>
      <c r="I22" s="23"/>
      <c r="J22" s="23">
        <f>J18*J20</f>
        <v>2.6011594927391344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429.63799999999998</v>
      </c>
      <c r="C30" s="39">
        <f>IF(ISERROR(B30*3.6/1000000/'E Balans VL '!Z18*100),0,B30*3.6/1000000/'E Balans VL '!Z18*100)</f>
        <v>9.1031081004046055E-2</v>
      </c>
      <c r="D30" s="237" t="s">
        <v>660</v>
      </c>
    </row>
    <row r="31" spans="1:18">
      <c r="A31" s="6" t="s">
        <v>33</v>
      </c>
      <c r="B31" s="37">
        <f>IF( ISERROR(IND_ander_ele_kWh/1000),0,IND_ander_ele_kWh/1000)</f>
        <v>421.80099999999999</v>
      </c>
      <c r="C31" s="39">
        <f>IF(ISERROR(B31*3.6/1000000/'E Balans VL '!Z19*100),0,B31*3.6/1000000/'E Balans VL '!Z19*100)</f>
        <v>1.7754561858825114E-2</v>
      </c>
      <c r="D31" s="237" t="s">
        <v>660</v>
      </c>
    </row>
    <row r="32" spans="1:18">
      <c r="A32" s="171" t="s">
        <v>41</v>
      </c>
      <c r="B32" s="37">
        <f>IF( ISERROR(IND_voed_ele_kWh/1000),0,IND_voed_ele_kWh/1000)</f>
        <v>2899.0929999999998</v>
      </c>
      <c r="C32" s="39">
        <f>IF(ISERROR(B32*3.6/1000000/'E Balans VL '!Z20*100),0,B32*3.6/1000000/'E Balans VL '!Z20*100)</f>
        <v>0.48432628663135263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615.202</v>
      </c>
      <c r="C34" s="39">
        <f>IF(ISERROR(B34*3.6/1000000/'E Balans VL '!Z22*100),0,B34*3.6/1000000/'E Balans VL '!Z22*100)</f>
        <v>7.7980171274587076E-2</v>
      </c>
      <c r="D34" s="237" t="s">
        <v>660</v>
      </c>
    </row>
    <row r="35" spans="1:5">
      <c r="A35" s="171" t="s">
        <v>39</v>
      </c>
      <c r="B35" s="37">
        <f>IF( ISERROR(IND_papier_ele_kWh/1000),0,IND_papier_ele_kWh/1000)</f>
        <v>96.224000000000004</v>
      </c>
      <c r="C35" s="39">
        <f>IF(ISERROR(B35*3.6/1000000/'E Balans VL '!Z22*100),0,B35*3.6/1000000/'E Balans VL '!Z22*100)</f>
        <v>1.2196910934499346E-2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23.370999999999999</v>
      </c>
      <c r="C37" s="39">
        <f>IF(ISERROR(B37*3.6/1000000/'E Balans VL '!Z15*100),0,B37*3.6/1000000/'E Balans VL '!Z15*100)</f>
        <v>1.8868313266598007E-4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1165.886</v>
      </c>
      <c r="C5" s="17">
        <f>'Eigen informatie GS &amp; warmtenet'!B60</f>
        <v>0</v>
      </c>
      <c r="D5" s="30">
        <f>IF(ISERROR(SUM(LB_lb_gas_kWh,LB_rest_gas_kWh)/1000),0,SUM(LB_lb_gas_kWh,LB_rest_gas_kWh)/1000)*0.902</f>
        <v>509.89789400000006</v>
      </c>
      <c r="E5" s="17">
        <f>B17*'E Balans VL '!I25/3.6*1000000/100</f>
        <v>30.063723455307692</v>
      </c>
      <c r="F5" s="17">
        <f>B17*('E Balans VL '!L25/3.6*1000000+'E Balans VL '!N25/3.6*1000000)/100</f>
        <v>4261.5353622030107</v>
      </c>
      <c r="G5" s="18"/>
      <c r="H5" s="17"/>
      <c r="I5" s="17"/>
      <c r="J5" s="17">
        <f>('E Balans VL '!D25+'E Balans VL '!E25)/3.6*1000000*landbouw!B17/100</f>
        <v>167.8446949515305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1165.886</v>
      </c>
      <c r="C8" s="21">
        <f>C5+C6</f>
        <v>0</v>
      </c>
      <c r="D8" s="21">
        <f>MAX((D5+D6),0)</f>
        <v>509.89789400000006</v>
      </c>
      <c r="E8" s="21">
        <f>MAX((E5+E6),0)</f>
        <v>30.063723455307692</v>
      </c>
      <c r="F8" s="21">
        <f>MAX((F5+F6),0)</f>
        <v>4261.5353622030107</v>
      </c>
      <c r="G8" s="21"/>
      <c r="H8" s="21"/>
      <c r="I8" s="21"/>
      <c r="J8" s="21">
        <f>MAX((J5+J6),0)</f>
        <v>167.8446949515305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0.19052329775833299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222.12844553027182</v>
      </c>
      <c r="C12" s="23">
        <f ca="1">C8*C10</f>
        <v>0</v>
      </c>
      <c r="D12" s="23">
        <f>D8*D10</f>
        <v>102.99937458800002</v>
      </c>
      <c r="E12" s="23">
        <f>E8*E10</f>
        <v>6.8244652243548458</v>
      </c>
      <c r="F12" s="23">
        <f>F8*F10</f>
        <v>1137.8299417082039</v>
      </c>
      <c r="G12" s="23"/>
      <c r="H12" s="23"/>
      <c r="I12" s="23"/>
      <c r="J12" s="23">
        <f>J8*J10</f>
        <v>59.417022012841791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0.16439764865569989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77.595106708205535</v>
      </c>
      <c r="C26" s="247">
        <f>B26*'GWP N2O_CH4'!B5</f>
        <v>1629.4972408723163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55.99235433457519</v>
      </c>
      <c r="C27" s="247">
        <f>B27*'GWP N2O_CH4'!B5</f>
        <v>1175.8394410260789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1.1770608714793127</v>
      </c>
      <c r="C28" s="247">
        <f>B28*'GWP N2O_CH4'!B4</f>
        <v>364.88887015858694</v>
      </c>
      <c r="D28" s="50"/>
    </row>
    <row r="29" spans="1:4">
      <c r="A29" s="41" t="s">
        <v>277</v>
      </c>
      <c r="B29" s="247">
        <f>B34*'ha_N2O bodem landbouw'!B4</f>
        <v>10.860707847098553</v>
      </c>
      <c r="C29" s="247">
        <f>B29*'GWP N2O_CH4'!B4</f>
        <v>3366.8194326005514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2.4442494536297986E-3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7.9334834466510996E-5</v>
      </c>
      <c r="C5" s="463" t="s">
        <v>211</v>
      </c>
      <c r="D5" s="448">
        <f>SUM(D6:D11)</f>
        <v>1.8307188120207619E-4</v>
      </c>
      <c r="E5" s="448">
        <f>SUM(E6:E11)</f>
        <v>8.0842789388689996E-4</v>
      </c>
      <c r="F5" s="461" t="s">
        <v>211</v>
      </c>
      <c r="G5" s="448">
        <f>SUM(G6:G11)</f>
        <v>0.26607238597356575</v>
      </c>
      <c r="H5" s="448">
        <f>SUM(H6:H11)</f>
        <v>5.0397652050580236E-2</v>
      </c>
      <c r="I5" s="463" t="s">
        <v>211</v>
      </c>
      <c r="J5" s="463" t="s">
        <v>211</v>
      </c>
      <c r="K5" s="463" t="s">
        <v>211</v>
      </c>
      <c r="L5" s="463" t="s">
        <v>211</v>
      </c>
      <c r="M5" s="448">
        <f>SUM(M6:M11)</f>
        <v>9.8925439250164508E-3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1.5140146761779889E-5</v>
      </c>
      <c r="C6" s="449"/>
      <c r="D6" s="892">
        <f>vkm_2011_GW_PW*SUMIFS(TableVerdeelsleutelVkm[CNG],TableVerdeelsleutelVkm[Voertuigtype],"Lichte voertuigen")*SUMIFS(TableECFTransport[EnergieConsumptieFactor (PJ per km)],TableECFTransport[Index],CONCATENATE($A6,"_CNG_CNG"))</f>
        <v>3.0083736818559138E-5</v>
      </c>
      <c r="E6" s="892">
        <f>vkm_2011_GW_PW*SUMIFS(TableVerdeelsleutelVkm[LPG],TableVerdeelsleutelVkm[Voertuigtype],"Lichte voertuigen")*SUMIFS(TableECFTransport[EnergieConsumptieFactor (PJ per km)],TableECFTransport[Index],CONCATENATE($A6,"_LPG_LPG"))</f>
        <v>1.1839028859224702E-4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2.8149148419560521E-2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8.1445726059974129E-3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1.130945861268394E-3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2.4634788484478192E-3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7.9580889187161102E-7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7.7620449204566047E-5</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1.352890909294469E-5</v>
      </c>
      <c r="C8" s="449"/>
      <c r="D8" s="451">
        <f>vkm_2011_NGW_PW*SUMIFS(TableVerdeelsleutelVkm[CNG],TableVerdeelsleutelVkm[Voertuigtype],"Lichte voertuigen")*SUMIFS(TableECFTransport[EnergieConsumptieFactor (PJ per km)],TableECFTransport[Index],CONCATENATE($A8,"_CNG_CNG"))</f>
        <v>4.7598533265628528E-5</v>
      </c>
      <c r="E8" s="451">
        <f>vkm_2011_NGW_PW*SUMIFS(TableVerdeelsleutelVkm[LPG],TableVerdeelsleutelVkm[Voertuigtype],"Lichte voertuigen")*SUMIFS(TableECFTransport[EnergieConsumptieFactor (PJ per km)],TableECFTransport[Index],CONCATENATE($A8,"_LPG_LPG"))</f>
        <v>1.7323540198804199E-4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3.8463129065794556E-2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1.2495311983309401E-2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1.5863163853626586E-3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1.6326975276479338E-4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4.9880293851078878E-8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5.1442942295676393E-6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5.0665778611786411E-5</v>
      </c>
      <c r="C10" s="449"/>
      <c r="D10" s="451">
        <f>vkm_2011_SW_PW*SUMIFS(TableVerdeelsleutelVkm[CNG],TableVerdeelsleutelVkm[Voertuigtype],"Lichte voertuigen")*SUMIFS(TableECFTransport[EnergieConsumptieFactor (PJ per km)],TableECFTransport[Index],CONCATENATE($A10,"_CNG_CNG"))</f>
        <v>1.0538961111788853E-4</v>
      </c>
      <c r="E10" s="451">
        <f>vkm_2011_SW_PW*SUMIFS(TableVerdeelsleutelVkm[LPG],TableVerdeelsleutelVkm[Voertuigtype],"Lichte voertuigen")*SUMIFS(TableECFTransport[EnergieConsumptieFactor (PJ per km)],TableECFTransport[Index],CONCATENATE($A10,"_LPG_LPG"))</f>
        <v>5.1680220330661093E-4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0.11007293557586134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2.9726724069812731E-2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4.358763618277378E-3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8.6760424311136716E-2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3.0197702274972525E-5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2.733753316673887E-3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22.037454018475277</v>
      </c>
      <c r="C14" s="21"/>
      <c r="D14" s="21">
        <f t="shared" ref="D14:M14" si="0">((D5)*10^9/3600)+D12</f>
        <v>50.853300333910049</v>
      </c>
      <c r="E14" s="21">
        <f t="shared" si="0"/>
        <v>224.56330385747219</v>
      </c>
      <c r="F14" s="21"/>
      <c r="G14" s="21">
        <f t="shared" si="0"/>
        <v>73908.996103768266</v>
      </c>
      <c r="H14" s="21">
        <f t="shared" si="0"/>
        <v>13999.347791827842</v>
      </c>
      <c r="I14" s="21"/>
      <c r="J14" s="21"/>
      <c r="K14" s="21"/>
      <c r="L14" s="21"/>
      <c r="M14" s="21">
        <f t="shared" si="0"/>
        <v>2747.9288680601253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0.19052329775833299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4.1986484137975371</v>
      </c>
      <c r="C18" s="23"/>
      <c r="D18" s="23">
        <f t="shared" ref="D18:M18" si="1">D14*D16</f>
        <v>10.27236666744983</v>
      </c>
      <c r="E18" s="23">
        <f t="shared" si="1"/>
        <v>50.975869975646191</v>
      </c>
      <c r="F18" s="23"/>
      <c r="G18" s="23">
        <f t="shared" si="1"/>
        <v>19733.70195970613</v>
      </c>
      <c r="H18" s="23">
        <f t="shared" si="1"/>
        <v>3485.8376001651327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1.797882075779988E-3</v>
      </c>
      <c r="H50" s="321">
        <f t="shared" si="2"/>
        <v>0</v>
      </c>
      <c r="I50" s="321">
        <f t="shared" si="2"/>
        <v>0</v>
      </c>
      <c r="J50" s="321">
        <f t="shared" si="2"/>
        <v>0</v>
      </c>
      <c r="K50" s="321">
        <f t="shared" si="2"/>
        <v>0</v>
      </c>
      <c r="L50" s="321">
        <f t="shared" si="2"/>
        <v>0</v>
      </c>
      <c r="M50" s="321">
        <f t="shared" si="2"/>
        <v>5.5766279801118718E-5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1.797882075779988E-3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5.5766279801118718E-5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499.41168771666332</v>
      </c>
      <c r="H54" s="21">
        <f t="shared" si="3"/>
        <v>0</v>
      </c>
      <c r="I54" s="21">
        <f t="shared" si="3"/>
        <v>0</v>
      </c>
      <c r="J54" s="21">
        <f t="shared" si="3"/>
        <v>0</v>
      </c>
      <c r="K54" s="21">
        <f t="shared" si="3"/>
        <v>0</v>
      </c>
      <c r="L54" s="21">
        <f t="shared" si="3"/>
        <v>0</v>
      </c>
      <c r="M54" s="21">
        <f t="shared" si="3"/>
        <v>15.490633278088533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0.19052329775833299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133.3429206203491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4472.9584451625979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4472.9584451625979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2019-08-12T08:26:36Z</dcterms:modified>
</cp:coreProperties>
</file>