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O48"/>
  <c r="M48"/>
  <c r="L48"/>
  <c r="K48"/>
  <c r="J48"/>
  <c r="G48"/>
  <c r="D48"/>
  <c r="Q18"/>
  <c r="Q22" s="1"/>
  <c r="P18"/>
  <c r="P22" s="1"/>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R25"/>
  <c r="E25"/>
  <c r="E55" s="1"/>
  <c r="C25"/>
  <c r="Q26"/>
  <c r="P26"/>
  <c r="N26"/>
  <c r="L26"/>
  <c r="L22"/>
  <c r="O22"/>
  <c r="R12"/>
  <c r="N19" i="59" l="1"/>
  <c r="N90" i="14"/>
  <c r="L18" i="59"/>
  <c r="L20" s="1"/>
  <c r="L90" i="14"/>
  <c r="K18" i="59"/>
  <c r="K90" i="14"/>
  <c r="H90"/>
  <c r="H18" i="59"/>
  <c r="L78" i="14"/>
  <c r="L8" i="59"/>
  <c r="L10" s="1"/>
  <c r="H10"/>
  <c r="O29" i="48"/>
  <c r="K10" i="18"/>
  <c r="R9" i="14"/>
  <c r="N20" i="59"/>
  <c r="O31" i="48"/>
  <c r="B20" i="18"/>
  <c r="K20" i="59"/>
  <c r="K78" i="14"/>
  <c r="B72"/>
  <c r="B4" i="59" s="1"/>
  <c r="B98" i="18"/>
  <c r="I102" s="1"/>
  <c r="H17" s="1"/>
  <c r="H78" i="14"/>
  <c r="H8" i="59"/>
  <c r="O78" i="14"/>
  <c r="O9" i="59"/>
  <c r="O10" s="1"/>
  <c r="H20"/>
  <c r="O90" i="14"/>
  <c r="E20" i="59"/>
  <c r="O25" i="48"/>
  <c r="F13" i="15"/>
  <c r="G78" i="14"/>
  <c r="N10" i="59"/>
  <c r="B8" i="18"/>
  <c r="B10" s="1"/>
  <c r="O19"/>
  <c r="L13" i="15"/>
  <c r="N13"/>
  <c r="Q77" i="14"/>
  <c r="P9" i="59" s="1"/>
  <c r="O9" i="18"/>
  <c r="O18"/>
  <c r="B89" i="14"/>
  <c r="B19" i="59" s="1"/>
  <c r="G88" i="14"/>
  <c r="B88" s="1"/>
  <c r="B18" i="59" s="1"/>
  <c r="F89" i="14"/>
  <c r="I101" i="18"/>
  <c r="H8" s="1"/>
  <c r="E101"/>
  <c r="E8" s="1"/>
  <c r="H101"/>
  <c r="D101"/>
  <c r="G101"/>
  <c r="C101"/>
  <c r="F101"/>
  <c r="B101"/>
  <c r="C8" s="1"/>
  <c r="H102"/>
  <c r="D102"/>
  <c r="G102"/>
  <c r="C102"/>
  <c r="F102"/>
  <c r="B102"/>
  <c r="C17" s="1"/>
  <c r="B77" i="14"/>
  <c r="B9" i="59" s="1"/>
  <c r="Q14" i="48"/>
  <c r="O24"/>
  <c r="O30"/>
  <c r="P24"/>
  <c r="P30"/>
  <c r="C77" i="14"/>
  <c r="C9" i="59" s="1"/>
  <c r="C88" i="14"/>
  <c r="C18" i="59" s="1"/>
  <c r="E78" i="14"/>
  <c r="E90"/>
  <c r="N78"/>
  <c r="E102" i="18" l="1"/>
  <c r="E17" s="1"/>
  <c r="G90" i="14"/>
  <c r="G18" i="59"/>
  <c r="G20" s="1"/>
  <c r="C89" i="14"/>
  <c r="C19" i="59" s="1"/>
  <c r="F19"/>
  <c r="Q88" i="14"/>
  <c r="P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O17" i="18"/>
  <c r="O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8"/>
  <c r="I32"/>
  <c r="I25"/>
  <c r="I29"/>
  <c r="I26"/>
  <c r="I27"/>
  <c r="I31"/>
  <c r="I24"/>
  <c r="I22"/>
  <c r="I30"/>
  <c r="E11" i="14"/>
  <c r="D4" i="48"/>
  <c r="D22" s="1"/>
  <c r="G25"/>
  <c r="G29"/>
  <c r="G26"/>
  <c r="G32"/>
  <c r="G30"/>
  <c r="G24"/>
  <c r="G22"/>
  <c r="G23"/>
  <c r="B4"/>
  <c r="C11" i="14"/>
  <c r="N32" i="48"/>
  <c r="N28"/>
  <c r="N29"/>
  <c r="N30"/>
  <c r="N24"/>
  <c r="N27"/>
  <c r="N31"/>
  <c r="M32"/>
  <c r="M26"/>
  <c r="M22"/>
  <c r="M24"/>
  <c r="M29"/>
  <c r="M25"/>
  <c r="M30"/>
  <c r="M23"/>
  <c r="J28"/>
  <c r="J31"/>
  <c r="J27"/>
  <c r="J32"/>
  <c r="J30"/>
  <c r="J29"/>
  <c r="J24"/>
  <c r="P4"/>
  <c r="Q11" i="14"/>
  <c r="H29" i="48"/>
  <c r="H32"/>
  <c r="H25"/>
  <c r="H26"/>
  <c r="H24"/>
  <c r="H28"/>
  <c r="H22"/>
  <c r="H30"/>
  <c r="H23"/>
  <c r="D11" i="14"/>
  <c r="C4" i="48"/>
  <c r="F32"/>
  <c r="F29"/>
  <c r="F28"/>
  <c r="F27"/>
  <c r="F31"/>
  <c r="F30"/>
  <c r="F24"/>
  <c r="B10"/>
  <c r="C19" i="14"/>
  <c r="E32" i="48"/>
  <c r="E28"/>
  <c r="E29"/>
  <c r="E30"/>
  <c r="E31"/>
  <c r="E24"/>
  <c r="L10" i="14"/>
  <c r="L16" s="1"/>
  <c r="L27" s="1"/>
  <c r="K5" i="48"/>
  <c r="D28"/>
  <c r="D32"/>
  <c r="D30"/>
  <c r="D24"/>
  <c r="D31"/>
  <c r="D29"/>
  <c r="L27"/>
  <c r="L32"/>
  <c r="L28"/>
  <c r="L31"/>
  <c r="L24"/>
  <c r="L29"/>
  <c r="L22"/>
  <c r="L30"/>
  <c r="P5"/>
  <c r="P23" s="1"/>
  <c r="Q10" i="14"/>
  <c r="K27" i="48"/>
  <c r="K32"/>
  <c r="K28"/>
  <c r="K30"/>
  <c r="K25"/>
  <c r="K26"/>
  <c r="K24"/>
  <c r="K31"/>
  <c r="K29"/>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Q13"/>
  <c r="P8" i="48"/>
  <c r="P26" s="1"/>
  <c r="I20" i="15"/>
  <c r="J40" i="14" s="1"/>
  <c r="J46" s="1"/>
  <c r="J61" s="1"/>
  <c r="O22" i="48"/>
  <c r="G13"/>
  <c r="H18" i="14"/>
  <c r="H13" i="48"/>
  <c r="H31" s="1"/>
  <c r="I18" i="14"/>
  <c r="F20"/>
  <c r="F22" s="1"/>
  <c r="E9" i="48"/>
  <c r="E27" s="1"/>
  <c r="K23"/>
  <c r="K15"/>
  <c r="E20" i="14"/>
  <c r="E22" s="1"/>
  <c r="D9" i="48"/>
  <c r="D27" s="1"/>
  <c r="P10" i="14"/>
  <c r="O5" i="48"/>
  <c r="O23" s="1"/>
  <c r="K24" i="14"/>
  <c r="K26" s="1"/>
  <c r="J7" i="48"/>
  <c r="J25" s="1"/>
  <c r="P15"/>
  <c r="P22"/>
  <c r="P33" s="1"/>
  <c r="C20" i="14"/>
  <c r="B9" i="48"/>
  <c r="Q16" i="14"/>
  <c r="Q27" s="1"/>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I23" i="48"/>
  <c r="I33" s="1"/>
  <c r="I15"/>
  <c r="J4"/>
  <c r="K11" i="14"/>
  <c r="O22" i="16"/>
  <c r="P43" i="14" s="1"/>
  <c r="O8" i="48"/>
  <c r="O26" s="1"/>
  <c r="P13" i="14"/>
  <c r="N19"/>
  <c r="M10" i="48"/>
  <c r="M28" s="1"/>
  <c r="R18" i="14"/>
  <c r="P46"/>
  <c r="P61" s="1"/>
  <c r="M14" i="22"/>
  <c r="C22" i="14"/>
  <c r="G10" i="48"/>
  <c r="H19" i="14"/>
  <c r="E12" i="13"/>
  <c r="F41" i="14" s="1"/>
  <c r="F11"/>
  <c r="E4" i="48"/>
  <c r="E7"/>
  <c r="E25" s="1"/>
  <c r="F24" i="14"/>
  <c r="F26" s="1"/>
  <c r="I20"/>
  <c r="I22" s="1"/>
  <c r="I27" s="1"/>
  <c r="H9" i="48"/>
  <c r="G31"/>
  <c r="Q13"/>
  <c r="P16" i="14"/>
  <c r="P27" s="1"/>
  <c r="J63"/>
  <c r="Q63"/>
  <c r="O15" i="48"/>
  <c r="G14" i="22"/>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N22"/>
  <c r="N27" s="1"/>
  <c r="I63"/>
  <c r="J5" i="48"/>
  <c r="J23" s="1"/>
  <c r="K10" i="14"/>
  <c r="N20"/>
  <c r="M9" i="48"/>
  <c r="G28"/>
  <c r="Q10"/>
  <c r="G9"/>
  <c r="H20" i="14"/>
  <c r="E22" i="48"/>
  <c r="Q4"/>
  <c r="E5"/>
  <c r="E23" s="1"/>
  <c r="F10" i="14"/>
  <c r="R19"/>
  <c r="P63"/>
  <c r="M18" i="22"/>
  <c r="N50" i="14" s="1"/>
  <c r="R11"/>
  <c r="J20" i="15"/>
  <c r="K40" i="14" s="1"/>
  <c r="H27" i="48"/>
  <c r="H33" s="1"/>
  <c r="H15"/>
  <c r="J22"/>
  <c r="R24" i="14"/>
  <c r="R26" s="1"/>
  <c r="Q7" i="48"/>
  <c r="E20" i="15"/>
  <c r="F40" i="14" s="1"/>
  <c r="J18" i="16"/>
  <c r="E18"/>
  <c r="F18"/>
  <c r="F22" s="1"/>
  <c r="G43" i="14" s="1"/>
  <c r="N18" i="16"/>
  <c r="G18" i="22"/>
  <c r="H50" i="14" s="1"/>
  <c r="H52" s="1"/>
  <c r="H61" s="1"/>
  <c r="E22" i="16"/>
  <c r="F43" i="14" s="1"/>
  <c r="H18" i="22"/>
  <c r="I50" i="14" s="1"/>
  <c r="I52" s="1"/>
  <c r="I61" s="1"/>
  <c r="G27" i="48" l="1"/>
  <c r="G33" s="1"/>
  <c r="G15"/>
  <c r="Q9"/>
  <c r="H22" i="14"/>
  <c r="H27" s="1"/>
  <c r="H63" s="1"/>
  <c r="R20"/>
  <c r="R22" s="1"/>
  <c r="J22" i="16"/>
  <c r="K43" i="14" s="1"/>
  <c r="K46" s="1"/>
  <c r="K61" s="1"/>
  <c r="K63" s="1"/>
  <c r="J8" i="48"/>
  <c r="K13" i="14"/>
  <c r="E8" i="48"/>
  <c r="F13" i="14"/>
  <c r="F16" s="1"/>
  <c r="F27" s="1"/>
  <c r="M27" i="48"/>
  <c r="M33" s="1"/>
  <c r="M15"/>
  <c r="F46" i="14"/>
  <c r="F61" s="1"/>
  <c r="K16"/>
  <c r="K27" s="1"/>
  <c r="N8" i="48"/>
  <c r="N26" s="1"/>
  <c r="O13" i="14"/>
  <c r="N22" i="16"/>
  <c r="O43" i="14" s="1"/>
  <c r="G13"/>
  <c r="F8" i="48"/>
  <c r="E26" l="1"/>
  <c r="E33" s="1"/>
  <c r="E15"/>
  <c r="J26"/>
  <c r="J33" s="1"/>
  <c r="J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<sst xmlns="http://schemas.openxmlformats.org/spreadsheetml/2006/main" count="2408" uniqueCount="898">
  <si>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</si>
  <si>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</si>
  <si>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</si>
  <si>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</si>
  <si>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</si>
  <si>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</si>
  <si>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</si>
  <si>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</si>
  <si>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</si>
  <si>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</si>
  <si>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</si>
  <si>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</si>
  <si>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</si>
  <si>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</si>
  <si>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</si>
  <si>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</si>
  <si>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</si>
  <si>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</si>
  <si>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</si>
  <si>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</si>
  <si>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</si>
  <si>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</si>
  <si>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</si>
  <si>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</si>
  <si>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</si>
  <si>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</si>
  <si>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</si>
  <si>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</si>
  <si>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</si>
  <si>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</si>
  <si>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</si>
  <si>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</si>
  <si>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</si>
  <si>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</si>
  <si>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</si>
  <si>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</si>
  <si>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</si>
  <si>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</si>
  <si>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</si>
  <si>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</si>
  <si>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</si>
  <si>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</si>
  <si>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</si>
  <si>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</si>
  <si>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</si>
  <si>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</si>
  <si>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</si>
  <si>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</si>
  <si>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</si>
  <si>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</si>
  <si>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</si>
  <si>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</si>
  <si>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</si>
  <si>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</si>
  <si>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</si>
  <si>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</si>
  <si>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</si>
  <si>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</si>
  <si>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</si>
  <si>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</si>
  <si>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</si>
  <si>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</si>
  <si>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</si>
  <si>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</si>
  <si>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</si>
  <si>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</si>
  <si>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</si>
  <si>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</si>
  <si>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</si>
  <si>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</si>
  <si>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</si>
  <si>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</si>
  <si>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</si>
  <si>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</si>
  <si>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</si>
  <si>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</si>
  <si>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</si>
  <si>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</si>
  <si>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</si>
  <si>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</si>
  <si>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</si>
  <si>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</si>
  <si>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</si>
  <si>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</si>
  <si>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</si>
  <si>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</si>
  <si>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</si>
  <si>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</si>
  <si>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</si>
  <si>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</si>
  <si>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</si>
  <si>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</si>
  <si>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</si>
  <si>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</si>
  <si>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</si>
  <si>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</si>
  <si>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</si>
  <si>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</si>
  <si>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</si>
  <si>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</si>
  <si>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</si>
  <si>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</si>
  <si>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</si>
  <si>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</si>
  <si>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</si>
  <si>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</si>
  <si>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</si>
  <si>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</si>
  <si>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</si>
  <si>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</si>
  <si>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</si>
  <si>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</si>
  <si>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</si>
  <si>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</si>
  <si>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</si>
  <si>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</si>
  <si>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</si>
  <si>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</si>
  <si>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</si>
  <si>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</si>
  <si>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</si>
  <si>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</si>
  <si>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</si>
  <si>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</si>
  <si>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</si>
  <si>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</si>
  <si>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</si>
  <si>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</si>
  <si>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</si>
  <si>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</si>
  <si>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</si>
  <si>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</si>
  <si>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</si>
  <si>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</si>
  <si>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</si>
  <si>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</si>
  <si>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</si>
  <si>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</si>
  <si>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</si>
  <si>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</si>
  <si>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</si>
  <si>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</si>
  <si>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</si>
  <si>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</si>
  <si>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</si>
  <si>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</si>
  <si>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</si>
  <si>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</si>
  <si>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</si>
  <si>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</si>
  <si>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</si>
  <si>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</si>
  <si>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</si>
  <si>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</si>
  <si>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</si>
  <si>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</si>
  <si>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</si>
  <si>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</si>
  <si>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</si>
  <si>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</si>
  <si>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</si>
  <si>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</si>
  <si>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</si>
  <si>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</si>
  <si>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</si>
  <si>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</si>
  <si>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</si>
  <si>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</si>
  <si>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</si>
  <si>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</si>
  <si>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</si>
  <si>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</si>
  <si>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</si>
  <si>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</si>
  <si>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</si>
  <si>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</si>
  <si>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</si>
  <si>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</si>
  <si>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</si>
  <si>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</si>
  <si>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</si>
  <si>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</si>
  <si>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</si>
  <si>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</si>
  <si>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</si>
  <si>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</si>
  <si>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</si>
  <si>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</si>
  <si>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</si>
  <si>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</si>
  <si>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</si>
  <si>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</si>
  <si>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</si>
  <si>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</si>
  <si>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</si>
  <si>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</si>
  <si>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</si>
  <si>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</si>
  <si>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</si>
  <si>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</si>
  <si>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</si>
  <si>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</si>
  <si>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</si>
  <si>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</si>
  <si>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</si>
  <si>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</si>
  <si>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</si>
  <si>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</si>
  <si>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</si>
  <si>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</si>
  <si>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</si>
  <si>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</si>
  <si>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</si>
  <si>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</si>
  <si>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</si>
  <si>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</si>
  <si>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</si>
  <si>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</si>
  <si>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</si>
  <si>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</si>
  <si>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</si>
  <si>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</si>
  <si>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</si>
  <si>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</si>
  <si>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</si>
  <si>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</si>
  <si>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</si>
  <si>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</si>
  <si>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</si>
  <si>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</si>
  <si>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</si>
  <si>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</si>
  <si>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</si>
  <si>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</si>
  <si>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</si>
  <si>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</si>
  <si>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</si>
  <si>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</si>
  <si>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</si>
  <si>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</si>
  <si>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</si>
  <si>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</si>
  <si>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</si>
  <si>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</si>
  <si>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</si>
  <si>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</si>
  <si>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</si>
  <si>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</si>
  <si>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</si>
  <si>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</si>
  <si>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</si>
  <si>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</si>
  <si>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</si>
  <si>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</si>
  <si>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</si>
  <si>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</si>
  <si>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</si>
  <si>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</si>
  <si>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</si>
  <si>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</si>
  <si>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</si>
  <si>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</si>
  <si>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</si>
  <si>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</si>
  <si>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</si>
  <si>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</si>
  <si>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</si>
  <si>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</si>
  <si>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</si>
  <si>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</si>
  <si>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</si>
  <si>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</si>
  <si>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</si>
  <si>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</si>
  <si>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</si>
  <si>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</si>
  <si>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</si>
  <si>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</si>
  <si>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</si>
  <si>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</si>
  <si>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</si>
  <si>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</si>
  <si>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</si>
  <si>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</si>
  <si>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</si>
  <si>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</si>
  <si>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</si>
  <si>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</si>
  <si>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</si>
  <si>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</si>
  <si>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</si>
  <si>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</si>
  <si>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</si>
  <si>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</si>
  <si>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</si>
  <si>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</si>
  <si>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</si>
  <si>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</si>
  <si>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</si>
  <si>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</si>
  <si>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</si>
  <si>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</si>
  <si>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</si>
  <si>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</si>
  <si>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</si>
  <si>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</si>
  <si>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</si>
  <si>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</si>
  <si>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</si>
  <si>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</si>
  <si>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</si>
  <si>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</si>
  <si>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</si>
  <si>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</si>
  <si>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</si>
  <si>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</si>
  <si>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</si>
  <si>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</si>
  <si>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</si>
  <si>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</si>
  <si>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</si>
  <si>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</si>
  <si>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</si>
  <si>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</si>
  <si>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</si>
  <si>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</si>
  <si>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</si>
  <si>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</si>
  <si>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</si>
  <si>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</si>
  <si>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</si>
  <si>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</si>
  <si>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</si>
  <si>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</si>
  <si>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</si>
  <si>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</si>
  <si>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</si>
  <si>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</si>
  <si>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</si>
  <si>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</si>
  <si>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</si>
  <si>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</si>
  <si>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</si>
  <si>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</si>
  <si>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</si>
  <si>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</si>
  <si>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</si>
  <si>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</si>
  <si>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</si>
  <si>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</si>
  <si>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</si>
  <si>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</si>
  <si>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</si>
  <si>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</si>
  <si>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</si>
  <si>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</si>
  <si>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</si>
  <si>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</si>
  <si>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</si>
  <si>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</si>
  <si>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</si>
  <si>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</si>
  <si>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</si>
  <si>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</si>
  <si>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</si>
  <si>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</si>
  <si>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</si>
  <si>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</si>
  <si>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</si>
  <si>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</si>
  <si>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</si>
  <si>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</si>
  <si>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</si>
  <si>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</si>
  <si>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</si>
  <si>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</si>
  <si>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</si>
  <si>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</si>
  <si>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</si>
  <si>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</si>
  <si>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</si>
  <si>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</si>
  <si>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</si>
  <si>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</si>
  <si>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</si>
  <si>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</si>
  <si>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</si>
  <si>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</si>
  <si>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</si>
  <si>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</si>
  <si>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</si>
  <si>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</si>
  <si>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</si>
  <si>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</si>
  <si>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</si>
  <si>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</si>
  <si>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</si>
  <si>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</si>
  <si>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</si>
  <si>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</si>
  <si>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</si>
  <si>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</si>
  <si>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</si>
  <si>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</si>
  <si>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</si>
  <si>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</si>
  <si>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</si>
  <si>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</si>
  <si>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</si>
  <si>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</si>
  <si>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</si>
  <si>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</si>
  <si>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</si>
  <si>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</si>
  <si>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</si>
  <si>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</si>
  <si>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</si>
  <si>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</si>
  <si>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</si>
  <si>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</si>
  <si>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</si>
  <si>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</si>
  <si>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</si>
  <si>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</si>
  <si>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</si>
  <si>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</si>
  <si>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</si>
  <si>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</si>
  <si>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</si>
  <si>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</si>
  <si>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</si>
  <si>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</si>
  <si>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</si>
  <si>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</si>
  <si>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</si>
  <si>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</si>
  <si>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</si>
  <si>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</si>
  <si>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</si>
  <si>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</si>
  <si>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</si>
  <si>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</si>
  <si>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</si>
  <si>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</si>
  <si>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</si>
  <si>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</si>
  <si>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</si>
  <si>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</si>
  <si>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</si>
  <si>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</si>
  <si>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</si>
  <si>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</si>
  <si>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</si>
  <si>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</si>
  <si>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</si>
  <si>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</si>
  <si>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</si>
  <si>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</si>
  <si>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</si>
  <si>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</si>
  <si>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</si>
  <si>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</si>
  <si>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</si>
  <si>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</si>
  <si>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</si>
  <si>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</si>
  <si>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</si>
  <si>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</si>
  <si>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</si>
  <si>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</si>
  <si>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</si>
  <si>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</si>
  <si>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</si>
  <si>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</si>
  <si>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</si>
  <si>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</si>
  <si>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</si>
  <si>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</si>
  <si>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</si>
  <si>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</si>
  <si>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</si>
  <si>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</si>
  <si>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</si>
  <si>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</si>
  <si>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</si>
  <si>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</si>
  <si>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</si>
  <si>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</si>
  <si>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</si>
  <si>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</si>
  <si>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</si>
  <si>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</si>
  <si>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</si>
  <si>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</si>
  <si>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</si>
  <si>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</si>
  <si>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</si>
  <si>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</si>
  <si>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</si>
  <si>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</si>
  <si>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</si>
  <si>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</si>
  <si>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</si>
  <si>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</si>
  <si>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</si>
  <si>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</si>
  <si>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</si>
  <si>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</si>
  <si>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</si>
  <si>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</si>
  <si>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</si>
  <si>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</si>
  <si>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</si>
  <si>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</si>
  <si>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</si>
  <si>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</si>
  <si>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</si>
  <si>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</si>
  <si>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</si>
  <si>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</si>
  <si>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</si>
  <si>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</si>
  <si>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</si>
  <si>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</si>
  <si>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</si>
  <si>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</si>
  <si>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</si>
  <si>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</si>
  <si>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</si>
  <si>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</si>
  <si>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</si>
  <si>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</si>
  <si>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</si>
  <si>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</si>
  <si>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</si>
  <si>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</si>
  <si>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</si>
  <si>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</si>
  <si>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</si>
  <si>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</si>
  <si>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</si>
  <si>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</si>
  <si>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</si>
  <si>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</si>
  <si>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</si>
  <si>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</si>
  <si>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</si>
  <si>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</si>
  <si>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</si>
  <si>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</si>
  <si>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</si>
  <si>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</si>
  <si>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</si>
  <si>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</si>
  <si>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</si>
  <si>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</si>
  <si>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</si>
  <si>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</si>
  <si>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</si>
  <si>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</si>
  <si>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</si>
  <si>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</si>
  <si>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</si>
  <si>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</si>
  <si>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</si>
  <si>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</si>
  <si>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</si>
  <si>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</si>
  <si>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</si>
  <si>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</si>
  <si>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</si>
  <si>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</si>
  <si>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</si>
  <si>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</si>
  <si>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</si>
  <si>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</si>
  <si>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</si>
  <si>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</si>
  <si>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</si>
  <si>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</si>
  <si>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</si>
  <si>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</si>
  <si>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</si>
  <si>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</si>
  <si>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</si>
  <si>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</si>
  <si>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</si>
  <si>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</si>
  <si>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</si>
  <si>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</si>
  <si>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</si>
  <si>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</si>
  <si>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</si>
  <si>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</si>
  <si>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</si>
  <si>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</si>
  <si>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</si>
  <si>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</si>
  <si>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</si>
  <si>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</si>
  <si>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</si>
  <si>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</si>
  <si>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</si>
  <si>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</si>
  <si>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</si>
  <si>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</si>
  <si>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</si>
  <si>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</si>
  <si>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</si>
  <si>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</si>
  <si>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</si>
  <si>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</si>
  <si>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</si>
  <si>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</si>
  <si>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</si>
  <si>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</si>
  <si>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</si>
  <si>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</si>
  <si>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</si>
  <si>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</si>
  <si>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</si>
  <si>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</si>
  <si>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</si>
  <si>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</si>
  <si>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</si>
  <si>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</si>
  <si>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</si>
  <si>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</si>
  <si>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</si>
  <si>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</si>
  <si>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</si>
  <si>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</si>
  <si>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</si>
  <si>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</si>
  <si>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</si>
  <si>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</si>
  <si>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</si>
  <si>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</si>
  <si>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</si>
  <si>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</si>
  <si>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</si>
  <si>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</si>
  <si>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</si>
  <si>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</si>
  <si>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</si>
  <si>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</si>
  <si>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</si>
  <si>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</si>
  <si>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</si>
  <si>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</si>
  <si>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</si>
  <si>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</si>
  <si>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</si>
  <si>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</si>
  <si>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</si>
  <si>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</si>
  <si>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</si>
  <si>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</si>
  <si>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</si>
  <si>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</si>
  <si>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</si>
  <si>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</si>
  <si>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</si>
  <si>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</si>
  <si>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</si>
  <si>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</si>
  <si>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</si>
  <si>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</si>
  <si>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</si>
  <si>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</si>
  <si>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</si>
  <si>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</si>
  <si>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</si>
  <si>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</si>
  <si>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</si>
  <si>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</si>
  <si>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</si>
  <si>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</si>
  <si>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</si>
  <si>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</si>
  <si>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</si>
  <si>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</si>
  <si>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</si>
  <si>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</si>
  <si>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</si>
  <si>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</si>
  <si>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</si>
  <si>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</si>
  <si>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</si>
  <si>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</si>
  <si>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</si>
  <si>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</si>
  <si>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</si>
  <si>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</si>
  <si>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</si>
  <si>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</si>
  <si>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</si>
  <si>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</si>
  <si>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</si>
  <si>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</si>
  <si>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</si>
  <si>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</si>
  <si>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</si>
  <si>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</si>
  <si>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</si>
  <si>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</si>
  <si>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</si>
  <si>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</si>
  <si>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</si>
  <si>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</si>
  <si>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</si>
  <si>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</si>
  <si>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</si>
  <si>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</si>
  <si>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</si>
  <si>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</si>
  <si>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</si>
  <si>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</si>
  <si>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</si>
  <si>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</si>
  <si>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</si>
  <si>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</si>
  <si>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</si>
  <si>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</si>
  <si>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</si>
  <si>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</si>
  <si>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</si>
  <si>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</si>
  <si>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</si>
  <si>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</si>
  <si>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</si>
  <si>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</si>
  <si>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</si>
  <si>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</si>
  <si>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</si>
  <si>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</si>
  <si>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</si>
  <si>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</si>
  <si>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</si>
  <si>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</si>
  <si>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</si>
  <si>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</si>
  <si>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</si>
  <si>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</si>
  <si>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</si>
  <si>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</si>
  <si>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</si>
  <si>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</si>
  <si>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</si>
  <si>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</si>
  <si>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</si>
  <si>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</si>
  <si>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</si>
  <si>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</si>
  <si>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</si>
  <si>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</si>
  <si>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</si>
  <si>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</si>
  <si>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</si>
  <si>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</si>
  <si>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</si>
  <si>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</si>
  <si>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</si>
  <si>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</si>
  <si>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</si>
  <si>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</si>
  <si>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</si>
  <si>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</si>
  <si>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</si>
  <si>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</si>
  <si>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</si>
  <si>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</si>
  <si>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</si>
  <si>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</si>
  <si>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</si>
  <si>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</si>
  <si>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</si>
  <si>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</si>
  <si>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</si>
  <si>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</si>
  <si>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</si>
  <si>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</si>
  <si>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</si>
  <si>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</si>
  <si>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</si>
  <si>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</si>
  <si>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</si>
  <si>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</si>
  <si>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</si>
  <si>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</si>
  <si>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</si>
  <si>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</si>
  <si>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</si>
  <si>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</si>
  <si>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</si>
  <si>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</si>
  <si>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</si>
  <si>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</si>
  <si>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</si>
  <si>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</si>
  <si>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</si>
  <si>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</si>
  <si>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</si>
  <si>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</si>
  <si>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</si>
  <si>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</si>
  <si>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</si>
  <si>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</si>
  <si>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</si>
  <si>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</si>
  <si>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</si>
  <si>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</si>
  <si>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</si>
  <si>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</si>
  <si>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</si>
  <si>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</si>
  <si>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</si>
  <si>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</si>
  <si>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</si>
  <si>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</si>
  <si>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</si>
  <si>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</si>
  <si>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</si>
  <si>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</si>
  <si>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</si>
  <si>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</si>
  <si>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</si>
  <si>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</si>
  <si>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</si>
  <si>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</si>
  <si>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</si>
  <si>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</si>
  <si>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</si>
  <si>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</si>
  <si>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</si>
  <si>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</si>
  <si>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</si>
  <si>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</si>
  <si>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</si>
  <si>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</si>
  <si>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</si>
  <si>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</si>
  <si>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</si>
  <si>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</si>
  <si>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</si>
  <si>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</si>
  <si>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</si>
  <si>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</si>
  <si>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</si>
  <si>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</si>
  <si>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</si>
  <si>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</si>
  <si>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</si>
  <si>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</si>
  <si>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</si>
  <si>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</si>
  <si>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</si>
  <si>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</si>
  <si>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</si>
  <si>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</si>
  <si>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</si>
  <si>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</si>
  <si>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</si>
  <si>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</si>
  <si>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</si>
  <si>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</si>
  <si>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</si>
  <si>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</si>
  <si>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</si>
  <si>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</si>
  <si>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</si>
  <si>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</si>
  <si>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</si>
  <si>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</si>
  <si>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</si>
  <si>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</si>
  <si>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</si>
  <si>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</si>
  <si>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</si>
  <si>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</si>
  <si>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</si>
  <si>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</si>
  <si>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73006</t>
  </si>
  <si>
    <t>BILZEN</t>
  </si>
  <si>
    <t>Paarden&amp;pony's 200 - 600 kg</t>
  </si>
  <si>
    <t>Paarden&amp;pony's &lt; 200 kg</t>
  </si>
  <si>
    <t>referentietaak LNE (2017); Jaarverslag De Lijn (2015)</t>
  </si>
  <si>
    <t>op basis van VEA (maart 2018) en Inventaris Hernieuwbare Energiebronnen (juni 2018)</t>
  </si>
  <si>
    <t>VEA (januari 2017)</t>
  </si>
  <si>
    <t>VEA (juni 2018)</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</si>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</sst>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262432.99197656754</c:v>
                </c:pt>
                <c:pt idx="1">
                  <c:v>70160.212377920601</c:v>
                </c:pt>
                <c:pt idx="2">
                  <c:v>1756.6369999999999</c:v>
                </c:pt>
                <c:pt idx="3">
                  <c:v>8016.4276418060053</c:v>
                </c:pt>
                <c:pt idx="4">
                  <c:v>160306.27304425981</c:v>
                </c:pt>
                <c:pt idx="5">
                  <c:v>202278.39013136105</c:v>
                </c:pt>
                <c:pt idx="6">
                  <c:v>2908.4153252770539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262432.99197656754</c:v>
                </c:pt>
                <c:pt idx="1">
                  <c:v>70160.212377920601</c:v>
                </c:pt>
                <c:pt idx="2">
                  <c:v>1756.6369999999999</c:v>
                </c:pt>
                <c:pt idx="3">
                  <c:v>8016.4276418060053</c:v>
                </c:pt>
                <c:pt idx="4">
                  <c:v>160306.27304425981</c:v>
                </c:pt>
                <c:pt idx="5">
                  <c:v>202278.39013136105</c:v>
                </c:pt>
                <c:pt idx="6">
                  <c:v>2908.4153252770539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52492.387074090264</c:v>
                </c:pt>
                <c:pt idx="2">
                  <c:v>13292.480261214605</c:v>
                </c:pt>
                <c:pt idx="3">
                  <c:v>323.29733114376552</c:v>
                </c:pt>
                <c:pt idx="4">
                  <c:v>1952.39066383403</c:v>
                </c:pt>
                <c:pt idx="5">
                  <c:v>31906.274811691696</c:v>
                </c:pt>
                <c:pt idx="6">
                  <c:v>51748.702205162248</c:v>
                </c:pt>
                <c:pt idx="7">
                  <c:v>753.18478483490435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78639616"/>
      </c:barChart>
      <c:catAx>
        <c:axId val="149879808"/>
        <c:scaling>
          <c:orientation val="minMax"/>
        </c:scaling>
        <c:axPos val="b"/>
        <c:numFmt formatCode="General" sourceLinked="0"/>
        <c:tickLblPos val="nextTo"/>
        <c:crossAx val="178639616"/>
        <c:crosses val="autoZero"/>
        <c:auto val="1"/>
        <c:lblAlgn val="ctr"/>
        <c:lblOffset val="100"/>
      </c:catAx>
      <c:valAx>
        <c:axId val="178639616"/>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52492.387074090264</c:v>
                </c:pt>
                <c:pt idx="2">
                  <c:v>13292.480261214605</c:v>
                </c:pt>
                <c:pt idx="3">
                  <c:v>323.29733114376552</c:v>
                </c:pt>
                <c:pt idx="4">
                  <c:v>1952.39066383403</c:v>
                </c:pt>
                <c:pt idx="5">
                  <c:v>31906.274811691696</c:v>
                </c:pt>
                <c:pt idx="6">
                  <c:v>51748.702205162248</c:v>
                </c:pt>
                <c:pt idx="7">
                  <c:v>753.18478483490435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32631.518000000004</v>
      </c>
      <c r="D10" s="1012">
        <f ca="1">tertiair!C16</f>
        <v>321.42857142857144</v>
      </c>
      <c r="E10" s="1012">
        <f ca="1">tertiair!D16</f>
        <v>26420.586693142861</v>
      </c>
      <c r="F10" s="1012">
        <f>tertiair!E16</f>
        <v>565.28461322303008</v>
      </c>
      <c r="G10" s="1012">
        <f ca="1">tertiair!F16</f>
        <v>7747.1892624494758</v>
      </c>
      <c r="H10" s="1012">
        <f>tertiair!G16</f>
        <v>0</v>
      </c>
      <c r="I10" s="1012">
        <f>tertiair!H16</f>
        <v>0</v>
      </c>
      <c r="J10" s="1012">
        <f>tertiair!I16</f>
        <v>0</v>
      </c>
      <c r="K10" s="1012">
        <f>tertiair!J16</f>
        <v>0</v>
      </c>
      <c r="L10" s="1012">
        <f>tertiair!K16</f>
        <v>0</v>
      </c>
      <c r="M10" s="1012">
        <f ca="1">tertiair!L16</f>
        <v>0</v>
      </c>
      <c r="N10" s="1012">
        <f>tertiair!M16</f>
        <v>0</v>
      </c>
      <c r="O10" s="1012">
        <f ca="1">tertiair!N16</f>
        <v>4208.6489043433303</v>
      </c>
      <c r="P10" s="1012">
        <f>tertiair!O16</f>
        <v>3.1266666666666669</v>
      </c>
      <c r="Q10" s="1013">
        <f>tertiair!P16</f>
        <v>19.066666666666666</v>
      </c>
      <c r="R10" s="700">
        <f ca="1">SUM(C10:Q10)</f>
        <v>71916.849377920604</v>
      </c>
      <c r="S10" s="67"/>
    </row>
    <row r="11" spans="1:19" s="473" customFormat="1">
      <c r="A11" s="809" t="s">
        <v>225</v>
      </c>
      <c r="B11" s="814"/>
      <c r="C11" s="1012">
        <f>huishoudens!B8</f>
        <v>53511.422603055093</v>
      </c>
      <c r="D11" s="1012">
        <f>huishoudens!C8</f>
        <v>0</v>
      </c>
      <c r="E11" s="1012">
        <f>huishoudens!D8</f>
        <v>82670.080547999998</v>
      </c>
      <c r="F11" s="1012">
        <f>huishoudens!E8</f>
        <v>4136.5247836289209</v>
      </c>
      <c r="G11" s="1012">
        <f>huishoudens!F8</f>
        <v>93654.003831468086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26049.920210415468</v>
      </c>
      <c r="P11" s="1012">
        <f>huishoudens!O8</f>
        <v>637.84</v>
      </c>
      <c r="Q11" s="1013">
        <f>huishoudens!P8</f>
        <v>1773.2</v>
      </c>
      <c r="R11" s="700">
        <f>SUM(C11:Q11)</f>
        <v>262432.99197656754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24637.963</v>
      </c>
      <c r="D13" s="1012">
        <f>industrie!C18</f>
        <v>6621.4285714285716</v>
      </c>
      <c r="E13" s="1012">
        <f>industrie!D18</f>
        <v>109460.03184714286</v>
      </c>
      <c r="F13" s="1012">
        <f>industrie!E18</f>
        <v>3022.4562524643602</v>
      </c>
      <c r="G13" s="1012">
        <f>industrie!F18</f>
        <v>11164.810242410207</v>
      </c>
      <c r="H13" s="1012">
        <f>industrie!G18</f>
        <v>0</v>
      </c>
      <c r="I13" s="1012">
        <f>industrie!H18</f>
        <v>0</v>
      </c>
      <c r="J13" s="1012">
        <f>industrie!I18</f>
        <v>0</v>
      </c>
      <c r="K13" s="1012">
        <f>industrie!J18</f>
        <v>57.148534764137153</v>
      </c>
      <c r="L13" s="1012">
        <f>industrie!K18</f>
        <v>0</v>
      </c>
      <c r="M13" s="1012">
        <f>industrie!L18</f>
        <v>0</v>
      </c>
      <c r="N13" s="1012">
        <f>industrie!M18</f>
        <v>0</v>
      </c>
      <c r="O13" s="1012">
        <f>industrie!N18</f>
        <v>5342.4345960496848</v>
      </c>
      <c r="P13" s="1012">
        <f>industrie!O18</f>
        <v>0</v>
      </c>
      <c r="Q13" s="1013">
        <f>industrie!P18</f>
        <v>0</v>
      </c>
      <c r="R13" s="700">
        <f>SUM(C13:Q13)</f>
        <v>160306.27304425981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110780.90360305509</v>
      </c>
      <c r="D16" s="732">
        <f t="shared" ref="D16:R16" ca="1" si="0">SUM(D9:D15)</f>
        <v>6942.8571428571431</v>
      </c>
      <c r="E16" s="732">
        <f t="shared" ca="1" si="0"/>
        <v>218550.69908828574</v>
      </c>
      <c r="F16" s="732">
        <f t="shared" si="0"/>
        <v>7724.2656493163104</v>
      </c>
      <c r="G16" s="732">
        <f t="shared" ca="1" si="0"/>
        <v>112566.00333632778</v>
      </c>
      <c r="H16" s="732">
        <f t="shared" si="0"/>
        <v>0</v>
      </c>
      <c r="I16" s="732">
        <f t="shared" si="0"/>
        <v>0</v>
      </c>
      <c r="J16" s="732">
        <f t="shared" si="0"/>
        <v>0</v>
      </c>
      <c r="K16" s="732">
        <f t="shared" si="0"/>
        <v>57.148534764137153</v>
      </c>
      <c r="L16" s="732">
        <f t="shared" si="0"/>
        <v>0</v>
      </c>
      <c r="M16" s="732">
        <f t="shared" ca="1" si="0"/>
        <v>0</v>
      </c>
      <c r="N16" s="732">
        <f t="shared" si="0"/>
        <v>0</v>
      </c>
      <c r="O16" s="732">
        <f t="shared" ca="1" si="0"/>
        <v>35601.003710808487</v>
      </c>
      <c r="P16" s="732">
        <f t="shared" si="0"/>
        <v>640.9666666666667</v>
      </c>
      <c r="Q16" s="732">
        <f t="shared" si="0"/>
        <v>1792.2666666666667</v>
      </c>
      <c r="R16" s="732">
        <f t="shared" ca="1" si="0"/>
        <v>494656.11439874797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2820.9167971344732</v>
      </c>
      <c r="I19" s="1012">
        <f>transport!H54</f>
        <v>0</v>
      </c>
      <c r="J19" s="1012">
        <f>transport!I54</f>
        <v>0</v>
      </c>
      <c r="K19" s="1012">
        <f>transport!J54</f>
        <v>0</v>
      </c>
      <c r="L19" s="1012">
        <f>transport!K54</f>
        <v>0</v>
      </c>
      <c r="M19" s="1012">
        <f>transport!L54</f>
        <v>0</v>
      </c>
      <c r="N19" s="1012">
        <f>transport!M54</f>
        <v>87.498528142580696</v>
      </c>
      <c r="O19" s="1012">
        <f>transport!N54</f>
        <v>0</v>
      </c>
      <c r="P19" s="1012">
        <f>transport!O54</f>
        <v>0</v>
      </c>
      <c r="Q19" s="1013">
        <f>transport!P54</f>
        <v>0</v>
      </c>
      <c r="R19" s="700">
        <f>SUM(C19:Q19)</f>
        <v>2908.4153252770539</v>
      </c>
      <c r="S19" s="67"/>
    </row>
    <row r="20" spans="1:19" s="473" customFormat="1">
      <c r="A20" s="809" t="s">
        <v>307</v>
      </c>
      <c r="B20" s="814"/>
      <c r="C20" s="1012">
        <f>transport!B14</f>
        <v>52.458846087645526</v>
      </c>
      <c r="D20" s="1012">
        <f>transport!C14</f>
        <v>0</v>
      </c>
      <c r="E20" s="1012">
        <f>transport!D14</f>
        <v>122.54963179476054</v>
      </c>
      <c r="F20" s="1012">
        <f>transport!E14</f>
        <v>494.35569129405815</v>
      </c>
      <c r="G20" s="1012">
        <f>transport!F14</f>
        <v>0</v>
      </c>
      <c r="H20" s="1012">
        <f>transport!G14</f>
        <v>162352.86292418992</v>
      </c>
      <c r="I20" s="1012">
        <f>transport!H14</f>
        <v>33148.029461423888</v>
      </c>
      <c r="J20" s="1012">
        <f>transport!I14</f>
        <v>0</v>
      </c>
      <c r="K20" s="1012">
        <f>transport!J14</f>
        <v>0</v>
      </c>
      <c r="L20" s="1012">
        <f>transport!K14</f>
        <v>0</v>
      </c>
      <c r="M20" s="1012">
        <f>transport!L14</f>
        <v>0</v>
      </c>
      <c r="N20" s="1012">
        <f>transport!M14</f>
        <v>6108.1335765707645</v>
      </c>
      <c r="O20" s="1012">
        <f>transport!N14</f>
        <v>0</v>
      </c>
      <c r="P20" s="1012">
        <f>transport!O14</f>
        <v>0</v>
      </c>
      <c r="Q20" s="1013">
        <f>transport!P14</f>
        <v>0</v>
      </c>
      <c r="R20" s="700">
        <f>SUM(C20:Q20)</f>
        <v>202278.39013136105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52.458846087645526</v>
      </c>
      <c r="D22" s="812">
        <f t="shared" ref="D22:R22" si="1">SUM(D18:D21)</f>
        <v>0</v>
      </c>
      <c r="E22" s="812">
        <f t="shared" si="1"/>
        <v>122.54963179476054</v>
      </c>
      <c r="F22" s="812">
        <f t="shared" si="1"/>
        <v>494.35569129405815</v>
      </c>
      <c r="G22" s="812">
        <f t="shared" si="1"/>
        <v>0</v>
      </c>
      <c r="H22" s="812">
        <f t="shared" si="1"/>
        <v>165173.77972132439</v>
      </c>
      <c r="I22" s="812">
        <f t="shared" si="1"/>
        <v>33148.029461423888</v>
      </c>
      <c r="J22" s="812">
        <f t="shared" si="1"/>
        <v>0</v>
      </c>
      <c r="K22" s="812">
        <f t="shared" si="1"/>
        <v>0</v>
      </c>
      <c r="L22" s="812">
        <f t="shared" si="1"/>
        <v>0</v>
      </c>
      <c r="M22" s="812">
        <f t="shared" si="1"/>
        <v>0</v>
      </c>
      <c r="N22" s="812">
        <f t="shared" si="1"/>
        <v>6195.6321047133451</v>
      </c>
      <c r="O22" s="812">
        <f t="shared" si="1"/>
        <v>0</v>
      </c>
      <c r="P22" s="812">
        <f t="shared" si="1"/>
        <v>0</v>
      </c>
      <c r="Q22" s="812">
        <f t="shared" si="1"/>
        <v>0</v>
      </c>
      <c r="R22" s="812">
        <f t="shared" si="1"/>
        <v>205186.8054566381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1375.4349999999999</v>
      </c>
      <c r="D24" s="1012">
        <f>+landbouw!C8</f>
        <v>0</v>
      </c>
      <c r="E24" s="1012">
        <f>+landbouw!D8</f>
        <v>1380.036548</v>
      </c>
      <c r="F24" s="1012">
        <f>+landbouw!E8</f>
        <v>35.46718759016845</v>
      </c>
      <c r="G24" s="1012">
        <f>+landbouw!F8</f>
        <v>5027.4768638715086</v>
      </c>
      <c r="H24" s="1012">
        <f>+landbouw!G8</f>
        <v>0</v>
      </c>
      <c r="I24" s="1012">
        <f>+landbouw!H8</f>
        <v>0</v>
      </c>
      <c r="J24" s="1012">
        <f>+landbouw!I8</f>
        <v>0</v>
      </c>
      <c r="K24" s="1012">
        <f>+landbouw!J8</f>
        <v>198.01204234432728</v>
      </c>
      <c r="L24" s="1012">
        <f>+landbouw!K8</f>
        <v>0</v>
      </c>
      <c r="M24" s="1012">
        <f>+landbouw!L8</f>
        <v>0</v>
      </c>
      <c r="N24" s="1012">
        <f>+landbouw!M8</f>
        <v>0</v>
      </c>
      <c r="O24" s="1012">
        <f>+landbouw!N8</f>
        <v>0</v>
      </c>
      <c r="P24" s="1012">
        <f>+landbouw!O8</f>
        <v>0</v>
      </c>
      <c r="Q24" s="1013">
        <f>+landbouw!P8</f>
        <v>0</v>
      </c>
      <c r="R24" s="700">
        <f>SUM(C24:Q24)</f>
        <v>8016.4276418060053</v>
      </c>
      <c r="S24" s="67"/>
    </row>
    <row r="25" spans="1:19" s="473" customFormat="1" ht="15" thickBot="1">
      <c r="A25" s="831" t="s">
        <v>848</v>
      </c>
      <c r="B25" s="1015"/>
      <c r="C25" s="1016">
        <f>IF(Onbekend_ele_kWh="---",0,Onbekend_ele_kWh)/1000+IF(REST_rest_ele_kWh="---",0,REST_rest_ele_kWh)/1000</f>
        <v>1451.577</v>
      </c>
      <c r="D25" s="1016"/>
      <c r="E25" s="1016">
        <f>IF(onbekend_gas_kWh="---",0,onbekend_gas_kWh)/1000+IF(REST_rest_gas_kWh="---",0,REST_rest_gas_kWh)/1000</f>
        <v>1464.9190000000001</v>
      </c>
      <c r="F25" s="1016"/>
      <c r="G25" s="1016"/>
      <c r="H25" s="1016"/>
      <c r="I25" s="1016"/>
      <c r="J25" s="1016"/>
      <c r="K25" s="1016"/>
      <c r="L25" s="1016"/>
      <c r="M25" s="1016"/>
      <c r="N25" s="1016"/>
      <c r="O25" s="1016"/>
      <c r="P25" s="1016"/>
      <c r="Q25" s="1017"/>
      <c r="R25" s="700">
        <f>SUM(C25:Q25)</f>
        <v>2916.4960000000001</v>
      </c>
      <c r="S25" s="67"/>
    </row>
    <row r="26" spans="1:19" s="473" customFormat="1" ht="15.75" thickBot="1">
      <c r="A26" s="705" t="s">
        <v>849</v>
      </c>
      <c r="B26" s="817"/>
      <c r="C26" s="812">
        <f>SUM(C24:C25)</f>
        <v>2827.0119999999997</v>
      </c>
      <c r="D26" s="812">
        <f t="shared" ref="D26:R26" si="2">SUM(D24:D25)</f>
        <v>0</v>
      </c>
      <c r="E26" s="812">
        <f t="shared" si="2"/>
        <v>2844.9555479999999</v>
      </c>
      <c r="F26" s="812">
        <f t="shared" si="2"/>
        <v>35.46718759016845</v>
      </c>
      <c r="G26" s="812">
        <f t="shared" si="2"/>
        <v>5027.4768638715086</v>
      </c>
      <c r="H26" s="812">
        <f t="shared" si="2"/>
        <v>0</v>
      </c>
      <c r="I26" s="812">
        <f t="shared" si="2"/>
        <v>0</v>
      </c>
      <c r="J26" s="812">
        <f t="shared" si="2"/>
        <v>0</v>
      </c>
      <c r="K26" s="812">
        <f t="shared" si="2"/>
        <v>198.01204234432728</v>
      </c>
      <c r="L26" s="812">
        <f t="shared" si="2"/>
        <v>0</v>
      </c>
      <c r="M26" s="812">
        <f t="shared" si="2"/>
        <v>0</v>
      </c>
      <c r="N26" s="812">
        <f t="shared" si="2"/>
        <v>0</v>
      </c>
      <c r="O26" s="812">
        <f t="shared" si="2"/>
        <v>0</v>
      </c>
      <c r="P26" s="812">
        <f t="shared" si="2"/>
        <v>0</v>
      </c>
      <c r="Q26" s="812">
        <f t="shared" si="2"/>
        <v>0</v>
      </c>
      <c r="R26" s="812">
        <f t="shared" si="2"/>
        <v>10932.923641806006</v>
      </c>
      <c r="S26" s="67"/>
    </row>
    <row r="27" spans="1:19" s="473" customFormat="1" ht="17.25" thickTop="1" thickBot="1">
      <c r="A27" s="706" t="s">
        <v>116</v>
      </c>
      <c r="B27" s="805"/>
      <c r="C27" s="707">
        <f ca="1">C22+C16+C26</f>
        <v>113660.37444914274</v>
      </c>
      <c r="D27" s="707">
        <f t="shared" ref="D27:R27" ca="1" si="3">D22+D16+D26</f>
        <v>6942.8571428571431</v>
      </c>
      <c r="E27" s="707">
        <f t="shared" ca="1" si="3"/>
        <v>221518.2042680805</v>
      </c>
      <c r="F27" s="707">
        <f t="shared" si="3"/>
        <v>8254.0885282005365</v>
      </c>
      <c r="G27" s="707">
        <f t="shared" ca="1" si="3"/>
        <v>117593.48020019928</v>
      </c>
      <c r="H27" s="707">
        <f t="shared" si="3"/>
        <v>165173.77972132439</v>
      </c>
      <c r="I27" s="707">
        <f t="shared" si="3"/>
        <v>33148.029461423888</v>
      </c>
      <c r="J27" s="707">
        <f t="shared" si="3"/>
        <v>0</v>
      </c>
      <c r="K27" s="707">
        <f t="shared" si="3"/>
        <v>255.16057710846445</v>
      </c>
      <c r="L27" s="707">
        <f t="shared" si="3"/>
        <v>0</v>
      </c>
      <c r="M27" s="707">
        <f t="shared" ca="1" si="3"/>
        <v>0</v>
      </c>
      <c r="N27" s="707">
        <f t="shared" si="3"/>
        <v>6195.6321047133451</v>
      </c>
      <c r="O27" s="707">
        <f t="shared" ca="1" si="3"/>
        <v>35601.003710808487</v>
      </c>
      <c r="P27" s="707">
        <f t="shared" si="3"/>
        <v>640.9666666666667</v>
      </c>
      <c r="Q27" s="707">
        <f t="shared" si="3"/>
        <v>1792.2666666666667</v>
      </c>
      <c r="R27" s="707">
        <f t="shared" ca="1" si="3"/>
        <v>710775.84349719202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6005.613385446024</v>
      </c>
      <c r="D40" s="1012">
        <f ca="1">tertiair!C20</f>
        <v>76.386554621848745</v>
      </c>
      <c r="E40" s="1012">
        <f ca="1">tertiair!D20</f>
        <v>5336.9585120148586</v>
      </c>
      <c r="F40" s="1012">
        <f>tertiair!E20</f>
        <v>128.31960720162783</v>
      </c>
      <c r="G40" s="1012">
        <f ca="1">tertiair!F20</f>
        <v>2068.4995330740103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13615.777592358369</v>
      </c>
    </row>
    <row r="41" spans="1:18">
      <c r="A41" s="822" t="s">
        <v>225</v>
      </c>
      <c r="B41" s="829"/>
      <c r="C41" s="1012">
        <f ca="1">huishoudens!B12</f>
        <v>9848.4206545085199</v>
      </c>
      <c r="D41" s="1012">
        <f ca="1">huishoudens!C12</f>
        <v>0</v>
      </c>
      <c r="E41" s="1012">
        <f>huishoudens!D12</f>
        <v>16699.356270696</v>
      </c>
      <c r="F41" s="1012">
        <f>huishoudens!E12</f>
        <v>938.99112588376511</v>
      </c>
      <c r="G41" s="1012">
        <f>huishoudens!F12</f>
        <v>25005.619023001982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52492.387074090264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4534.4528680193134</v>
      </c>
      <c r="D43" s="1012">
        <f ca="1">industrie!C22</f>
        <v>1573.5630252100841</v>
      </c>
      <c r="E43" s="1012">
        <f>industrie!D22</f>
        <v>22110.926433122859</v>
      </c>
      <c r="F43" s="1012">
        <f>industrie!E22</f>
        <v>686.09756930940978</v>
      </c>
      <c r="G43" s="1012">
        <f>industrie!F22</f>
        <v>2981.0043347235255</v>
      </c>
      <c r="H43" s="1012">
        <f>industrie!G22</f>
        <v>0</v>
      </c>
      <c r="I43" s="1012">
        <f>industrie!H22</f>
        <v>0</v>
      </c>
      <c r="J43" s="1012">
        <f>industrie!I22</f>
        <v>0</v>
      </c>
      <c r="K43" s="1012">
        <f>industrie!J22</f>
        <v>20.230581306504551</v>
      </c>
      <c r="L43" s="1012">
        <f>industrie!K22</f>
        <v>0</v>
      </c>
      <c r="M43" s="1012">
        <f>industrie!L22</f>
        <v>0</v>
      </c>
      <c r="N43" s="1012">
        <f>industrie!M22</f>
        <v>0</v>
      </c>
      <c r="O43" s="1012">
        <f>industrie!N22</f>
        <v>0</v>
      </c>
      <c r="P43" s="1012">
        <f>industrie!O22</f>
        <v>0</v>
      </c>
      <c r="Q43" s="774">
        <f>industrie!P22</f>
        <v>0</v>
      </c>
      <c r="R43" s="849">
        <f t="shared" ca="1" si="4"/>
        <v>31906.274811691696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20388.486907973856</v>
      </c>
      <c r="D46" s="732">
        <f t="shared" ref="D46:Q46" ca="1" si="5">SUM(D39:D45)</f>
        <v>1649.9495798319329</v>
      </c>
      <c r="E46" s="732">
        <f t="shared" ca="1" si="5"/>
        <v>44147.241215833717</v>
      </c>
      <c r="F46" s="732">
        <f t="shared" si="5"/>
        <v>1753.4083023948028</v>
      </c>
      <c r="G46" s="732">
        <f t="shared" ca="1" si="5"/>
        <v>30055.122890799517</v>
      </c>
      <c r="H46" s="732">
        <f t="shared" si="5"/>
        <v>0</v>
      </c>
      <c r="I46" s="732">
        <f t="shared" si="5"/>
        <v>0</v>
      </c>
      <c r="J46" s="732">
        <f t="shared" si="5"/>
        <v>0</v>
      </c>
      <c r="K46" s="732">
        <f t="shared" si="5"/>
        <v>20.230581306504551</v>
      </c>
      <c r="L46" s="732">
        <f t="shared" si="5"/>
        <v>0</v>
      </c>
      <c r="M46" s="732">
        <f t="shared" ca="1" si="5"/>
        <v>0</v>
      </c>
      <c r="N46" s="732">
        <f t="shared" si="5"/>
        <v>0</v>
      </c>
      <c r="O46" s="732">
        <f t="shared" ca="1" si="5"/>
        <v>0</v>
      </c>
      <c r="P46" s="732">
        <f t="shared" si="5"/>
        <v>0</v>
      </c>
      <c r="Q46" s="732">
        <f t="shared" si="5"/>
        <v>0</v>
      </c>
      <c r="R46" s="732">
        <f ca="1">SUM(R39:R45)</f>
        <v>98014.439478140324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753.18478483490435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753.18478483490435</v>
      </c>
    </row>
    <row r="50" spans="1:18">
      <c r="A50" s="825" t="s">
        <v>307</v>
      </c>
      <c r="B50" s="835"/>
      <c r="C50" s="703">
        <f ca="1">transport!B18</f>
        <v>9.6547009627016642</v>
      </c>
      <c r="D50" s="703">
        <f>transport!C18</f>
        <v>0</v>
      </c>
      <c r="E50" s="703">
        <f>transport!D18</f>
        <v>24.755025622541631</v>
      </c>
      <c r="F50" s="703">
        <f>transport!E18</f>
        <v>112.2187419237512</v>
      </c>
      <c r="G50" s="703">
        <f>transport!F18</f>
        <v>0</v>
      </c>
      <c r="H50" s="703">
        <f>transport!G18</f>
        <v>43348.214400758712</v>
      </c>
      <c r="I50" s="703">
        <f>transport!H18</f>
        <v>8253.8593358945473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51748.702205162248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9.6547009627016642</v>
      </c>
      <c r="D52" s="732">
        <f t="shared" ref="D52:Q52" ca="1" si="6">SUM(D48:D51)</f>
        <v>0</v>
      </c>
      <c r="E52" s="732">
        <f t="shared" si="6"/>
        <v>24.755025622541631</v>
      </c>
      <c r="F52" s="732">
        <f t="shared" si="6"/>
        <v>112.2187419237512</v>
      </c>
      <c r="G52" s="732">
        <f t="shared" si="6"/>
        <v>0</v>
      </c>
      <c r="H52" s="732">
        <f t="shared" si="6"/>
        <v>44101.399185593618</v>
      </c>
      <c r="I52" s="732">
        <f t="shared" si="6"/>
        <v>8253.8593358945473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52501.886989997154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253.13964391147695</v>
      </c>
      <c r="D54" s="703">
        <f ca="1">+landbouw!C12</f>
        <v>0</v>
      </c>
      <c r="E54" s="703">
        <f>+landbouw!D12</f>
        <v>278.76738269600003</v>
      </c>
      <c r="F54" s="703">
        <f>+landbouw!E12</f>
        <v>8.0510515829682383</v>
      </c>
      <c r="G54" s="703">
        <f>+landbouw!F12</f>
        <v>1342.3363226536928</v>
      </c>
      <c r="H54" s="703">
        <f>+landbouw!G12</f>
        <v>0</v>
      </c>
      <c r="I54" s="703">
        <f>+landbouw!H12</f>
        <v>0</v>
      </c>
      <c r="J54" s="703">
        <f>+landbouw!I12</f>
        <v>0</v>
      </c>
      <c r="K54" s="703">
        <f>+landbouw!J12</f>
        <v>70.096262989891855</v>
      </c>
      <c r="L54" s="703">
        <f>+landbouw!K12</f>
        <v>0</v>
      </c>
      <c r="M54" s="703">
        <f>+landbouw!L12</f>
        <v>0</v>
      </c>
      <c r="N54" s="703">
        <f>+landbouw!M12</f>
        <v>0</v>
      </c>
      <c r="O54" s="703">
        <f>+landbouw!N12</f>
        <v>0</v>
      </c>
      <c r="P54" s="703">
        <f>+landbouw!O12</f>
        <v>0</v>
      </c>
      <c r="Q54" s="704">
        <f>+landbouw!P12</f>
        <v>0</v>
      </c>
      <c r="R54" s="731">
        <f ca="1">SUM(C54:Q54)</f>
        <v>1952.39066383403</v>
      </c>
    </row>
    <row r="55" spans="1:18" ht="15" thickBot="1">
      <c r="A55" s="825" t="s">
        <v>848</v>
      </c>
      <c r="B55" s="835"/>
      <c r="C55" s="703">
        <f ca="1">C25*'EF ele_warmte'!B12</f>
        <v>267.15307149381107</v>
      </c>
      <c r="D55" s="703"/>
      <c r="E55" s="703">
        <f>E25*EF_CO2_aardgas</f>
        <v>295.91363800000005</v>
      </c>
      <c r="F55" s="703"/>
      <c r="G55" s="703"/>
      <c r="H55" s="703"/>
      <c r="I55" s="703"/>
      <c r="J55" s="703"/>
      <c r="K55" s="703"/>
      <c r="L55" s="703"/>
      <c r="M55" s="703"/>
      <c r="N55" s="703"/>
      <c r="O55" s="703"/>
      <c r="P55" s="703"/>
      <c r="Q55" s="704"/>
      <c r="R55" s="731">
        <f ca="1">SUM(C55:Q55)</f>
        <v>563.06670949381112</v>
      </c>
    </row>
    <row r="56" spans="1:18" ht="15.75" thickBot="1">
      <c r="A56" s="823" t="s">
        <v>849</v>
      </c>
      <c r="B56" s="836"/>
      <c r="C56" s="732">
        <f ca="1">SUM(C54:C55)</f>
        <v>520.29271540528805</v>
      </c>
      <c r="D56" s="732">
        <f t="shared" ref="D56:Q56" ca="1" si="7">SUM(D54:D55)</f>
        <v>0</v>
      </c>
      <c r="E56" s="732">
        <f t="shared" si="7"/>
        <v>574.68102069600013</v>
      </c>
      <c r="F56" s="732">
        <f t="shared" si="7"/>
        <v>8.0510515829682383</v>
      </c>
      <c r="G56" s="732">
        <f t="shared" si="7"/>
        <v>1342.3363226536928</v>
      </c>
      <c r="H56" s="732">
        <f t="shared" si="7"/>
        <v>0</v>
      </c>
      <c r="I56" s="732">
        <f t="shared" si="7"/>
        <v>0</v>
      </c>
      <c r="J56" s="732">
        <f t="shared" si="7"/>
        <v>0</v>
      </c>
      <c r="K56" s="732">
        <f t="shared" si="7"/>
        <v>70.096262989891855</v>
      </c>
      <c r="L56" s="732">
        <f t="shared" si="7"/>
        <v>0</v>
      </c>
      <c r="M56" s="732">
        <f t="shared" si="7"/>
        <v>0</v>
      </c>
      <c r="N56" s="732">
        <f t="shared" si="7"/>
        <v>0</v>
      </c>
      <c r="O56" s="732">
        <f t="shared" si="7"/>
        <v>0</v>
      </c>
      <c r="P56" s="732">
        <f t="shared" si="7"/>
        <v>0</v>
      </c>
      <c r="Q56" s="733">
        <f t="shared" si="7"/>
        <v>0</v>
      </c>
      <c r="R56" s="734">
        <f ca="1">SUM(R54:R55)</f>
        <v>2515.4573733278412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20918.434324341848</v>
      </c>
      <c r="D61" s="740">
        <f t="shared" ref="D61:Q61" ca="1" si="8">D46+D52+D56</f>
        <v>1649.9495798319329</v>
      </c>
      <c r="E61" s="740">
        <f t="shared" ca="1" si="8"/>
        <v>44746.677262152261</v>
      </c>
      <c r="F61" s="740">
        <f t="shared" si="8"/>
        <v>1873.6780959015223</v>
      </c>
      <c r="G61" s="740">
        <f t="shared" ca="1" si="8"/>
        <v>31397.45921345321</v>
      </c>
      <c r="H61" s="740">
        <f t="shared" si="8"/>
        <v>44101.399185593618</v>
      </c>
      <c r="I61" s="740">
        <f t="shared" si="8"/>
        <v>8253.8593358945473</v>
      </c>
      <c r="J61" s="740">
        <f t="shared" si="8"/>
        <v>0</v>
      </c>
      <c r="K61" s="740">
        <f t="shared" si="8"/>
        <v>90.326844296396402</v>
      </c>
      <c r="L61" s="740">
        <f t="shared" si="8"/>
        <v>0</v>
      </c>
      <c r="M61" s="740">
        <f t="shared" ca="1" si="8"/>
        <v>0</v>
      </c>
      <c r="N61" s="740">
        <f t="shared" si="8"/>
        <v>0</v>
      </c>
      <c r="O61" s="740">
        <f t="shared" ca="1" si="8"/>
        <v>0</v>
      </c>
      <c r="P61" s="740">
        <f t="shared" si="8"/>
        <v>0</v>
      </c>
      <c r="Q61" s="740">
        <f t="shared" si="8"/>
        <v>0</v>
      </c>
      <c r="R61" s="740">
        <f ca="1">R46+R52+R56</f>
        <v>153031.78384146531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0.1840433345897676</v>
      </c>
      <c r="D63" s="781">
        <f t="shared" ca="1" si="9"/>
        <v>0.23764705882352941</v>
      </c>
      <c r="E63" s="1023">
        <f t="shared" ca="1" si="9"/>
        <v>0.20200000000000001</v>
      </c>
      <c r="F63" s="781">
        <f t="shared" si="9"/>
        <v>0.22700000000000006</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4056.8579785513411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15316.052133670619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4860</v>
      </c>
      <c r="D76" s="1033">
        <f>'lokale energieproductie'!C8</f>
        <v>5717.6470588235297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1154.964705882353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19372.910112221958</v>
      </c>
      <c r="C78" s="755">
        <f>SUM(C72:C77)</f>
        <v>4860</v>
      </c>
      <c r="D78" s="756">
        <f t="shared" ref="D78:H78" si="10">SUM(D76:D77)</f>
        <v>5717.6470588235297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1154.964705882353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6942.8571428571431</v>
      </c>
      <c r="D87" s="777">
        <f>'lokale energieproductie'!C17</f>
        <v>8168.0672268907565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1649.9495798319329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6942.8571428571431</v>
      </c>
      <c r="D90" s="755">
        <f t="shared" ref="D90:H90" si="12">SUM(D87:D89)</f>
        <v>8168.0672268907565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1649.9495798319329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53511.422603055093</v>
      </c>
      <c r="C4" s="477">
        <f>huishoudens!C8</f>
        <v>0</v>
      </c>
      <c r="D4" s="477">
        <f>huishoudens!D8</f>
        <v>82670.080547999998</v>
      </c>
      <c r="E4" s="477">
        <f>huishoudens!E8</f>
        <v>4136.5247836289209</v>
      </c>
      <c r="F4" s="477">
        <f>huishoudens!F8</f>
        <v>93654.003831468086</v>
      </c>
      <c r="G4" s="477">
        <f>huishoudens!G8</f>
        <v>0</v>
      </c>
      <c r="H4" s="477">
        <f>huishoudens!H8</f>
        <v>0</v>
      </c>
      <c r="I4" s="477">
        <f>huishoudens!I8</f>
        <v>0</v>
      </c>
      <c r="J4" s="477">
        <f>huishoudens!J8</f>
        <v>0</v>
      </c>
      <c r="K4" s="477">
        <f>huishoudens!K8</f>
        <v>0</v>
      </c>
      <c r="L4" s="477">
        <f>huishoudens!L8</f>
        <v>0</v>
      </c>
      <c r="M4" s="477">
        <f>huishoudens!M8</f>
        <v>0</v>
      </c>
      <c r="N4" s="477">
        <f>huishoudens!N8</f>
        <v>26049.920210415468</v>
      </c>
      <c r="O4" s="477">
        <f>huishoudens!O8</f>
        <v>637.84</v>
      </c>
      <c r="P4" s="478">
        <f>huishoudens!P8</f>
        <v>1773.2</v>
      </c>
      <c r="Q4" s="479">
        <f>SUM(B4:P4)</f>
        <v>262432.99197656754</v>
      </c>
    </row>
    <row r="5" spans="1:17">
      <c r="A5" s="476" t="s">
        <v>156</v>
      </c>
      <c r="B5" s="477">
        <f ca="1">tertiair!B16</f>
        <v>30874.881000000005</v>
      </c>
      <c r="C5" s="477">
        <f ca="1">tertiair!C16</f>
        <v>321.42857142857144</v>
      </c>
      <c r="D5" s="477">
        <f ca="1">tertiair!D16</f>
        <v>26420.586693142861</v>
      </c>
      <c r="E5" s="477">
        <f>tertiair!E16</f>
        <v>565.28461322303008</v>
      </c>
      <c r="F5" s="477">
        <f ca="1">tertiair!F16</f>
        <v>7747.1892624494758</v>
      </c>
      <c r="G5" s="477">
        <f>tertiair!G16</f>
        <v>0</v>
      </c>
      <c r="H5" s="477">
        <f>tertiair!H16</f>
        <v>0</v>
      </c>
      <c r="I5" s="477">
        <f>tertiair!I16</f>
        <v>0</v>
      </c>
      <c r="J5" s="477">
        <f>tertiair!J16</f>
        <v>0</v>
      </c>
      <c r="K5" s="477">
        <f>tertiair!K16</f>
        <v>0</v>
      </c>
      <c r="L5" s="477">
        <f ca="1">tertiair!L16</f>
        <v>0</v>
      </c>
      <c r="M5" s="477">
        <f>tertiair!M16</f>
        <v>0</v>
      </c>
      <c r="N5" s="477">
        <f ca="1">tertiair!N16</f>
        <v>4208.6489043433303</v>
      </c>
      <c r="O5" s="477">
        <f>tertiair!O16</f>
        <v>3.1266666666666669</v>
      </c>
      <c r="P5" s="478">
        <f>tertiair!P16</f>
        <v>19.066666666666666</v>
      </c>
      <c r="Q5" s="476">
        <f t="shared" ref="Q5:Q14" ca="1" si="0">SUM(B5:P5)</f>
        <v>70160.212377920601</v>
      </c>
    </row>
    <row r="6" spans="1:17">
      <c r="A6" s="476" t="s">
        <v>194</v>
      </c>
      <c r="B6" s="477">
        <f>'openbare verlichting'!B8</f>
        <v>1756.6369999999999</v>
      </c>
      <c r="C6" s="477"/>
      <c r="D6" s="477"/>
      <c r="E6" s="477"/>
      <c r="F6" s="477"/>
      <c r="G6" s="477"/>
      <c r="H6" s="477"/>
      <c r="I6" s="477"/>
      <c r="J6" s="477"/>
      <c r="K6" s="477"/>
      <c r="L6" s="477"/>
      <c r="M6" s="477"/>
      <c r="N6" s="477"/>
      <c r="O6" s="477"/>
      <c r="P6" s="478"/>
      <c r="Q6" s="476">
        <f t="shared" si="0"/>
        <v>1756.6369999999999</v>
      </c>
    </row>
    <row r="7" spans="1:17">
      <c r="A7" s="476" t="s">
        <v>112</v>
      </c>
      <c r="B7" s="477">
        <f>landbouw!B8</f>
        <v>1375.4349999999999</v>
      </c>
      <c r="C7" s="477">
        <f>landbouw!C8</f>
        <v>0</v>
      </c>
      <c r="D7" s="477">
        <f>landbouw!D8</f>
        <v>1380.036548</v>
      </c>
      <c r="E7" s="477">
        <f>landbouw!E8</f>
        <v>35.46718759016845</v>
      </c>
      <c r="F7" s="477">
        <f>landbouw!F8</f>
        <v>5027.4768638715086</v>
      </c>
      <c r="G7" s="477">
        <f>landbouw!G8</f>
        <v>0</v>
      </c>
      <c r="H7" s="477">
        <f>landbouw!H8</f>
        <v>0</v>
      </c>
      <c r="I7" s="477">
        <f>landbouw!I8</f>
        <v>0</v>
      </c>
      <c r="J7" s="477">
        <f>landbouw!J8</f>
        <v>198.01204234432728</v>
      </c>
      <c r="K7" s="477">
        <f>landbouw!K8</f>
        <v>0</v>
      </c>
      <c r="L7" s="477">
        <f>landbouw!L8</f>
        <v>0</v>
      </c>
      <c r="M7" s="477">
        <f>landbouw!M8</f>
        <v>0</v>
      </c>
      <c r="N7" s="477">
        <f>landbouw!N8</f>
        <v>0</v>
      </c>
      <c r="O7" s="477">
        <f>landbouw!O8</f>
        <v>0</v>
      </c>
      <c r="P7" s="478">
        <f>landbouw!P8</f>
        <v>0</v>
      </c>
      <c r="Q7" s="476">
        <f t="shared" si="0"/>
        <v>8016.4276418060053</v>
      </c>
    </row>
    <row r="8" spans="1:17">
      <c r="A8" s="476" t="s">
        <v>638</v>
      </c>
      <c r="B8" s="477">
        <f>industrie!B18</f>
        <v>24637.963</v>
      </c>
      <c r="C8" s="477">
        <f>industrie!C18</f>
        <v>6621.4285714285716</v>
      </c>
      <c r="D8" s="477">
        <f>industrie!D18</f>
        <v>109460.03184714286</v>
      </c>
      <c r="E8" s="477">
        <f>industrie!E18</f>
        <v>3022.4562524643602</v>
      </c>
      <c r="F8" s="477">
        <f>industrie!F18</f>
        <v>11164.810242410207</v>
      </c>
      <c r="G8" s="477">
        <f>industrie!G18</f>
        <v>0</v>
      </c>
      <c r="H8" s="477">
        <f>industrie!H18</f>
        <v>0</v>
      </c>
      <c r="I8" s="477">
        <f>industrie!I18</f>
        <v>0</v>
      </c>
      <c r="J8" s="477">
        <f>industrie!J18</f>
        <v>57.148534764137153</v>
      </c>
      <c r="K8" s="477">
        <f>industrie!K18</f>
        <v>0</v>
      </c>
      <c r="L8" s="477">
        <f>industrie!L18</f>
        <v>0</v>
      </c>
      <c r="M8" s="477">
        <f>industrie!M18</f>
        <v>0</v>
      </c>
      <c r="N8" s="477">
        <f>industrie!N18</f>
        <v>5342.4345960496848</v>
      </c>
      <c r="O8" s="477">
        <f>industrie!O18</f>
        <v>0</v>
      </c>
      <c r="P8" s="478">
        <f>industrie!P18</f>
        <v>0</v>
      </c>
      <c r="Q8" s="476">
        <f t="shared" si="0"/>
        <v>160306.27304425981</v>
      </c>
    </row>
    <row r="9" spans="1:17" s="482" customFormat="1">
      <c r="A9" s="480" t="s">
        <v>564</v>
      </c>
      <c r="B9" s="481">
        <f>transport!B14</f>
        <v>52.458846087645526</v>
      </c>
      <c r="C9" s="481">
        <f>transport!C14</f>
        <v>0</v>
      </c>
      <c r="D9" s="481">
        <f>transport!D14</f>
        <v>122.54963179476054</v>
      </c>
      <c r="E9" s="481">
        <f>transport!E14</f>
        <v>494.35569129405815</v>
      </c>
      <c r="F9" s="481">
        <f>transport!F14</f>
        <v>0</v>
      </c>
      <c r="G9" s="481">
        <f>transport!G14</f>
        <v>162352.86292418992</v>
      </c>
      <c r="H9" s="481">
        <f>transport!H14</f>
        <v>33148.029461423888</v>
      </c>
      <c r="I9" s="481">
        <f>transport!I14</f>
        <v>0</v>
      </c>
      <c r="J9" s="481">
        <f>transport!J14</f>
        <v>0</v>
      </c>
      <c r="K9" s="481">
        <f>transport!K14</f>
        <v>0</v>
      </c>
      <c r="L9" s="481">
        <f>transport!L14</f>
        <v>0</v>
      </c>
      <c r="M9" s="481">
        <f>transport!M14</f>
        <v>6108.1335765707645</v>
      </c>
      <c r="N9" s="481">
        <f>transport!N14</f>
        <v>0</v>
      </c>
      <c r="O9" s="481">
        <f>transport!O14</f>
        <v>0</v>
      </c>
      <c r="P9" s="481">
        <f>transport!P14</f>
        <v>0</v>
      </c>
      <c r="Q9" s="480">
        <f>SUM(B9:P9)</f>
        <v>202278.39013136105</v>
      </c>
    </row>
    <row r="10" spans="1:17">
      <c r="A10" s="476" t="s">
        <v>554</v>
      </c>
      <c r="B10" s="477">
        <f>transport!B54</f>
        <v>0</v>
      </c>
      <c r="C10" s="477">
        <f>transport!C54</f>
        <v>0</v>
      </c>
      <c r="D10" s="477">
        <f>transport!D54</f>
        <v>0</v>
      </c>
      <c r="E10" s="477">
        <f>transport!E54</f>
        <v>0</v>
      </c>
      <c r="F10" s="477">
        <f>transport!F54</f>
        <v>0</v>
      </c>
      <c r="G10" s="477">
        <f>transport!G54</f>
        <v>2820.9167971344732</v>
      </c>
      <c r="H10" s="477">
        <f>transport!H54</f>
        <v>0</v>
      </c>
      <c r="I10" s="477">
        <f>transport!I54</f>
        <v>0</v>
      </c>
      <c r="J10" s="477">
        <f>transport!J54</f>
        <v>0</v>
      </c>
      <c r="K10" s="477">
        <f>transport!K54</f>
        <v>0</v>
      </c>
      <c r="L10" s="477">
        <f>transport!L54</f>
        <v>0</v>
      </c>
      <c r="M10" s="477">
        <f>transport!M54</f>
        <v>87.498528142580696</v>
      </c>
      <c r="N10" s="477">
        <f>transport!N54</f>
        <v>0</v>
      </c>
      <c r="O10" s="477">
        <f>transport!O54</f>
        <v>0</v>
      </c>
      <c r="P10" s="478">
        <f>transport!P54</f>
        <v>0</v>
      </c>
      <c r="Q10" s="476">
        <f t="shared" si="0"/>
        <v>2908.4153252770539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1451.577</v>
      </c>
      <c r="C14" s="484"/>
      <c r="D14" s="484">
        <f>'SEAP template'!E25</f>
        <v>1464.9190000000001</v>
      </c>
      <c r="E14" s="484"/>
      <c r="F14" s="484"/>
      <c r="G14" s="484"/>
      <c r="H14" s="484"/>
      <c r="I14" s="484"/>
      <c r="J14" s="484"/>
      <c r="K14" s="484"/>
      <c r="L14" s="484"/>
      <c r="M14" s="484"/>
      <c r="N14" s="484"/>
      <c r="O14" s="484"/>
      <c r="P14" s="485"/>
      <c r="Q14" s="476">
        <f t="shared" si="0"/>
        <v>2916.4960000000001</v>
      </c>
    </row>
    <row r="15" spans="1:17" s="486" customFormat="1">
      <c r="A15" s="1038" t="s">
        <v>558</v>
      </c>
      <c r="B15" s="978">
        <f ca="1">SUM(B4:B14)</f>
        <v>113660.37444914275</v>
      </c>
      <c r="C15" s="978">
        <f t="shared" ref="C15:Q15" ca="1" si="1">SUM(C4:C14)</f>
        <v>6942.8571428571431</v>
      </c>
      <c r="D15" s="978">
        <f t="shared" ca="1" si="1"/>
        <v>221518.2042680805</v>
      </c>
      <c r="E15" s="978">
        <f t="shared" si="1"/>
        <v>8254.0885282005383</v>
      </c>
      <c r="F15" s="978">
        <f t="shared" ca="1" si="1"/>
        <v>117593.48020019928</v>
      </c>
      <c r="G15" s="978">
        <f t="shared" si="1"/>
        <v>165173.77972132439</v>
      </c>
      <c r="H15" s="978">
        <f t="shared" si="1"/>
        <v>33148.029461423888</v>
      </c>
      <c r="I15" s="978">
        <f t="shared" si="1"/>
        <v>0</v>
      </c>
      <c r="J15" s="978">
        <f t="shared" si="1"/>
        <v>255.16057710846445</v>
      </c>
      <c r="K15" s="978">
        <f t="shared" si="1"/>
        <v>0</v>
      </c>
      <c r="L15" s="978">
        <f t="shared" ca="1" si="1"/>
        <v>0</v>
      </c>
      <c r="M15" s="978">
        <f t="shared" si="1"/>
        <v>6195.6321047133451</v>
      </c>
      <c r="N15" s="978">
        <f t="shared" ca="1" si="1"/>
        <v>35601.003710808487</v>
      </c>
      <c r="O15" s="978">
        <f t="shared" si="1"/>
        <v>640.9666666666667</v>
      </c>
      <c r="P15" s="978">
        <f t="shared" si="1"/>
        <v>1792.2666666666667</v>
      </c>
      <c r="Q15" s="978">
        <f t="shared" ca="1" si="1"/>
        <v>710775.84349719214</v>
      </c>
    </row>
    <row r="17" spans="1:17">
      <c r="A17" s="487" t="s">
        <v>559</v>
      </c>
      <c r="B17" s="786">
        <f ca="1">huishoudens!B10</f>
        <v>0.18404333458976757</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9848.4206545085199</v>
      </c>
      <c r="C22" s="477">
        <f t="shared" ref="C22:C32" ca="1" si="3">C4*$C$17</f>
        <v>0</v>
      </c>
      <c r="D22" s="477">
        <f t="shared" ref="D22:D32" si="4">D4*$D$17</f>
        <v>16699.356270696</v>
      </c>
      <c r="E22" s="477">
        <f t="shared" ref="E22:E32" si="5">E4*$E$17</f>
        <v>938.99112588376511</v>
      </c>
      <c r="F22" s="477">
        <f t="shared" ref="F22:F32" si="6">F4*$F$17</f>
        <v>25005.619023001982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52492.387074090264</v>
      </c>
    </row>
    <row r="23" spans="1:17">
      <c r="A23" s="476" t="s">
        <v>156</v>
      </c>
      <c r="B23" s="477">
        <f t="shared" ca="1" si="2"/>
        <v>5682.3160543022586</v>
      </c>
      <c r="C23" s="477">
        <f t="shared" ca="1" si="3"/>
        <v>76.386554621848745</v>
      </c>
      <c r="D23" s="477">
        <f t="shared" ca="1" si="4"/>
        <v>5336.9585120148586</v>
      </c>
      <c r="E23" s="477">
        <f t="shared" si="5"/>
        <v>128.31960720162783</v>
      </c>
      <c r="F23" s="477">
        <f t="shared" ca="1" si="6"/>
        <v>2068.4995330740103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13292.480261214605</v>
      </c>
    </row>
    <row r="24" spans="1:17">
      <c r="A24" s="476" t="s">
        <v>194</v>
      </c>
      <c r="B24" s="477">
        <f t="shared" ca="1" si="2"/>
        <v>323.29733114376552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323.29733114376552</v>
      </c>
    </row>
    <row r="25" spans="1:17">
      <c r="A25" s="476" t="s">
        <v>112</v>
      </c>
      <c r="B25" s="477">
        <f t="shared" ca="1" si="2"/>
        <v>253.13964391147695</v>
      </c>
      <c r="C25" s="477">
        <f t="shared" ca="1" si="3"/>
        <v>0</v>
      </c>
      <c r="D25" s="477">
        <f t="shared" si="4"/>
        <v>278.76738269600003</v>
      </c>
      <c r="E25" s="477">
        <f t="shared" si="5"/>
        <v>8.0510515829682383</v>
      </c>
      <c r="F25" s="477">
        <f t="shared" si="6"/>
        <v>1342.3363226536928</v>
      </c>
      <c r="G25" s="477">
        <f t="shared" si="7"/>
        <v>0</v>
      </c>
      <c r="H25" s="477">
        <f t="shared" si="8"/>
        <v>0</v>
      </c>
      <c r="I25" s="477">
        <f t="shared" si="9"/>
        <v>0</v>
      </c>
      <c r="J25" s="477">
        <f t="shared" si="10"/>
        <v>70.096262989891855</v>
      </c>
      <c r="K25" s="477">
        <f t="shared" si="11"/>
        <v>0</v>
      </c>
      <c r="L25" s="477">
        <f t="shared" si="12"/>
        <v>0</v>
      </c>
      <c r="M25" s="477">
        <f t="shared" si="13"/>
        <v>0</v>
      </c>
      <c r="N25" s="477">
        <f t="shared" si="14"/>
        <v>0</v>
      </c>
      <c r="O25" s="477">
        <f t="shared" si="15"/>
        <v>0</v>
      </c>
      <c r="P25" s="478">
        <f t="shared" si="16"/>
        <v>0</v>
      </c>
      <c r="Q25" s="476">
        <f t="shared" ca="1" si="17"/>
        <v>1952.39066383403</v>
      </c>
    </row>
    <row r="26" spans="1:17">
      <c r="A26" s="476" t="s">
        <v>638</v>
      </c>
      <c r="B26" s="477">
        <f t="shared" ca="1" si="2"/>
        <v>4534.4528680193134</v>
      </c>
      <c r="C26" s="477">
        <f t="shared" ca="1" si="3"/>
        <v>1573.5630252100841</v>
      </c>
      <c r="D26" s="477">
        <f t="shared" si="4"/>
        <v>22110.926433122859</v>
      </c>
      <c r="E26" s="477">
        <f t="shared" si="5"/>
        <v>686.09756930940978</v>
      </c>
      <c r="F26" s="477">
        <f t="shared" si="6"/>
        <v>2981.0043347235255</v>
      </c>
      <c r="G26" s="477">
        <f t="shared" si="7"/>
        <v>0</v>
      </c>
      <c r="H26" s="477">
        <f t="shared" si="8"/>
        <v>0</v>
      </c>
      <c r="I26" s="477">
        <f t="shared" si="9"/>
        <v>0</v>
      </c>
      <c r="J26" s="477">
        <f t="shared" si="10"/>
        <v>20.230581306504551</v>
      </c>
      <c r="K26" s="477">
        <f t="shared" si="11"/>
        <v>0</v>
      </c>
      <c r="L26" s="477">
        <f t="shared" si="12"/>
        <v>0</v>
      </c>
      <c r="M26" s="477">
        <f t="shared" si="13"/>
        <v>0</v>
      </c>
      <c r="N26" s="477">
        <f t="shared" si="14"/>
        <v>0</v>
      </c>
      <c r="O26" s="477">
        <f t="shared" si="15"/>
        <v>0</v>
      </c>
      <c r="P26" s="478">
        <f t="shared" si="16"/>
        <v>0</v>
      </c>
      <c r="Q26" s="476">
        <f t="shared" ca="1" si="17"/>
        <v>31906.274811691696</v>
      </c>
    </row>
    <row r="27" spans="1:17" s="482" customFormat="1">
      <c r="A27" s="480" t="s">
        <v>564</v>
      </c>
      <c r="B27" s="780">
        <f t="shared" ca="1" si="2"/>
        <v>9.6547009627016642</v>
      </c>
      <c r="C27" s="481">
        <f t="shared" ca="1" si="3"/>
        <v>0</v>
      </c>
      <c r="D27" s="481">
        <f t="shared" si="4"/>
        <v>24.755025622541631</v>
      </c>
      <c r="E27" s="481">
        <f t="shared" si="5"/>
        <v>112.2187419237512</v>
      </c>
      <c r="F27" s="481">
        <f t="shared" si="6"/>
        <v>0</v>
      </c>
      <c r="G27" s="481">
        <f t="shared" si="7"/>
        <v>43348.214400758712</v>
      </c>
      <c r="H27" s="481">
        <f t="shared" si="8"/>
        <v>8253.8593358945473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51748.702205162248</v>
      </c>
    </row>
    <row r="28" spans="1:17">
      <c r="A28" s="476" t="s">
        <v>554</v>
      </c>
      <c r="B28" s="477">
        <f t="shared" ca="1" si="2"/>
        <v>0</v>
      </c>
      <c r="C28" s="477">
        <f t="shared" ca="1" si="3"/>
        <v>0</v>
      </c>
      <c r="D28" s="477">
        <f t="shared" si="4"/>
        <v>0</v>
      </c>
      <c r="E28" s="477">
        <f t="shared" si="5"/>
        <v>0</v>
      </c>
      <c r="F28" s="477">
        <f t="shared" si="6"/>
        <v>0</v>
      </c>
      <c r="G28" s="477">
        <f t="shared" si="7"/>
        <v>753.18478483490435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753.18478483490435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267.15307149381107</v>
      </c>
      <c r="C32" s="477">
        <f t="shared" ca="1" si="3"/>
        <v>0</v>
      </c>
      <c r="D32" s="477">
        <f t="shared" si="4"/>
        <v>295.91363800000005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563.06670949381112</v>
      </c>
    </row>
    <row r="33" spans="1:17" s="486" customFormat="1">
      <c r="A33" s="1038" t="s">
        <v>558</v>
      </c>
      <c r="B33" s="978">
        <f ca="1">SUM(B22:B32)</f>
        <v>20918.434324341852</v>
      </c>
      <c r="C33" s="978">
        <f t="shared" ref="C33:Q33" ca="1" si="18">SUM(C22:C32)</f>
        <v>1649.9495798319329</v>
      </c>
      <c r="D33" s="978">
        <f t="shared" ca="1" si="18"/>
        <v>44746.677262152261</v>
      </c>
      <c r="E33" s="978">
        <f t="shared" si="18"/>
        <v>1873.6780959015223</v>
      </c>
      <c r="F33" s="978">
        <f t="shared" ca="1" si="18"/>
        <v>31397.45921345321</v>
      </c>
      <c r="G33" s="978">
        <f t="shared" si="18"/>
        <v>44101.399185593618</v>
      </c>
      <c r="H33" s="978">
        <f t="shared" si="18"/>
        <v>8253.8593358945473</v>
      </c>
      <c r="I33" s="978">
        <f t="shared" si="18"/>
        <v>0</v>
      </c>
      <c r="J33" s="978">
        <f t="shared" si="18"/>
        <v>90.326844296396402</v>
      </c>
      <c r="K33" s="978">
        <f t="shared" si="18"/>
        <v>0</v>
      </c>
      <c r="L33" s="978">
        <f t="shared" ca="1" si="18"/>
        <v>0</v>
      </c>
      <c r="M33" s="978">
        <f t="shared" si="18"/>
        <v>0</v>
      </c>
      <c r="N33" s="978">
        <f t="shared" ca="1" si="18"/>
        <v>0</v>
      </c>
      <c r="O33" s="978">
        <f t="shared" si="18"/>
        <v>0</v>
      </c>
      <c r="P33" s="978">
        <f t="shared" si="18"/>
        <v>0</v>
      </c>
      <c r="Q33" s="978">
        <f t="shared" ca="1" si="18"/>
        <v>153031.78384146531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4056.8579785513411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15316.052133670619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4860</v>
      </c>
      <c r="D8" s="1055">
        <f>'SEAP template'!D76</f>
        <v>5717.6470588235297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1154.964705882353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19372.910112221958</v>
      </c>
      <c r="C10" s="1059">
        <f>SUM(C4:C9)</f>
        <v>4860</v>
      </c>
      <c r="D10" s="1059">
        <f t="shared" ref="D10:H10" si="0">SUM(D8:D9)</f>
        <v>5717.6470588235297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1154.964705882353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0.18404333458976757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6942.8571428571431</v>
      </c>
      <c r="D17" s="1056">
        <f>'SEAP template'!D87</f>
        <v>8168.0672268907565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1649.9495798319329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6942.8571428571431</v>
      </c>
      <c r="D20" s="1059">
        <f t="shared" ref="D20:H20" si="2">SUM(D17:D19)</f>
        <v>8168.0672268907565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1649.9495798319329</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0.18404333458976757</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0.18404333458976757</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0.18404333458976757</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12912</v>
      </c>
      <c r="C9" s="342">
        <v>13063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3606.93</v>
      </c>
    </row>
    <row r="15" spans="1:6">
      <c r="A15" s="348" t="s">
        <v>184</v>
      </c>
      <c r="B15" s="334">
        <v>28</v>
      </c>
    </row>
    <row r="16" spans="1:6">
      <c r="A16" s="348" t="s">
        <v>6</v>
      </c>
      <c r="B16" s="334">
        <v>1254</v>
      </c>
    </row>
    <row r="17" spans="1:6">
      <c r="A17" s="348" t="s">
        <v>7</v>
      </c>
      <c r="B17" s="334">
        <v>749</v>
      </c>
    </row>
    <row r="18" spans="1:6">
      <c r="A18" s="348" t="s">
        <v>8</v>
      </c>
      <c r="B18" s="334">
        <v>1234</v>
      </c>
    </row>
    <row r="19" spans="1:6">
      <c r="A19" s="348" t="s">
        <v>9</v>
      </c>
      <c r="B19" s="334">
        <v>1064</v>
      </c>
    </row>
    <row r="20" spans="1:6">
      <c r="A20" s="348" t="s">
        <v>10</v>
      </c>
      <c r="B20" s="334">
        <v>782</v>
      </c>
    </row>
    <row r="21" spans="1:6">
      <c r="A21" s="348" t="s">
        <v>11</v>
      </c>
      <c r="B21" s="334">
        <v>3037</v>
      </c>
    </row>
    <row r="22" spans="1:6">
      <c r="A22" s="348" t="s">
        <v>12</v>
      </c>
      <c r="B22" s="334">
        <v>7124</v>
      </c>
    </row>
    <row r="23" spans="1:6">
      <c r="A23" s="348" t="s">
        <v>13</v>
      </c>
      <c r="B23" s="334">
        <v>117</v>
      </c>
    </row>
    <row r="24" spans="1:6">
      <c r="A24" s="348" t="s">
        <v>14</v>
      </c>
      <c r="B24" s="334">
        <v>7</v>
      </c>
    </row>
    <row r="25" spans="1:6">
      <c r="A25" s="348" t="s">
        <v>15</v>
      </c>
      <c r="B25" s="334">
        <v>783</v>
      </c>
    </row>
    <row r="26" spans="1:6">
      <c r="A26" s="348" t="s">
        <v>16</v>
      </c>
      <c r="B26" s="334">
        <v>63</v>
      </c>
    </row>
    <row r="27" spans="1:6">
      <c r="A27" s="348" t="s">
        <v>17</v>
      </c>
      <c r="B27" s="334">
        <v>98</v>
      </c>
    </row>
    <row r="28" spans="1:6" s="356" customFormat="1">
      <c r="A28" s="355" t="s">
        <v>18</v>
      </c>
      <c r="B28" s="355">
        <v>25910</v>
      </c>
    </row>
    <row r="29" spans="1:6">
      <c r="A29" s="355" t="s">
        <v>884</v>
      </c>
      <c r="B29" s="355">
        <v>163</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176581</v>
      </c>
      <c r="E38" s="334">
        <v>0</v>
      </c>
      <c r="F38" s="334">
        <v>9827</v>
      </c>
    </row>
    <row r="39" spans="1:6">
      <c r="A39" s="348" t="s">
        <v>30</v>
      </c>
      <c r="B39" s="348" t="s">
        <v>31</v>
      </c>
      <c r="C39" s="334">
        <v>6276</v>
      </c>
      <c r="D39" s="334">
        <v>91651974</v>
      </c>
      <c r="E39" s="334">
        <v>13194</v>
      </c>
      <c r="F39" s="334">
        <v>44724977</v>
      </c>
    </row>
    <row r="40" spans="1:6">
      <c r="A40" s="348" t="s">
        <v>30</v>
      </c>
      <c r="B40" s="348" t="s">
        <v>29</v>
      </c>
      <c r="C40" s="334">
        <v>0</v>
      </c>
      <c r="D40" s="334">
        <v>0</v>
      </c>
      <c r="E40" s="334">
        <v>0</v>
      </c>
      <c r="F40" s="334">
        <v>0</v>
      </c>
    </row>
    <row r="41" spans="1:6">
      <c r="A41" s="348" t="s">
        <v>32</v>
      </c>
      <c r="B41" s="348" t="s">
        <v>33</v>
      </c>
      <c r="C41" s="334">
        <v>151</v>
      </c>
      <c r="D41" s="334">
        <v>5576010</v>
      </c>
      <c r="E41" s="334">
        <v>299</v>
      </c>
      <c r="F41" s="334">
        <v>11094310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2010713</v>
      </c>
      <c r="E44" s="334">
        <v>28</v>
      </c>
      <c r="F44" s="334">
        <v>680110</v>
      </c>
    </row>
    <row r="45" spans="1:6">
      <c r="A45" s="348" t="s">
        <v>32</v>
      </c>
      <c r="B45" s="348" t="s">
        <v>37</v>
      </c>
      <c r="C45" s="334">
        <v>0</v>
      </c>
      <c r="D45" s="334">
        <v>0</v>
      </c>
      <c r="E45" s="334">
        <v>13</v>
      </c>
      <c r="F45" s="334">
        <v>6160421</v>
      </c>
    </row>
    <row r="46" spans="1:6">
      <c r="A46" s="348" t="s">
        <v>32</v>
      </c>
      <c r="B46" s="348" t="s">
        <v>38</v>
      </c>
      <c r="C46" s="334">
        <v>0</v>
      </c>
      <c r="D46" s="334">
        <v>0</v>
      </c>
      <c r="E46" s="334">
        <v>0</v>
      </c>
      <c r="F46" s="334">
        <v>0</v>
      </c>
    </row>
    <row r="47" spans="1:6">
      <c r="A47" s="348" t="s">
        <v>32</v>
      </c>
      <c r="B47" s="348" t="s">
        <v>39</v>
      </c>
      <c r="C47" s="334">
        <v>4</v>
      </c>
      <c r="D47" s="334">
        <v>197081</v>
      </c>
      <c r="E47" s="334">
        <v>11</v>
      </c>
      <c r="F47" s="334">
        <v>745943</v>
      </c>
    </row>
    <row r="48" spans="1:6">
      <c r="A48" s="348" t="s">
        <v>32</v>
      </c>
      <c r="B48" s="348" t="s">
        <v>29</v>
      </c>
      <c r="C48" s="334">
        <v>0</v>
      </c>
      <c r="D48" s="334">
        <v>127496275</v>
      </c>
      <c r="E48" s="334">
        <v>0</v>
      </c>
      <c r="F48" s="334">
        <v>4228</v>
      </c>
    </row>
    <row r="49" spans="1:6">
      <c r="A49" s="348" t="s">
        <v>32</v>
      </c>
      <c r="B49" s="348" t="s">
        <v>40</v>
      </c>
      <c r="C49" s="334">
        <v>0</v>
      </c>
      <c r="D49" s="334">
        <v>0</v>
      </c>
      <c r="E49" s="334">
        <v>3</v>
      </c>
      <c r="F49" s="334">
        <v>37894</v>
      </c>
    </row>
    <row r="50" spans="1:6">
      <c r="A50" s="348" t="s">
        <v>32</v>
      </c>
      <c r="B50" s="348" t="s">
        <v>41</v>
      </c>
      <c r="C50" s="334">
        <v>5</v>
      </c>
      <c r="D50" s="334">
        <v>754166</v>
      </c>
      <c r="E50" s="334">
        <v>24</v>
      </c>
      <c r="F50" s="334">
        <v>1280057</v>
      </c>
    </row>
    <row r="51" spans="1:6">
      <c r="A51" s="348" t="s">
        <v>42</v>
      </c>
      <c r="B51" s="348" t="s">
        <v>43</v>
      </c>
      <c r="C51" s="334">
        <v>20</v>
      </c>
      <c r="D51" s="334">
        <v>1529974</v>
      </c>
      <c r="E51" s="334">
        <v>110</v>
      </c>
      <c r="F51" s="334">
        <v>1375435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128</v>
      </c>
      <c r="F54" s="334">
        <v>1756637</v>
      </c>
    </row>
    <row r="55" spans="1:6">
      <c r="A55" s="348" t="s">
        <v>46</v>
      </c>
      <c r="B55" s="348" t="s">
        <v>29</v>
      </c>
      <c r="C55" s="334">
        <v>0</v>
      </c>
      <c r="D55" s="334">
        <v>0</v>
      </c>
      <c r="E55" s="334">
        <v>0</v>
      </c>
      <c r="F55" s="334">
        <v>0</v>
      </c>
    </row>
    <row r="56" spans="1:6">
      <c r="A56" s="348" t="s">
        <v>48</v>
      </c>
      <c r="B56" s="348" t="s">
        <v>29</v>
      </c>
      <c r="C56" s="334">
        <v>97</v>
      </c>
      <c r="D56" s="334">
        <v>1464919</v>
      </c>
      <c r="E56" s="334">
        <v>310</v>
      </c>
      <c r="F56" s="334">
        <v>1451577</v>
      </c>
    </row>
    <row r="57" spans="1:6">
      <c r="A57" s="348" t="s">
        <v>49</v>
      </c>
      <c r="B57" s="348" t="s">
        <v>50</v>
      </c>
      <c r="C57" s="334">
        <v>62</v>
      </c>
      <c r="D57" s="334">
        <v>2164821</v>
      </c>
      <c r="E57" s="334">
        <v>145</v>
      </c>
      <c r="F57" s="334">
        <v>5267932</v>
      </c>
    </row>
    <row r="58" spans="1:6">
      <c r="A58" s="348" t="s">
        <v>49</v>
      </c>
      <c r="B58" s="348" t="s">
        <v>51</v>
      </c>
      <c r="C58" s="334">
        <v>41</v>
      </c>
      <c r="D58" s="334">
        <v>8812228</v>
      </c>
      <c r="E58" s="334">
        <v>75</v>
      </c>
      <c r="F58" s="334">
        <v>2946093</v>
      </c>
    </row>
    <row r="59" spans="1:6">
      <c r="A59" s="348" t="s">
        <v>49</v>
      </c>
      <c r="B59" s="348" t="s">
        <v>52</v>
      </c>
      <c r="C59" s="334">
        <v>160</v>
      </c>
      <c r="D59" s="334">
        <v>6060007</v>
      </c>
      <c r="E59" s="334">
        <v>411</v>
      </c>
      <c r="F59" s="334">
        <v>10835957</v>
      </c>
    </row>
    <row r="60" spans="1:6">
      <c r="A60" s="348" t="s">
        <v>49</v>
      </c>
      <c r="B60" s="348" t="s">
        <v>53</v>
      </c>
      <c r="C60" s="334">
        <v>71</v>
      </c>
      <c r="D60" s="334">
        <v>2975564</v>
      </c>
      <c r="E60" s="334">
        <v>130</v>
      </c>
      <c r="F60" s="334">
        <v>3776632</v>
      </c>
    </row>
    <row r="61" spans="1:6">
      <c r="A61" s="348" t="s">
        <v>49</v>
      </c>
      <c r="B61" s="348" t="s">
        <v>54</v>
      </c>
      <c r="C61" s="334">
        <v>181</v>
      </c>
      <c r="D61" s="334">
        <v>6623997</v>
      </c>
      <c r="E61" s="334">
        <v>520</v>
      </c>
      <c r="F61" s="334">
        <v>6727658</v>
      </c>
    </row>
    <row r="62" spans="1:6">
      <c r="A62" s="348" t="s">
        <v>49</v>
      </c>
      <c r="B62" s="348" t="s">
        <v>55</v>
      </c>
      <c r="C62" s="334">
        <v>22</v>
      </c>
      <c r="D62" s="334">
        <v>3367201</v>
      </c>
      <c r="E62" s="334">
        <v>39</v>
      </c>
      <c r="F62" s="334">
        <v>1095609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42741</v>
      </c>
      <c r="E65" s="334">
        <v>0</v>
      </c>
      <c r="F65" s="334">
        <v>14900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46697</v>
      </c>
      <c r="E68" s="334">
        <v>14</v>
      </c>
      <c r="F68" s="334">
        <v>131674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125509884</v>
      </c>
      <c r="E73" s="475">
        <v>155064314.14319578</v>
      </c>
    </row>
    <row r="74" spans="1:6">
      <c r="A74" s="348" t="s">
        <v>64</v>
      </c>
      <c r="B74" s="348" t="s">
        <v>667</v>
      </c>
      <c r="C74" s="1294" t="s">
        <v>669</v>
      </c>
      <c r="D74" s="475">
        <v>8396847.6471562162</v>
      </c>
      <c r="E74" s="475">
        <v>9688277.2347544506</v>
      </c>
    </row>
    <row r="75" spans="1:6">
      <c r="A75" s="348" t="s">
        <v>65</v>
      </c>
      <c r="B75" s="348" t="s">
        <v>666</v>
      </c>
      <c r="C75" s="1294" t="s">
        <v>670</v>
      </c>
      <c r="D75" s="475">
        <v>47973055</v>
      </c>
      <c r="E75" s="475">
        <v>61095694.828505352</v>
      </c>
    </row>
    <row r="76" spans="1:6">
      <c r="A76" s="348" t="s">
        <v>65</v>
      </c>
      <c r="B76" s="348" t="s">
        <v>667</v>
      </c>
      <c r="C76" s="1294" t="s">
        <v>671</v>
      </c>
      <c r="D76" s="475">
        <v>859064.64715621597</v>
      </c>
      <c r="E76" s="475">
        <v>1034111.793342686</v>
      </c>
    </row>
    <row r="77" spans="1:6">
      <c r="A77" s="348" t="s">
        <v>66</v>
      </c>
      <c r="B77" s="348" t="s">
        <v>666</v>
      </c>
      <c r="C77" s="1294" t="s">
        <v>672</v>
      </c>
      <c r="D77" s="475">
        <v>50379445</v>
      </c>
      <c r="E77" s="475">
        <v>52508207.013215013</v>
      </c>
    </row>
    <row r="78" spans="1:6">
      <c r="A78" s="341" t="s">
        <v>66</v>
      </c>
      <c r="B78" s="341" t="s">
        <v>667</v>
      </c>
      <c r="C78" s="341" t="s">
        <v>673</v>
      </c>
      <c r="D78" s="1295">
        <v>9751177</v>
      </c>
      <c r="E78" s="1295">
        <v>9783965.4673394691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781160.70568756794</v>
      </c>
      <c r="C83" s="475">
        <v>781160.70568756794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4056.8579785513411</v>
      </c>
    </row>
    <row r="91" spans="1:6">
      <c r="A91" s="348" t="s">
        <v>68</v>
      </c>
      <c r="B91" s="334">
        <v>8786.4456030550919</v>
      </c>
    </row>
    <row r="92" spans="1:6">
      <c r="A92" s="341" t="s">
        <v>69</v>
      </c>
      <c r="B92" s="342">
        <v>6529.6065306155278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39</v>
      </c>
      <c r="C123" s="334">
        <v>78</v>
      </c>
    </row>
    <row r="124" spans="1:6">
      <c r="A124" s="341" t="s">
        <v>89</v>
      </c>
      <c r="B124" s="334">
        <v>4</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329</v>
      </c>
    </row>
    <row r="130" spans="1:6">
      <c r="A130" s="348" t="s">
        <v>295</v>
      </c>
      <c r="B130" s="334">
        <v>2</v>
      </c>
    </row>
    <row r="131" spans="1:6">
      <c r="A131" s="348" t="s">
        <v>296</v>
      </c>
      <c r="B131" s="334">
        <v>0</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113660.37444914274</v>
      </c>
      <c r="C3" s="43" t="s">
        <v>170</v>
      </c>
      <c r="D3" s="43"/>
      <c r="E3" s="154"/>
      <c r="F3" s="43"/>
      <c r="G3" s="43"/>
      <c r="H3" s="43"/>
      <c r="I3" s="43"/>
      <c r="J3" s="43"/>
      <c r="K3" s="96"/>
    </row>
    <row r="4" spans="1:11">
      <c r="A4" s="383" t="s">
        <v>171</v>
      </c>
      <c r="B4" s="49">
        <f>IF(ISERROR('SEAP template'!B78+'SEAP template'!C78),0,'SEAP template'!B78+'SEAP template'!C78)</f>
        <v>24232.910112221958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1154.964705882353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0.18404333458976757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1649.9495798319329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6942.8571428571431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1756.6369999999999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1756.6369999999999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0.18404333458976757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323.29733114376552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44724.976999999999</v>
      </c>
      <c r="C5" s="17">
        <f>IF(ISERROR('Eigen informatie GS &amp; warmtenet'!B57),0,'Eigen informatie GS &amp; warmtenet'!B57)</f>
        <v>0</v>
      </c>
      <c r="D5" s="30">
        <f>(SUM(HH_hh_gas_kWh,HH_rest_gas_kWh)/1000)*0.902</f>
        <v>82670.080547999998</v>
      </c>
      <c r="E5" s="17">
        <f>B46*B57</f>
        <v>4136.5247836289209</v>
      </c>
      <c r="F5" s="17">
        <f>B51*B62</f>
        <v>93654.003831468086</v>
      </c>
      <c r="G5" s="18"/>
      <c r="H5" s="17"/>
      <c r="I5" s="17"/>
      <c r="J5" s="17">
        <f>B50*B61+C50*C61</f>
        <v>0</v>
      </c>
      <c r="K5" s="17"/>
      <c r="L5" s="17"/>
      <c r="M5" s="17"/>
      <c r="N5" s="17">
        <f>B48*B59+C48*C59</f>
        <v>26049.920210415468</v>
      </c>
      <c r="O5" s="17">
        <f>B69*B70*B71</f>
        <v>637.84</v>
      </c>
      <c r="P5" s="17">
        <f>B77*B78*B79/1000-B77*B78*B79/1000/B80</f>
        <v>1773.2</v>
      </c>
    </row>
    <row r="6" spans="1:16">
      <c r="A6" s="16" t="s">
        <v>624</v>
      </c>
      <c r="B6" s="788">
        <f>kWh_PV_kleiner_dan_10kW</f>
        <v>8786.4456030550919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53511.422603055093</v>
      </c>
      <c r="C8" s="21">
        <f>C5</f>
        <v>0</v>
      </c>
      <c r="D8" s="21">
        <f>D5</f>
        <v>82670.080547999998</v>
      </c>
      <c r="E8" s="21">
        <f>E5</f>
        <v>4136.5247836289209</v>
      </c>
      <c r="F8" s="21">
        <f>F5</f>
        <v>93654.003831468086</v>
      </c>
      <c r="G8" s="21"/>
      <c r="H8" s="21"/>
      <c r="I8" s="21"/>
      <c r="J8" s="21">
        <f>J5</f>
        <v>0</v>
      </c>
      <c r="K8" s="21"/>
      <c r="L8" s="21">
        <f>L5</f>
        <v>0</v>
      </c>
      <c r="M8" s="21">
        <f>M5</f>
        <v>0</v>
      </c>
      <c r="N8" s="21">
        <f>N5</f>
        <v>26049.920210415468</v>
      </c>
      <c r="O8" s="21">
        <f>O5</f>
        <v>637.84</v>
      </c>
      <c r="P8" s="21">
        <f>P5</f>
        <v>1773.2</v>
      </c>
    </row>
    <row r="9" spans="1:16">
      <c r="B9" s="19"/>
      <c r="C9" s="19"/>
      <c r="D9" s="258"/>
      <c r="E9" s="19"/>
      <c r="F9" s="19"/>
      <c r="G9" s="19"/>
      <c r="H9" s="19"/>
      <c r="I9" s="19"/>
      <c r="J9" s="19"/>
      <c r="K9" s="19"/>
      <c r="L9" s="19"/>
      <c r="M9" s="19"/>
      <c r="N9" s="19"/>
      <c r="O9" s="19"/>
      <c r="P9" s="19"/>
    </row>
    <row r="10" spans="1:16">
      <c r="A10" s="24" t="s">
        <v>214</v>
      </c>
      <c r="B10" s="25">
        <f ca="1">'EF ele_warmte'!B12</f>
        <v>0.18404333458976757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9848.4206545085199</v>
      </c>
      <c r="C12" s="23">
        <f ca="1">C10*C8</f>
        <v>0</v>
      </c>
      <c r="D12" s="23">
        <f>D8*D10</f>
        <v>16699.356270696</v>
      </c>
      <c r="E12" s="23">
        <f>E10*E8</f>
        <v>938.99112588376511</v>
      </c>
      <c r="F12" s="23">
        <f>F10*F8</f>
        <v>25005.619023001982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12912</v>
      </c>
      <c r="C28" s="36"/>
      <c r="D28" s="228"/>
    </row>
    <row r="29" spans="1:7" s="15" customFormat="1">
      <c r="A29" s="230" t="s">
        <v>699</v>
      </c>
      <c r="B29" s="37">
        <f>SUM(HH_hh_gas_aantal,HH_rest_gas_aantal)</f>
        <v>6276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6276</v>
      </c>
      <c r="C32" s="167">
        <f>IF(ISERROR(B32/SUM($B$32,$B$34,$B$35,$B$36,$B$38,$B$39)*100),0,B32/SUM($B$32,$B$34,$B$35,$B$36,$B$38,$B$39)*100)</f>
        <v>48.958577112099228</v>
      </c>
      <c r="D32" s="233"/>
      <c r="G32" s="15"/>
    </row>
    <row r="33" spans="1:7">
      <c r="A33" s="171" t="s">
        <v>72</v>
      </c>
      <c r="B33" s="34" t="s">
        <v>111</v>
      </c>
      <c r="C33" s="167"/>
      <c r="D33" s="233"/>
      <c r="G33" s="15"/>
    </row>
    <row r="34" spans="1:7">
      <c r="A34" s="171" t="s">
        <v>73</v>
      </c>
      <c r="B34" s="33">
        <f>IF((($B$28-$B$32-$B$39-$B$77-$B$38)*C20/100)&lt;0,0,($B$28-$B$32-$B$39-$B$77-$B$38)*C20/100)</f>
        <v>182.88731563421831</v>
      </c>
      <c r="C34" s="167">
        <f>IF(ISERROR(B34/SUM($B$32,$B$34,$B$35,$B$36,$B$38,$B$39)*100),0,B34/SUM($B$32,$B$34,$B$35,$B$36,$B$38,$B$39)*100)</f>
        <v>1.426689411297436</v>
      </c>
      <c r="D34" s="233"/>
      <c r="G34" s="15"/>
    </row>
    <row r="35" spans="1:7">
      <c r="A35" s="171" t="s">
        <v>74</v>
      </c>
      <c r="B35" s="33">
        <f>IF((($B$28-$B$32-$B$39-$B$77-$B$38)*C21/100)&lt;0,0,($B$28-$B$32-$B$39-$B$77-$B$38)*C21/100)</f>
        <v>2107.1799410029503</v>
      </c>
      <c r="C35" s="167">
        <f>IF(ISERROR(B35/SUM($B$32,$B$34,$B$35,$B$36,$B$38,$B$39)*100),0,B35/SUM($B$32,$B$34,$B$35,$B$36,$B$38,$B$39)*100)</f>
        <v>16.437943217122633</v>
      </c>
      <c r="D35" s="233"/>
      <c r="G35" s="15"/>
    </row>
    <row r="36" spans="1:7">
      <c r="A36" s="171" t="s">
        <v>75</v>
      </c>
      <c r="B36" s="33">
        <f>IF((($B$28-$B$32-$B$39-$B$77-$B$38)*C22/100)&lt;0,0,($B$28-$B$32-$B$39-$B$77-$B$38)*C22/100)</f>
        <v>405.53274336283198</v>
      </c>
      <c r="C36" s="167">
        <f>IF(ISERROR(B36/SUM($B$32,$B$34,$B$35,$B$36,$B$38,$B$39)*100),0,B36/SUM($B$32,$B$34,$B$35,$B$36,$B$38,$B$39)*100)</f>
        <v>3.1635286946160543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3847.3999999999996</v>
      </c>
      <c r="C39" s="167">
        <f>IF(ISERROR(B39/SUM($B$32,$B$34,$B$35,$B$36,$B$38,$B$39)*100),0,B39/SUM($B$32,$B$34,$B$35,$B$36,$B$38,$B$39)*100)</f>
        <v>30.013261564864653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6276</v>
      </c>
      <c r="C44" s="34" t="s">
        <v>111</v>
      </c>
      <c r="D44" s="174"/>
    </row>
    <row r="45" spans="1:7">
      <c r="A45" s="171" t="s">
        <v>72</v>
      </c>
      <c r="B45" s="33" t="str">
        <f t="shared" si="0"/>
        <v>-</v>
      </c>
      <c r="C45" s="34" t="s">
        <v>111</v>
      </c>
      <c r="D45" s="174"/>
    </row>
    <row r="46" spans="1:7">
      <c r="A46" s="171" t="s">
        <v>73</v>
      </c>
      <c r="B46" s="33">
        <f t="shared" si="0"/>
        <v>182.88731563421831</v>
      </c>
      <c r="C46" s="34" t="s">
        <v>111</v>
      </c>
      <c r="D46" s="174"/>
    </row>
    <row r="47" spans="1:7">
      <c r="A47" s="171" t="s">
        <v>74</v>
      </c>
      <c r="B47" s="33">
        <f t="shared" si="0"/>
        <v>2107.1799410029503</v>
      </c>
      <c r="C47" s="34" t="s">
        <v>111</v>
      </c>
      <c r="D47" s="174"/>
    </row>
    <row r="48" spans="1:7">
      <c r="A48" s="171" t="s">
        <v>75</v>
      </c>
      <c r="B48" s="33">
        <f t="shared" si="0"/>
        <v>405.53274336283198</v>
      </c>
      <c r="C48" s="33">
        <f>B48*10</f>
        <v>4055.3274336283198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3847.3999999999996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30649.881000000005</v>
      </c>
      <c r="C5" s="17">
        <f>IF(ISERROR('Eigen informatie GS &amp; warmtenet'!B58),0,'Eigen informatie GS &amp; warmtenet'!B58)</f>
        <v>0</v>
      </c>
      <c r="D5" s="30">
        <f>SUM(D6:D12)</f>
        <v>27063.443836000002</v>
      </c>
      <c r="E5" s="17">
        <f>SUM(E6:E12)</f>
        <v>565.28461322303008</v>
      </c>
      <c r="F5" s="17">
        <f>SUM(F6:F12)</f>
        <v>7747.1892624494758</v>
      </c>
      <c r="G5" s="18"/>
      <c r="H5" s="17"/>
      <c r="I5" s="17"/>
      <c r="J5" s="17">
        <f>SUM(J6:J12)</f>
        <v>0</v>
      </c>
      <c r="K5" s="17"/>
      <c r="L5" s="17"/>
      <c r="M5" s="17"/>
      <c r="N5" s="17">
        <f>SUM(N6:N12)</f>
        <v>4208.6489043433303</v>
      </c>
      <c r="O5" s="17">
        <f>B38*B39*B40</f>
        <v>3.1266666666666669</v>
      </c>
      <c r="P5" s="17">
        <f>B46*B47*B48/1000-B46*B47*B48/1000/B49</f>
        <v>19.066666666666666</v>
      </c>
      <c r="R5" s="32"/>
    </row>
    <row r="6" spans="1:18">
      <c r="A6" s="32" t="s">
        <v>54</v>
      </c>
      <c r="B6" s="37">
        <f>B26</f>
        <v>6727.6580000000004</v>
      </c>
      <c r="C6" s="33"/>
      <c r="D6" s="37">
        <f>IF(ISERROR(TER_kantoor_gas_kWh/1000),0,TER_kantoor_gas_kWh/1000)*0.902</f>
        <v>5974.8452940000006</v>
      </c>
      <c r="E6" s="33">
        <f>$C$26*'E Balans VL '!I12/100/3.6*1000000</f>
        <v>88.073330492968097</v>
      </c>
      <c r="F6" s="33">
        <f>$C$26*('E Balans VL '!L12+'E Balans VL '!N12)/100/3.6*1000000</f>
        <v>1715.483268979179</v>
      </c>
      <c r="G6" s="34"/>
      <c r="H6" s="33"/>
      <c r="I6" s="33"/>
      <c r="J6" s="33">
        <f>$C$26*('E Balans VL '!D12+'E Balans VL '!E12)/100/3.6*1000000</f>
        <v>0</v>
      </c>
      <c r="K6" s="33"/>
      <c r="L6" s="33"/>
      <c r="M6" s="33"/>
      <c r="N6" s="33">
        <f>$C$26*'E Balans VL '!Y12/100/3.6*1000000</f>
        <v>6.7503130279627381</v>
      </c>
      <c r="O6" s="33"/>
      <c r="P6" s="33"/>
      <c r="R6" s="32"/>
    </row>
    <row r="7" spans="1:18">
      <c r="A7" s="32" t="s">
        <v>53</v>
      </c>
      <c r="B7" s="37">
        <f t="shared" ref="B7:B12" si="0">B27</f>
        <v>3776.6320000000001</v>
      </c>
      <c r="C7" s="33"/>
      <c r="D7" s="37">
        <f>IF(ISERROR(TER_horeca_gas_kWh/1000),0,TER_horeca_gas_kWh/1000)*0.902</f>
        <v>2683.9587280000001</v>
      </c>
      <c r="E7" s="33">
        <f>$C$27*'E Balans VL '!I9/100/3.6*1000000</f>
        <v>124.98354671817752</v>
      </c>
      <c r="F7" s="33">
        <f>$C$27*('E Balans VL '!L9+'E Balans VL '!N9)/100/3.6*1000000</f>
        <v>1623.9372861929889</v>
      </c>
      <c r="G7" s="34"/>
      <c r="H7" s="33"/>
      <c r="I7" s="33"/>
      <c r="J7" s="33">
        <f>$C$27*('E Balans VL '!D9+'E Balans VL '!E9)/100/3.6*1000000</f>
        <v>0</v>
      </c>
      <c r="K7" s="33"/>
      <c r="L7" s="33"/>
      <c r="M7" s="33"/>
      <c r="N7" s="33">
        <f>$C$27*'E Balans VL '!Y9/100/3.6*1000000</f>
        <v>0.90909016511512775</v>
      </c>
      <c r="O7" s="33"/>
      <c r="P7" s="33"/>
      <c r="R7" s="32"/>
    </row>
    <row r="8" spans="1:18">
      <c r="A8" s="6" t="s">
        <v>52</v>
      </c>
      <c r="B8" s="37">
        <f t="shared" si="0"/>
        <v>10835.957</v>
      </c>
      <c r="C8" s="33"/>
      <c r="D8" s="37">
        <f>IF(ISERROR(TER_handel_gas_kWh/1000),0,TER_handel_gas_kWh/1000)*0.902</f>
        <v>5466.1263140000001</v>
      </c>
      <c r="E8" s="33">
        <f>$C$28*'E Balans VL '!I13/100/3.6*1000000</f>
        <v>341.99935976945511</v>
      </c>
      <c r="F8" s="33">
        <f>$C$28*('E Balans VL '!L13+'E Balans VL '!N13)/100/3.6*1000000</f>
        <v>2125.1219770562748</v>
      </c>
      <c r="G8" s="34"/>
      <c r="H8" s="33"/>
      <c r="I8" s="33"/>
      <c r="J8" s="33">
        <f>$C$28*('E Balans VL '!D13+'E Balans VL '!E13)/100/3.6*1000000</f>
        <v>0</v>
      </c>
      <c r="K8" s="33"/>
      <c r="L8" s="33"/>
      <c r="M8" s="33"/>
      <c r="N8" s="33">
        <f>$C$28*'E Balans VL '!Y13/100/3.6*1000000</f>
        <v>12.860177183775374</v>
      </c>
      <c r="O8" s="33"/>
      <c r="P8" s="33"/>
      <c r="R8" s="32"/>
    </row>
    <row r="9" spans="1:18">
      <c r="A9" s="32" t="s">
        <v>51</v>
      </c>
      <c r="B9" s="37">
        <f t="shared" si="0"/>
        <v>2946.0929999999998</v>
      </c>
      <c r="C9" s="33"/>
      <c r="D9" s="37">
        <f>IF(ISERROR(TER_gezond_gas_kWh/1000),0,TER_gezond_gas_kWh/1000)*0.902</f>
        <v>7948.6296559999992</v>
      </c>
      <c r="E9" s="33">
        <f>$C$29*'E Balans VL '!I10/100/3.6*1000000</f>
        <v>0.37718609003840831</v>
      </c>
      <c r="F9" s="33">
        <f>$C$29*('E Balans VL '!L10+'E Balans VL '!N10)/100/3.6*1000000</f>
        <v>613.79465397394495</v>
      </c>
      <c r="G9" s="34"/>
      <c r="H9" s="33"/>
      <c r="I9" s="33"/>
      <c r="J9" s="33">
        <f>$C$29*('E Balans VL '!D10+'E Balans VL '!E10)/100/3.6*1000000</f>
        <v>0</v>
      </c>
      <c r="K9" s="33"/>
      <c r="L9" s="33"/>
      <c r="M9" s="33"/>
      <c r="N9" s="33">
        <f>$C$29*'E Balans VL '!Y10/100/3.6*1000000</f>
        <v>34.603254791618831</v>
      </c>
      <c r="O9" s="33"/>
      <c r="P9" s="33"/>
      <c r="R9" s="32"/>
    </row>
    <row r="10" spans="1:18">
      <c r="A10" s="32" t="s">
        <v>50</v>
      </c>
      <c r="B10" s="37">
        <f t="shared" si="0"/>
        <v>5267.9319999999998</v>
      </c>
      <c r="C10" s="33"/>
      <c r="D10" s="37">
        <f>IF(ISERROR(TER_ander_gas_kWh/1000),0,TER_ander_gas_kWh/1000)*0.902</f>
        <v>1952.6685419999999</v>
      </c>
      <c r="E10" s="33">
        <f>$C$30*'E Balans VL '!I14/100/3.6*1000000</f>
        <v>7.9217308916740956</v>
      </c>
      <c r="F10" s="33">
        <f>$C$30*('E Balans VL '!L14+'E Balans VL '!N14)/100/3.6*1000000</f>
        <v>1162.9895759350222</v>
      </c>
      <c r="G10" s="34"/>
      <c r="H10" s="33"/>
      <c r="I10" s="33"/>
      <c r="J10" s="33">
        <f>$C$30*('E Balans VL '!D14+'E Balans VL '!E14)/100/3.6*1000000</f>
        <v>0</v>
      </c>
      <c r="K10" s="33"/>
      <c r="L10" s="33"/>
      <c r="M10" s="33"/>
      <c r="N10" s="33">
        <f>$C$30*'E Balans VL '!Y14/100/3.6*1000000</f>
        <v>4151.4849344569238</v>
      </c>
      <c r="O10" s="33"/>
      <c r="P10" s="33"/>
      <c r="R10" s="32"/>
    </row>
    <row r="11" spans="1:18">
      <c r="A11" s="32" t="s">
        <v>55</v>
      </c>
      <c r="B11" s="37">
        <f t="shared" si="0"/>
        <v>1095.6089999999999</v>
      </c>
      <c r="C11" s="33"/>
      <c r="D11" s="37">
        <f>IF(ISERROR(TER_onderwijs_gas_kWh/1000),0,TER_onderwijs_gas_kWh/1000)*0.902</f>
        <v>3037.2153020000001</v>
      </c>
      <c r="E11" s="33">
        <f>$C$31*'E Balans VL '!I11/100/3.6*1000000</f>
        <v>1.9294592607168402</v>
      </c>
      <c r="F11" s="33">
        <f>$C$31*('E Balans VL '!L11+'E Balans VL '!N11)/100/3.6*1000000</f>
        <v>505.86250031206589</v>
      </c>
      <c r="G11" s="34"/>
      <c r="H11" s="33"/>
      <c r="I11" s="33"/>
      <c r="J11" s="33">
        <f>$C$31*('E Balans VL '!D11+'E Balans VL '!E11)/100/3.6*1000000</f>
        <v>0</v>
      </c>
      <c r="K11" s="33"/>
      <c r="L11" s="33"/>
      <c r="M11" s="33"/>
      <c r="N11" s="33">
        <f>$C$31*'E Balans VL '!Y11/100/3.6*1000000</f>
        <v>2.041134717934415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30874.881000000005</v>
      </c>
      <c r="C16" s="21">
        <f t="shared" ca="1" si="1"/>
        <v>321.42857142857144</v>
      </c>
      <c r="D16" s="21">
        <f t="shared" ca="1" si="1"/>
        <v>26420.586693142861</v>
      </c>
      <c r="E16" s="21">
        <f t="shared" si="1"/>
        <v>565.28461322303008</v>
      </c>
      <c r="F16" s="21">
        <f t="shared" ca="1" si="1"/>
        <v>7747.1892624494758</v>
      </c>
      <c r="G16" s="21">
        <f t="shared" si="1"/>
        <v>0</v>
      </c>
      <c r="H16" s="21">
        <f t="shared" si="1"/>
        <v>0</v>
      </c>
      <c r="I16" s="21">
        <f t="shared" si="1"/>
        <v>0</v>
      </c>
      <c r="J16" s="21">
        <f t="shared" si="1"/>
        <v>0</v>
      </c>
      <c r="K16" s="21">
        <f t="shared" si="1"/>
        <v>0</v>
      </c>
      <c r="L16" s="21">
        <f t="shared" ca="1" si="1"/>
        <v>0</v>
      </c>
      <c r="M16" s="21">
        <f t="shared" si="1"/>
        <v>0</v>
      </c>
      <c r="N16" s="21">
        <f t="shared" ca="1" si="1"/>
        <v>4208.6489043433303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0.18404333458976757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5682.3160543022586</v>
      </c>
      <c r="C20" s="23">
        <f t="shared" ref="C20:P20" ca="1" si="2">C16*C18</f>
        <v>76.386554621848745</v>
      </c>
      <c r="D20" s="23">
        <f t="shared" ca="1" si="2"/>
        <v>5336.9585120148586</v>
      </c>
      <c r="E20" s="23">
        <f t="shared" si="2"/>
        <v>128.31960720162783</v>
      </c>
      <c r="F20" s="23">
        <f t="shared" ca="1" si="2"/>
        <v>2068.4995330740103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6727.6580000000004</v>
      </c>
      <c r="C26" s="39">
        <f>IF(ISERROR(B26*3.6/1000000/'E Balans VL '!Z12*100),0,B26*3.6/1000000/'E Balans VL '!Z12*100)</f>
        <v>0.14411166087398222</v>
      </c>
      <c r="D26" s="237" t="s">
        <v>660</v>
      </c>
      <c r="F26" s="6"/>
    </row>
    <row r="27" spans="1:18">
      <c r="A27" s="231" t="s">
        <v>53</v>
      </c>
      <c r="B27" s="33">
        <f>IF(ISERROR(TER_horeca_ele_kWh/1000),0,TER_horeca_ele_kWh/1000)</f>
        <v>3776.6320000000001</v>
      </c>
      <c r="C27" s="39">
        <f>IF(ISERROR(B27*3.6/1000000/'E Balans VL '!Z9*100),0,B27*3.6/1000000/'E Balans VL '!Z9*100)</f>
        <v>0.30306159056116194</v>
      </c>
      <c r="D27" s="237" t="s">
        <v>660</v>
      </c>
      <c r="F27" s="6"/>
    </row>
    <row r="28" spans="1:18">
      <c r="A28" s="171" t="s">
        <v>52</v>
      </c>
      <c r="B28" s="33">
        <f>IF(ISERROR(TER_handel_ele_kWh/1000),0,TER_handel_ele_kWh/1000)</f>
        <v>10835.957</v>
      </c>
      <c r="C28" s="39">
        <f>IF(ISERROR(B28*3.6/1000000/'E Balans VL '!Z13*100),0,B28*3.6/1000000/'E Balans VL '!Z13*100)</f>
        <v>0.31959857892971261</v>
      </c>
      <c r="D28" s="237" t="s">
        <v>660</v>
      </c>
      <c r="F28" s="6"/>
    </row>
    <row r="29" spans="1:18">
      <c r="A29" s="231" t="s">
        <v>51</v>
      </c>
      <c r="B29" s="33">
        <f>IF(ISERROR(TER_gezond_ele_kWh/1000),0,TER_gezond_ele_kWh/1000)</f>
        <v>2946.0929999999998</v>
      </c>
      <c r="C29" s="39">
        <f>IF(ISERROR(B29*3.6/1000000/'E Balans VL '!Z10*100),0,B29*3.6/1000000/'E Balans VL '!Z10*100)</f>
        <v>0.31456374468465503</v>
      </c>
      <c r="D29" s="237" t="s">
        <v>660</v>
      </c>
      <c r="F29" s="6"/>
    </row>
    <row r="30" spans="1:18">
      <c r="A30" s="231" t="s">
        <v>50</v>
      </c>
      <c r="B30" s="33">
        <f>IF(ISERROR(TER_ander_ele_kWh/1000),0,TER_ander_ele_kWh/1000)</f>
        <v>5267.9319999999998</v>
      </c>
      <c r="C30" s="39">
        <f>IF(ISERROR(B30*3.6/1000000/'E Balans VL '!Z14*100),0,B30*3.6/1000000/'E Balans VL '!Z14*100)</f>
        <v>0.39790759029454609</v>
      </c>
      <c r="D30" s="237" t="s">
        <v>660</v>
      </c>
      <c r="F30" s="6"/>
    </row>
    <row r="31" spans="1:18">
      <c r="A31" s="231" t="s">
        <v>55</v>
      </c>
      <c r="B31" s="33">
        <f>IF(ISERROR(TER_onderwijs_ele_kWh/1000),0,TER_onderwijs_ele_kWh/1000)</f>
        <v>1095.6089999999999</v>
      </c>
      <c r="C31" s="39">
        <f>IF(ISERROR(B31*3.6/1000000/'E Balans VL '!Z11*100),0,B31*3.6/1000000/'E Balans VL '!Z11*100)</f>
        <v>0.22124003135393519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20002.963</v>
      </c>
      <c r="C5" s="17">
        <f>IF(ISERROR('Eigen informatie GS &amp; warmtenet'!B59),0,'Eigen informatie GS &amp; warmtenet'!B59)</f>
        <v>0</v>
      </c>
      <c r="D5" s="30">
        <f>SUM(D6:D15)</f>
        <v>122702.88899000001</v>
      </c>
      <c r="E5" s="17">
        <f>SUM(E6:E15)</f>
        <v>3022.4562524643602</v>
      </c>
      <c r="F5" s="17">
        <f>SUM(F6:F15)</f>
        <v>11164.810242410207</v>
      </c>
      <c r="G5" s="18"/>
      <c r="H5" s="17"/>
      <c r="I5" s="17"/>
      <c r="J5" s="17">
        <f>SUM(J6:J15)</f>
        <v>57.148534764137153</v>
      </c>
      <c r="K5" s="17"/>
      <c r="L5" s="17"/>
      <c r="M5" s="17"/>
      <c r="N5" s="17">
        <f>SUM(N6:N15)</f>
        <v>5342.4345960496848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680.11</v>
      </c>
      <c r="C8" s="33"/>
      <c r="D8" s="37">
        <f>IF( ISERROR(IND_metaal_Gas_kWH/1000),0,IND_metaal_Gas_kWH/1000)*0.902</f>
        <v>1813.6631259999999</v>
      </c>
      <c r="E8" s="33">
        <f>C30*'E Balans VL '!I18/100/3.6*1000000</f>
        <v>24.472415272221937</v>
      </c>
      <c r="F8" s="33">
        <f>C30*'E Balans VL '!L18/100/3.6*1000000+C30*'E Balans VL '!N18/100/3.6*1000000</f>
        <v>296.98199020581171</v>
      </c>
      <c r="G8" s="34"/>
      <c r="H8" s="33"/>
      <c r="I8" s="33"/>
      <c r="J8" s="40">
        <f>C30*'E Balans VL '!D18/100/3.6*1000000+C30*'E Balans VL '!E18/100/3.6*1000000</f>
        <v>0</v>
      </c>
      <c r="K8" s="33"/>
      <c r="L8" s="33"/>
      <c r="M8" s="33"/>
      <c r="N8" s="33">
        <f>C30*'E Balans VL '!Y18/100/3.6*1000000</f>
        <v>34.086651016282197</v>
      </c>
      <c r="O8" s="33"/>
      <c r="P8" s="33"/>
      <c r="R8" s="32"/>
    </row>
    <row r="9" spans="1:18">
      <c r="A9" s="6" t="s">
        <v>33</v>
      </c>
      <c r="B9" s="37">
        <f t="shared" si="0"/>
        <v>11094.31</v>
      </c>
      <c r="C9" s="33"/>
      <c r="D9" s="37">
        <f>IF( ISERROR(IND_andere_gas_kWh/1000),0,IND_andere_gas_kWh/1000)*0.902</f>
        <v>5029.5610200000001</v>
      </c>
      <c r="E9" s="33">
        <f>C31*'E Balans VL '!I19/100/3.6*1000000</f>
        <v>2831.0168962055586</v>
      </c>
      <c r="F9" s="33">
        <f>C31*'E Balans VL '!L19/100/3.6*1000000+C31*'E Balans VL '!N19/100/3.6*1000000</f>
        <v>9551.3670292418992</v>
      </c>
      <c r="G9" s="34"/>
      <c r="H9" s="33"/>
      <c r="I9" s="33"/>
      <c r="J9" s="40">
        <f>C31*'E Balans VL '!D19/100/3.6*1000000+C31*'E Balans VL '!E19/100/3.6*1000000</f>
        <v>0</v>
      </c>
      <c r="K9" s="33"/>
      <c r="L9" s="33"/>
      <c r="M9" s="33"/>
      <c r="N9" s="33">
        <f>C31*'E Balans VL '!Y19/100/3.6*1000000</f>
        <v>3469.5706774369842</v>
      </c>
      <c r="O9" s="33"/>
      <c r="P9" s="33"/>
      <c r="R9" s="32"/>
    </row>
    <row r="10" spans="1:18">
      <c r="A10" s="6" t="s">
        <v>41</v>
      </c>
      <c r="B10" s="37">
        <f t="shared" si="0"/>
        <v>1280.057</v>
      </c>
      <c r="C10" s="33"/>
      <c r="D10" s="37">
        <f>IF( ISERROR(IND_voed_gas_kWh/1000),0,IND_voed_gas_kWh/1000)*0.902</f>
        <v>680.25773200000003</v>
      </c>
      <c r="E10" s="33">
        <f>C32*'E Balans VL '!I20/100/3.6*1000000</f>
        <v>32.54080660229846</v>
      </c>
      <c r="F10" s="33">
        <f>C32*'E Balans VL '!L20/100/3.6*1000000+C32*'E Balans VL '!N20/100/3.6*1000000</f>
        <v>289.65768378730047</v>
      </c>
      <c r="G10" s="34"/>
      <c r="H10" s="33"/>
      <c r="I10" s="33"/>
      <c r="J10" s="40">
        <f>C32*'E Balans VL '!D20/100/3.6*1000000+C32*'E Balans VL '!E20/100/3.6*1000000</f>
        <v>0</v>
      </c>
      <c r="K10" s="33"/>
      <c r="L10" s="33"/>
      <c r="M10" s="33"/>
      <c r="N10" s="33">
        <f>C32*'E Balans VL '!Y20/100/3.6*1000000</f>
        <v>480.05607230975727</v>
      </c>
      <c r="O10" s="33"/>
      <c r="P10" s="33"/>
      <c r="R10" s="32"/>
    </row>
    <row r="11" spans="1:18">
      <c r="A11" s="6" t="s">
        <v>40</v>
      </c>
      <c r="B11" s="37">
        <f t="shared" si="0"/>
        <v>37.893999999999998</v>
      </c>
      <c r="C11" s="33"/>
      <c r="D11" s="37">
        <f>IF( ISERROR(IND_textiel_gas_kWh/1000),0,IND_textiel_gas_kWh/1000)*0.902</f>
        <v>0</v>
      </c>
      <c r="E11" s="33">
        <f>C33*'E Balans VL '!I21/100/3.6*1000000</f>
        <v>0.10402922056248493</v>
      </c>
      <c r="F11" s="33">
        <f>C33*'E Balans VL '!L21/100/3.6*1000000+C33*'E Balans VL '!N21/100/3.6*1000000</f>
        <v>2.0089819553527861</v>
      </c>
      <c r="G11" s="34"/>
      <c r="H11" s="33"/>
      <c r="I11" s="33"/>
      <c r="J11" s="40">
        <f>C33*'E Balans VL '!D21/100/3.6*1000000+C33*'E Balans VL '!E21/100/3.6*1000000</f>
        <v>0</v>
      </c>
      <c r="K11" s="33"/>
      <c r="L11" s="33"/>
      <c r="M11" s="33"/>
      <c r="N11" s="33">
        <f>C33*'E Balans VL '!Y21/100/3.6*1000000</f>
        <v>7.6160669202118503E-2</v>
      </c>
      <c r="O11" s="33"/>
      <c r="P11" s="33"/>
      <c r="R11" s="32"/>
    </row>
    <row r="12" spans="1:18">
      <c r="A12" s="6" t="s">
        <v>37</v>
      </c>
      <c r="B12" s="37">
        <f t="shared" si="0"/>
        <v>6160.4210000000003</v>
      </c>
      <c r="C12" s="33"/>
      <c r="D12" s="37">
        <f>IF( ISERROR(IND_min_gas_kWh/1000),0,IND_min_gas_kWh/1000)*0.902</f>
        <v>0</v>
      </c>
      <c r="E12" s="33">
        <f>C34*'E Balans VL '!I22/100/3.6*1000000</f>
        <v>130.89350686603623</v>
      </c>
      <c r="F12" s="33">
        <f>C34*'E Balans VL '!L22/100/3.6*1000000+C34*'E Balans VL '!N22/100/3.6*1000000</f>
        <v>1005.1251858652754</v>
      </c>
      <c r="G12" s="34"/>
      <c r="H12" s="33"/>
      <c r="I12" s="33"/>
      <c r="J12" s="40">
        <f>C34*'E Balans VL '!D22/100/3.6*1000000+C34*'E Balans VL '!E22/100/3.6*1000000</f>
        <v>7.1774653586415518</v>
      </c>
      <c r="K12" s="33"/>
      <c r="L12" s="33"/>
      <c r="M12" s="33"/>
      <c r="N12" s="33">
        <f>C34*'E Balans VL '!Y22/100/3.6*1000000</f>
        <v>0</v>
      </c>
      <c r="O12" s="33"/>
      <c r="P12" s="33"/>
      <c r="R12" s="32"/>
    </row>
    <row r="13" spans="1:18">
      <c r="A13" s="6" t="s">
        <v>39</v>
      </c>
      <c r="B13" s="37">
        <f t="shared" si="0"/>
        <v>745.94299999999998</v>
      </c>
      <c r="C13" s="33"/>
      <c r="D13" s="37">
        <f>IF( ISERROR(IND_papier_gas_kWh/1000),0,IND_papier_gas_kWh/1000)*0.902</f>
        <v>177.76706199999998</v>
      </c>
      <c r="E13" s="33">
        <f>C35*'E Balans VL '!I23/100/3.6*1000000</f>
        <v>3.1991325189157696</v>
      </c>
      <c r="F13" s="33">
        <f>C35*'E Balans VL '!L23/100/3.6*1000000+C35*'E Balans VL '!N23/100/3.6*1000000</f>
        <v>18.74786284968247</v>
      </c>
      <c r="G13" s="34"/>
      <c r="H13" s="33"/>
      <c r="I13" s="33"/>
      <c r="J13" s="40">
        <f>C35*'E Balans VL '!D23/100/3.6*1000000+C35*'E Balans VL '!E23/100/3.6*1000000</f>
        <v>49.936792520945744</v>
      </c>
      <c r="K13" s="33"/>
      <c r="L13" s="33"/>
      <c r="M13" s="33"/>
      <c r="N13" s="33">
        <f>C35*'E Balans VL '!Y23/100/3.6*1000000</f>
        <v>1357.7936520133255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4.2279999999999998</v>
      </c>
      <c r="C15" s="33"/>
      <c r="D15" s="37">
        <f>IF( ISERROR(IND_rest_gas_kWh/1000),0,IND_rest_gas_kWh/1000)*0.902</f>
        <v>115001.64005</v>
      </c>
      <c r="E15" s="33">
        <f>C37*'E Balans VL '!I15/100/3.6*1000000</f>
        <v>0.22946577876707405</v>
      </c>
      <c r="F15" s="33">
        <f>C37*'E Balans VL '!L15/100/3.6*1000000+C37*'E Balans VL '!N15/100/3.6*1000000</f>
        <v>0.92150850488616853</v>
      </c>
      <c r="G15" s="34"/>
      <c r="H15" s="33"/>
      <c r="I15" s="33"/>
      <c r="J15" s="40">
        <f>C37*'E Balans VL '!D15/100/3.6*1000000+C37*'E Balans VL '!E15/100/3.6*1000000</f>
        <v>3.4276884549856779E-2</v>
      </c>
      <c r="K15" s="33"/>
      <c r="L15" s="33"/>
      <c r="M15" s="33"/>
      <c r="N15" s="33">
        <f>C37*'E Balans VL '!Y15/100/3.6*1000000</f>
        <v>0.85138260413328581</v>
      </c>
      <c r="O15" s="33"/>
      <c r="P15" s="33"/>
      <c r="R15" s="32"/>
    </row>
    <row r="16" spans="1:18">
      <c r="A16" s="16" t="s">
        <v>491</v>
      </c>
      <c r="B16" s="247">
        <f>'lokale energieproductie'!N90+'lokale energieproductie'!N59</f>
        <v>4635</v>
      </c>
      <c r="C16" s="247">
        <f>'lokale energieproductie'!O90+'lokale energieproductie'!O59</f>
        <v>6621.4285714285716</v>
      </c>
      <c r="D16" s="310">
        <f>('lokale energieproductie'!P59+'lokale energieproductie'!P90)*(-1)</f>
        <v>-13242.857142857143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24637.963</v>
      </c>
      <c r="C18" s="21">
        <f>C5+C16</f>
        <v>6621.4285714285716</v>
      </c>
      <c r="D18" s="21">
        <f>MAX((D5+D16),0)</f>
        <v>109460.03184714286</v>
      </c>
      <c r="E18" s="21">
        <f>MAX((E5+E16),0)</f>
        <v>3022.4562524643602</v>
      </c>
      <c r="F18" s="21">
        <f>MAX((F5+F16),0)</f>
        <v>11164.810242410207</v>
      </c>
      <c r="G18" s="21"/>
      <c r="H18" s="21"/>
      <c r="I18" s="21"/>
      <c r="J18" s="21">
        <f>MAX((J5+J16),0)</f>
        <v>57.148534764137153</v>
      </c>
      <c r="K18" s="21"/>
      <c r="L18" s="21">
        <f>MAX((L5+L16),0)</f>
        <v>0</v>
      </c>
      <c r="M18" s="21"/>
      <c r="N18" s="21">
        <f>MAX((N5+N16),0)</f>
        <v>5342.4345960496848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0.18404333458976757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4534.4528680193134</v>
      </c>
      <c r="C22" s="23">
        <f ca="1">C18*C20</f>
        <v>1573.5630252100841</v>
      </c>
      <c r="D22" s="23">
        <f>D18*D20</f>
        <v>22110.926433122859</v>
      </c>
      <c r="E22" s="23">
        <f>E18*E20</f>
        <v>686.09756930940978</v>
      </c>
      <c r="F22" s="23">
        <f>F18*F20</f>
        <v>2981.0043347235255</v>
      </c>
      <c r="G22" s="23"/>
      <c r="H22" s="23"/>
      <c r="I22" s="23"/>
      <c r="J22" s="23">
        <f>J18*J20</f>
        <v>20.230581306504551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680.11</v>
      </c>
      <c r="C30" s="39">
        <f>IF(ISERROR(B30*3.6/1000000/'E Balans VL '!Z18*100),0,B30*3.6/1000000/'E Balans VL '!Z18*100)</f>
        <v>0.14410072782589475</v>
      </c>
      <c r="D30" s="237" t="s">
        <v>660</v>
      </c>
    </row>
    <row r="31" spans="1:18">
      <c r="A31" s="6" t="s">
        <v>33</v>
      </c>
      <c r="B31" s="37">
        <f>IF( ISERROR(IND_ander_ele_kWh/1000),0,IND_ander_ele_kWh/1000)</f>
        <v>11094.31</v>
      </c>
      <c r="C31" s="39">
        <f>IF(ISERROR(B31*3.6/1000000/'E Balans VL '!Z19*100),0,B31*3.6/1000000/'E Balans VL '!Z19*100)</f>
        <v>0.46698469936292708</v>
      </c>
      <c r="D31" s="237" t="s">
        <v>660</v>
      </c>
    </row>
    <row r="32" spans="1:18">
      <c r="A32" s="171" t="s">
        <v>41</v>
      </c>
      <c r="B32" s="37">
        <f>IF( ISERROR(IND_voed_ele_kWh/1000),0,IND_voed_ele_kWh/1000)</f>
        <v>1280.057</v>
      </c>
      <c r="C32" s="39">
        <f>IF(ISERROR(B32*3.6/1000000/'E Balans VL '!Z20*100),0,B32*3.6/1000000/'E Balans VL '!Z20*100)</f>
        <v>0.21384800469887288</v>
      </c>
      <c r="D32" s="237" t="s">
        <v>660</v>
      </c>
    </row>
    <row r="33" spans="1:5">
      <c r="A33" s="171" t="s">
        <v>40</v>
      </c>
      <c r="B33" s="37">
        <f>IF( ISERROR(IND_textiel_ele_kWh/1000),0,IND_textiel_ele_kWh/1000)</f>
        <v>37.893999999999998</v>
      </c>
      <c r="C33" s="39">
        <f>IF(ISERROR(B33*3.6/1000000/'E Balans VL '!Z21*100),0,B33*3.6/1000000/'E Balans VL '!Z21*100)</f>
        <v>2.2123651184348149E-3</v>
      </c>
      <c r="D33" s="237" t="s">
        <v>660</v>
      </c>
    </row>
    <row r="34" spans="1:5">
      <c r="A34" s="171" t="s">
        <v>37</v>
      </c>
      <c r="B34" s="37">
        <f>IF( ISERROR(IND_min_ele_kWh/1000),0,IND_min_ele_kWh/1000)</f>
        <v>6160.4210000000003</v>
      </c>
      <c r="C34" s="39">
        <f>IF(ISERROR(B34*3.6/1000000/'E Balans VL '!Z22*100),0,B34*3.6/1000000/'E Balans VL '!Z22*100)</f>
        <v>0.78086658480233007</v>
      </c>
      <c r="D34" s="237" t="s">
        <v>660</v>
      </c>
    </row>
    <row r="35" spans="1:5">
      <c r="A35" s="171" t="s">
        <v>39</v>
      </c>
      <c r="B35" s="37">
        <f>IF( ISERROR(IND_papier_ele_kWh/1000),0,IND_papier_ele_kWh/1000)</f>
        <v>745.94299999999998</v>
      </c>
      <c r="C35" s="39">
        <f>IF(ISERROR(B35*3.6/1000000/'E Balans VL '!Z22*100),0,B35*3.6/1000000/'E Balans VL '!Z22*100)</f>
        <v>9.4552298108717639E-2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4.2279999999999998</v>
      </c>
      <c r="C37" s="39">
        <f>IF(ISERROR(B37*3.6/1000000/'E Balans VL '!Z15*100),0,B37*3.6/1000000/'E Balans VL '!Z15*100)</f>
        <v>3.4134281156637016E-5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1375.4349999999999</v>
      </c>
      <c r="C5" s="17">
        <f>'Eigen informatie GS &amp; warmtenet'!B60</f>
        <v>0</v>
      </c>
      <c r="D5" s="30">
        <f>IF(ISERROR(SUM(LB_lb_gas_kWh,LB_rest_gas_kWh)/1000),0,SUM(LB_lb_gas_kWh,LB_rest_gas_kWh)/1000)*0.902</f>
        <v>1380.036548</v>
      </c>
      <c r="E5" s="17">
        <f>B17*'E Balans VL '!I25/3.6*1000000/100</f>
        <v>35.46718759016845</v>
      </c>
      <c r="F5" s="17">
        <f>B17*('E Balans VL '!L25/3.6*1000000+'E Balans VL '!N25/3.6*1000000)/100</f>
        <v>5027.4768638715086</v>
      </c>
      <c r="G5" s="18"/>
      <c r="H5" s="17"/>
      <c r="I5" s="17"/>
      <c r="J5" s="17">
        <f>('E Balans VL '!D25+'E Balans VL '!E25)/3.6*1000000*landbouw!B17/100</f>
        <v>198.01204234432728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1375.4349999999999</v>
      </c>
      <c r="C8" s="21">
        <f>C5+C6</f>
        <v>0</v>
      </c>
      <c r="D8" s="21">
        <f>MAX((D5+D6),0)</f>
        <v>1380.036548</v>
      </c>
      <c r="E8" s="21">
        <f>MAX((E5+E6),0)</f>
        <v>35.46718759016845</v>
      </c>
      <c r="F8" s="21">
        <f>MAX((F5+F6),0)</f>
        <v>5027.4768638715086</v>
      </c>
      <c r="G8" s="21"/>
      <c r="H8" s="21"/>
      <c r="I8" s="21"/>
      <c r="J8" s="21">
        <f>MAX((J5+J6),0)</f>
        <v>198.01204234432728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0.18404333458976757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253.13964391147695</v>
      </c>
      <c r="C12" s="23">
        <f ca="1">C8*C10</f>
        <v>0</v>
      </c>
      <c r="D12" s="23">
        <f>D8*D10</f>
        <v>278.76738269600003</v>
      </c>
      <c r="E12" s="23">
        <f>E8*E10</f>
        <v>8.0510515829682383</v>
      </c>
      <c r="F12" s="23">
        <f>F8*F10</f>
        <v>1342.3363226536928</v>
      </c>
      <c r="G12" s="23"/>
      <c r="H12" s="23"/>
      <c r="I12" s="23"/>
      <c r="J12" s="23">
        <f>J8*J10</f>
        <v>70.096262989891855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0.19394544567715244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405.99142201742808</v>
      </c>
      <c r="C26" s="247">
        <f>B26*'GWP N2O_CH4'!B5</f>
        <v>8525.81986236599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108.99471668040202</v>
      </c>
      <c r="C27" s="247">
        <f>B27*'GWP N2O_CH4'!B5</f>
        <v>2288.8890502884424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5.0053116712264742</v>
      </c>
      <c r="C28" s="247">
        <f>B28*'GWP N2O_CH4'!B4</f>
        <v>1551.646618080207</v>
      </c>
      <c r="D28" s="50"/>
    </row>
    <row r="29" spans="1:4">
      <c r="A29" s="41" t="s">
        <v>277</v>
      </c>
      <c r="B29" s="247">
        <f>B34*'ha_N2O bodem landbouw'!B4</f>
        <v>23.795207985795443</v>
      </c>
      <c r="C29" s="247">
        <f>B29*'GWP N2O_CH4'!B4</f>
        <v>7376.5144755965875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5.355214866020524E-3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1.8885184591552388E-4</v>
      </c>
      <c r="C5" s="463" t="s">
        <v>211</v>
      </c>
      <c r="D5" s="448">
        <f>SUM(D6:D11)</f>
        <v>4.4117867446113795E-4</v>
      </c>
      <c r="E5" s="448">
        <f>SUM(E6:E11)</f>
        <v>1.7796804886586093E-3</v>
      </c>
      <c r="F5" s="461" t="s">
        <v>211</v>
      </c>
      <c r="G5" s="448">
        <f>SUM(G6:G11)</f>
        <v>0.58447030652708376</v>
      </c>
      <c r="H5" s="448">
        <f>SUM(H6:H11)</f>
        <v>0.119332906061126</v>
      </c>
      <c r="I5" s="463" t="s">
        <v>211</v>
      </c>
      <c r="J5" s="463" t="s">
        <v>211</v>
      </c>
      <c r="K5" s="463" t="s">
        <v>211</v>
      </c>
      <c r="L5" s="463" t="s">
        <v>211</v>
      </c>
      <c r="M5" s="448">
        <f>SUM(M6:M11)</f>
        <v>2.1989280875654754E-2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1.0588100086543916E-4</v>
      </c>
      <c r="C6" s="449"/>
      <c r="D6" s="892">
        <f>vkm_2011_GW_PW*SUMIFS(TableVerdeelsleutelVkm[CNG],TableVerdeelsleutelVkm[Voertuigtype],"Lichte voertuigen")*SUMIFS(TableECFTransport[EnergieConsumptieFactor (PJ per km)],TableECFTransport[Index],CONCATENATE($A6,"_CNG_CNG"))</f>
        <v>2.1038740338782811E-4</v>
      </c>
      <c r="E6" s="892">
        <f>vkm_2011_GW_PW*SUMIFS(TableVerdeelsleutelVkm[LPG],TableVerdeelsleutelVkm[Voertuigtype],"Lichte voertuigen")*SUMIFS(TableECFTransport[EnergieConsumptieFactor (PJ per km)],TableECFTransport[Index],CONCATENATE($A6,"_LPG_LPG"))</f>
        <v>8.2794985056153074E-4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0.19685806584760465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5.6958199462187054E-2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7.9091492044193554E-3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8.0460254082640986E-2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2.5992098808381983E-5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2.5351794958349935E-3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4.0470398952585767E-5</v>
      </c>
      <c r="C8" s="449"/>
      <c r="D8" s="451">
        <f>vkm_2011_NGW_PW*SUMIFS(TableVerdeelsleutelVkm[CNG],TableVerdeelsleutelVkm[Voertuigtype],"Lichte voertuigen")*SUMIFS(TableECFTransport[EnergieConsumptieFactor (PJ per km)],TableECFTransport[Index],CONCATENATE($A8,"_CNG_CNG"))</f>
        <v>1.4238632380363109E-4</v>
      </c>
      <c r="E8" s="451">
        <f>vkm_2011_NGW_PW*SUMIFS(TableVerdeelsleutelVkm[LPG],TableVerdeelsleutelVkm[Voertuigtype],"Lichte voertuigen")*SUMIFS(TableECFTransport[EnergieConsumptieFactor (PJ per km)],TableECFTransport[Index],CONCATENATE($A8,"_LPG_LPG"))</f>
        <v>5.1821664134204344E-4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0.11505866197809528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3.7378495008535025E-2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4.7453092144827992E-3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1.0506998736522794E-2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3.2099772039569344E-6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3.3105392796322025E-4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4.2500446097498943E-5</v>
      </c>
      <c r="C10" s="449"/>
      <c r="D10" s="451">
        <f>vkm_2011_SW_PW*SUMIFS(TableVerdeelsleutelVkm[CNG],TableVerdeelsleutelVkm[Voertuigtype],"Lichte voertuigen")*SUMIFS(TableECFTransport[EnergieConsumptieFactor (PJ per km)],TableECFTransport[Index],CONCATENATE($A10,"_CNG_CNG"))</f>
        <v>8.8404947269678783E-5</v>
      </c>
      <c r="E10" s="451">
        <f>vkm_2011_SW_PW*SUMIFS(TableVerdeelsleutelVkm[LPG],TableVerdeelsleutelVkm[Voertuigtype],"Lichte voertuigen")*SUMIFS(TableECFTransport[EnergieConsumptieFactor (PJ per km)],TableECFTransport[Index],CONCATENATE($A10,"_LPG_LPG"))</f>
        <v>4.3351399675503518E-4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9.2333503864225383E-2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2.4935944311934348E-2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3.6563022080399344E-3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8.9252822017994685E-2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3.1065202457228535E-5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2.8122868249144495E-3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52.458846087645526</v>
      </c>
      <c r="C14" s="21"/>
      <c r="D14" s="21">
        <f t="shared" ref="D14:M14" si="0">((D5)*10^9/3600)+D12</f>
        <v>122.54963179476054</v>
      </c>
      <c r="E14" s="21">
        <f t="shared" si="0"/>
        <v>494.35569129405815</v>
      </c>
      <c r="F14" s="21"/>
      <c r="G14" s="21">
        <f t="shared" si="0"/>
        <v>162352.86292418992</v>
      </c>
      <c r="H14" s="21">
        <f t="shared" si="0"/>
        <v>33148.029461423888</v>
      </c>
      <c r="I14" s="21"/>
      <c r="J14" s="21"/>
      <c r="K14" s="21"/>
      <c r="L14" s="21"/>
      <c r="M14" s="21">
        <f t="shared" si="0"/>
        <v>6108.1335765707645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0.18404333458976757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9.6547009627016642</v>
      </c>
      <c r="C18" s="23"/>
      <c r="D18" s="23">
        <f t="shared" ref="D18:M18" si="1">D14*D16</f>
        <v>24.755025622541631</v>
      </c>
      <c r="E18" s="23">
        <f t="shared" si="1"/>
        <v>112.2187419237512</v>
      </c>
      <c r="F18" s="23"/>
      <c r="G18" s="23">
        <f t="shared" si="1"/>
        <v>43348.214400758712</v>
      </c>
      <c r="H18" s="23">
        <f t="shared" si="1"/>
        <v>8253.8593358945473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1.0155300469684103E-2</v>
      </c>
      <c r="H50" s="321">
        <f t="shared" si="2"/>
        <v>0</v>
      </c>
      <c r="I50" s="321">
        <f t="shared" si="2"/>
        <v>0</v>
      </c>
      <c r="J50" s="321">
        <f t="shared" si="2"/>
        <v>0</v>
      </c>
      <c r="K50" s="321">
        <f t="shared" si="2"/>
        <v>0</v>
      </c>
      <c r="L50" s="321">
        <f t="shared" si="2"/>
        <v>0</v>
      </c>
      <c r="M50" s="321">
        <f t="shared" si="2"/>
        <v>3.1499470131329051E-4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1.0155300469684103E-2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3.1499470131329051E-4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2820.9167971344732</v>
      </c>
      <c r="H54" s="21">
        <f t="shared" si="3"/>
        <v>0</v>
      </c>
      <c r="I54" s="21">
        <f t="shared" si="3"/>
        <v>0</v>
      </c>
      <c r="J54" s="21">
        <f t="shared" si="3"/>
        <v>0</v>
      </c>
      <c r="K54" s="21">
        <f t="shared" si="3"/>
        <v>0</v>
      </c>
      <c r="L54" s="21">
        <f t="shared" si="3"/>
        <v>0</v>
      </c>
      <c r="M54" s="21">
        <f t="shared" si="3"/>
        <v>87.498528142580696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0.18404333458976757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753.18478483490435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4056.8579785513411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15316.052133670619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4860</v>
      </c>
      <c r="C8" s="570">
        <f>B101</f>
        <v>5717.6470588235297</v>
      </c>
      <c r="D8" s="1043"/>
      <c r="E8" s="1043">
        <f>E101</f>
        <v>0</v>
      </c>
      <c r="F8" s="1044"/>
      <c r="G8" s="571"/>
      <c r="H8" s="1043">
        <f>I101</f>
        <v>0</v>
      </c>
      <c r="I8" s="1043">
        <f>G101+F101</f>
        <v>0</v>
      </c>
      <c r="J8" s="1043">
        <f>H101+D101+C101</f>
        <v>0</v>
      </c>
      <c r="K8" s="1043"/>
      <c r="L8" s="1043"/>
      <c r="M8" s="1043"/>
      <c r="N8" s="572"/>
      <c r="O8" s="573">
        <f>C8*$C$12+D8*$D$12+E8*$E$12+F8*$F$12+G8*$G$12+H8*$H$12+I8*$I$12+J8*$J$12</f>
        <v>1154.964705882353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24232.910112221958</v>
      </c>
      <c r="C10" s="583">
        <f t="shared" ref="C10:L10" si="0">SUM(C8:C9)</f>
        <v>5717.6470588235297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1154.964705882353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6942.8571428571431</v>
      </c>
      <c r="C17" s="595">
        <f>B102</f>
        <v>8168.0672268907565</v>
      </c>
      <c r="D17" s="596"/>
      <c r="E17" s="596">
        <f>E102</f>
        <v>0</v>
      </c>
      <c r="F17" s="1049"/>
      <c r="G17" s="597"/>
      <c r="H17" s="595">
        <f>I102</f>
        <v>0</v>
      </c>
      <c r="I17" s="596">
        <f>G102+F102</f>
        <v>0</v>
      </c>
      <c r="J17" s="596">
        <f>H102+D102+C102</f>
        <v>0</v>
      </c>
      <c r="K17" s="596"/>
      <c r="L17" s="596"/>
      <c r="M17" s="596"/>
      <c r="N17" s="1050"/>
      <c r="O17" s="598">
        <f>C17*$C$22+E17*$E$22+H17*$H$22+I17*$I$22+J17*$J$22+D17*$D$22+F17*$F$22+G17*$G$22+K17*$K$22+L17*$L$22</f>
        <v>1649.9495798319329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6942.8571428571431</v>
      </c>
      <c r="C20" s="582">
        <f>SUM(C17:C19)</f>
        <v>8168.0672268907565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1649.9495798319329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73006</v>
      </c>
      <c r="C28" s="796">
        <v>3740</v>
      </c>
      <c r="D28" s="653" t="s">
        <v>890</v>
      </c>
      <c r="E28" s="652" t="s">
        <v>891</v>
      </c>
      <c r="F28" s="652" t="s">
        <v>892</v>
      </c>
      <c r="G28" s="652" t="s">
        <v>893</v>
      </c>
      <c r="H28" s="652" t="s">
        <v>894</v>
      </c>
      <c r="I28" s="652" t="s">
        <v>891</v>
      </c>
      <c r="J28" s="795">
        <v>39794</v>
      </c>
      <c r="K28" s="795">
        <v>39794</v>
      </c>
      <c r="L28" s="652" t="s">
        <v>895</v>
      </c>
      <c r="M28" s="652">
        <v>1030</v>
      </c>
      <c r="N28" s="652">
        <v>4635</v>
      </c>
      <c r="O28" s="652">
        <v>6621.4285714285716</v>
      </c>
      <c r="P28" s="652">
        <v>13242.857142857143</v>
      </c>
      <c r="Q28" s="652">
        <v>0</v>
      </c>
      <c r="R28" s="652">
        <v>0</v>
      </c>
      <c r="S28" s="652">
        <v>0</v>
      </c>
      <c r="T28" s="652">
        <v>0</v>
      </c>
      <c r="U28" s="652">
        <v>0</v>
      </c>
      <c r="V28" s="652">
        <v>0</v>
      </c>
      <c r="W28" s="652">
        <v>0</v>
      </c>
      <c r="X28" s="652">
        <v>400</v>
      </c>
      <c r="Y28" s="652" t="s">
        <v>37</v>
      </c>
      <c r="Z28" s="654" t="s">
        <v>389</v>
      </c>
    </row>
    <row r="29" spans="1:26" s="606" customFormat="1" ht="51">
      <c r="A29" s="605"/>
      <c r="B29" s="796">
        <v>73006</v>
      </c>
      <c r="C29" s="796">
        <v>3740</v>
      </c>
      <c r="D29" s="653"/>
      <c r="E29" s="652"/>
      <c r="F29" s="652" t="s">
        <v>896</v>
      </c>
      <c r="G29" s="652" t="s">
        <v>893</v>
      </c>
      <c r="H29" s="652" t="s">
        <v>894</v>
      </c>
      <c r="I29" s="652" t="s">
        <v>897</v>
      </c>
      <c r="J29" s="795">
        <v>41879</v>
      </c>
      <c r="K29" s="795">
        <v>41807</v>
      </c>
      <c r="L29" s="652" t="s">
        <v>895</v>
      </c>
      <c r="M29" s="652">
        <v>50</v>
      </c>
      <c r="N29" s="652">
        <v>225</v>
      </c>
      <c r="O29" s="652">
        <v>321.42857142857144</v>
      </c>
      <c r="P29" s="652">
        <v>642.85714285714289</v>
      </c>
      <c r="Q29" s="652">
        <v>0</v>
      </c>
      <c r="R29" s="652">
        <v>0</v>
      </c>
      <c r="S29" s="652">
        <v>0</v>
      </c>
      <c r="T29" s="652">
        <v>0</v>
      </c>
      <c r="U29" s="652">
        <v>0</v>
      </c>
      <c r="V29" s="652">
        <v>0</v>
      </c>
      <c r="W29" s="652">
        <v>0</v>
      </c>
      <c r="X29" s="652">
        <v>1501</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1080</v>
      </c>
      <c r="N58" s="610">
        <f>SUM(N28:N57)</f>
        <v>4860</v>
      </c>
      <c r="O58" s="610">
        <f t="shared" ref="O58:W58" si="2">SUM(O28:O57)</f>
        <v>6942.8571428571431</v>
      </c>
      <c r="P58" s="610">
        <f t="shared" si="2"/>
        <v>13885.714285714286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1030</v>
      </c>
      <c r="N59" s="610">
        <f t="shared" si="3"/>
        <v>4635</v>
      </c>
      <c r="O59" s="610">
        <f t="shared" si="3"/>
        <v>6621.4285714285716</v>
      </c>
      <c r="P59" s="610">
        <f t="shared" si="3"/>
        <v>13242.857142857143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5717.6470588235297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8168.0672268907565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2019-08-12T08:26:33Z</dcterms:modified>
</cp:coreProperties>
</file>