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J19" i="18"/>
  <c r="J89" i="14" s="1"/>
  <c r="J19" i="59" s="1"/>
  <c r="I19" i="18"/>
  <c r="I89" i="14" s="1"/>
  <c r="I19" i="59" s="1"/>
  <c r="H19" i="18"/>
  <c r="M89" i="14" s="1"/>
  <c r="M19" i="59" s="1"/>
  <c r="G19" i="18"/>
  <c r="H89" i="14" s="1"/>
  <c r="H19" i="59" s="1"/>
  <c r="F19" i="18"/>
  <c r="E19"/>
  <c r="D19"/>
  <c r="E89" i="14" s="1"/>
  <c r="E19" i="59" s="1"/>
  <c r="C19" i="18"/>
  <c r="D89" i="14" s="1"/>
  <c r="D19" i="59" s="1"/>
  <c r="B19" i="18"/>
  <c r="N18"/>
  <c r="M18"/>
  <c r="K88" i="14" s="1"/>
  <c r="K18" i="59" s="1"/>
  <c r="L18" i="18"/>
  <c r="O88" i="14" s="1"/>
  <c r="K18" i="18"/>
  <c r="J18"/>
  <c r="J88" i="14" s="1"/>
  <c r="J18" i="59" s="1"/>
  <c r="I18" i="18"/>
  <c r="H18"/>
  <c r="M88" i="14" s="1"/>
  <c r="M18" i="59" s="1"/>
  <c r="G18" i="18"/>
  <c r="F18"/>
  <c r="F20" s="1"/>
  <c r="E18"/>
  <c r="D18"/>
  <c r="D20" s="1"/>
  <c r="C18"/>
  <c r="B18"/>
  <c r="L9"/>
  <c r="O77" i="14" s="1"/>
  <c r="K9" i="18"/>
  <c r="N77" i="14" s="1"/>
  <c r="N9" i="59" s="1"/>
  <c r="G9" i="18"/>
  <c r="F9"/>
  <c r="D9"/>
  <c r="D10" s="1"/>
  <c r="C9"/>
  <c r="D77" i="14" s="1"/>
  <c r="D9" i="59" s="1"/>
  <c r="K22" i="18"/>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E9" s="1"/>
  <c r="F77" i="14" s="1"/>
  <c r="F9" i="59" s="1"/>
  <c r="R89" i="18"/>
  <c r="Q89"/>
  <c r="P89"/>
  <c r="O89"/>
  <c r="N89"/>
  <c r="B9" s="1"/>
  <c r="M89"/>
  <c r="W61"/>
  <c r="V61"/>
  <c r="N6" i="17" s="1"/>
  <c r="U61" i="18"/>
  <c r="L6" i="17" s="1"/>
  <c r="T61" i="18"/>
  <c r="S61"/>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F6" i="17"/>
  <c r="C6"/>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L89" i="14"/>
  <c r="L19" i="59" s="1"/>
  <c r="K89" i="14"/>
  <c r="K19" i="59" s="1"/>
  <c r="G89" i="14"/>
  <c r="G19" i="59" s="1"/>
  <c r="N88" i="14"/>
  <c r="N18" i="59" s="1"/>
  <c r="L88" i="14"/>
  <c r="L18" i="59" s="1"/>
  <c r="I88" i="14"/>
  <c r="I18" i="59" s="1"/>
  <c r="H88" i="14"/>
  <c r="F88"/>
  <c r="F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P54"/>
  <c r="L54"/>
  <c r="J54"/>
  <c r="J56" s="1"/>
  <c r="I54"/>
  <c r="H54"/>
  <c r="H56" s="1"/>
  <c r="Q24"/>
  <c r="P24"/>
  <c r="N24"/>
  <c r="L24"/>
  <c r="J24"/>
  <c r="J26" s="1"/>
  <c r="I24"/>
  <c r="I26" s="1"/>
  <c r="H24"/>
  <c r="Q50"/>
  <c r="P50"/>
  <c r="O50"/>
  <c r="M50"/>
  <c r="L50"/>
  <c r="K50"/>
  <c r="J50"/>
  <c r="G50"/>
  <c r="D50"/>
  <c r="Q49"/>
  <c r="Q52" s="1"/>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P56"/>
  <c r="L56"/>
  <c r="Q56"/>
  <c r="I56"/>
  <c r="R44"/>
  <c r="E25"/>
  <c r="E55" s="1"/>
  <c r="C25"/>
  <c r="B14" i="48" s="1"/>
  <c r="Q26" i="14"/>
  <c r="P26"/>
  <c r="N26"/>
  <c r="L26"/>
  <c r="H26"/>
  <c r="L22"/>
  <c r="D22"/>
  <c r="P22"/>
  <c r="O22"/>
  <c r="K22"/>
  <c r="R12"/>
  <c r="O78" l="1"/>
  <c r="O9" i="59"/>
  <c r="O10" s="1"/>
  <c r="N19"/>
  <c r="N20" s="1"/>
  <c r="N90" i="14"/>
  <c r="O18" i="59"/>
  <c r="O20" s="1"/>
  <c r="O90" i="14"/>
  <c r="L78"/>
  <c r="L8" i="59"/>
  <c r="L10" s="1"/>
  <c r="H78" i="14"/>
  <c r="H8" i="59"/>
  <c r="H20"/>
  <c r="H10"/>
  <c r="P29" i="48"/>
  <c r="B10" i="18"/>
  <c r="L10"/>
  <c r="K90" i="14"/>
  <c r="E88"/>
  <c r="E18" i="59" s="1"/>
  <c r="E20" s="1"/>
  <c r="O29" i="48"/>
  <c r="P31"/>
  <c r="K10" i="18"/>
  <c r="C98"/>
  <c r="B101" s="1"/>
  <c r="C8" s="1"/>
  <c r="E77" i="14"/>
  <c r="E9" i="59" s="1"/>
  <c r="B17" i="18"/>
  <c r="B20" s="1"/>
  <c r="P25" i="48"/>
  <c r="R25" i="14"/>
  <c r="F13" i="15"/>
  <c r="H90" i="14"/>
  <c r="H18" i="59"/>
  <c r="K10"/>
  <c r="E10"/>
  <c r="L90" i="14"/>
  <c r="K20" i="59"/>
  <c r="N10"/>
  <c r="L20"/>
  <c r="B8" i="18"/>
  <c r="O19"/>
  <c r="L13" i="15"/>
  <c r="N13"/>
  <c r="Q77" i="14"/>
  <c r="P9" i="59" s="1"/>
  <c r="O9" i="18"/>
  <c r="O18"/>
  <c r="B89" i="14"/>
  <c r="B19" i="59" s="1"/>
  <c r="G88" i="14"/>
  <c r="F89"/>
  <c r="I101" i="18"/>
  <c r="H8" s="1"/>
  <c r="E101"/>
  <c r="E8" s="1"/>
  <c r="G101"/>
  <c r="I102"/>
  <c r="H17" s="1"/>
  <c r="E102"/>
  <c r="E17" s="1"/>
  <c r="H102"/>
  <c r="D102"/>
  <c r="G102"/>
  <c r="C102"/>
  <c r="F102"/>
  <c r="B102"/>
  <c r="C17" s="1"/>
  <c r="Q88" i="14"/>
  <c r="P18" i="59" s="1"/>
  <c r="B77" i="14"/>
  <c r="B9" i="59" s="1"/>
  <c r="Q14" i="48"/>
  <c r="O24"/>
  <c r="O30"/>
  <c r="P24"/>
  <c r="P30"/>
  <c r="E78" i="14"/>
  <c r="N78"/>
  <c r="E90" l="1"/>
  <c r="H101" i="18"/>
  <c r="J8" s="1"/>
  <c r="C77" i="14"/>
  <c r="C9" i="59" s="1"/>
  <c r="D101" i="18"/>
  <c r="G90" i="14"/>
  <c r="G18" i="59"/>
  <c r="G20" s="1"/>
  <c r="C88" i="14"/>
  <c r="C18" i="59" s="1"/>
  <c r="F101" i="18"/>
  <c r="I8" s="1"/>
  <c r="C89" i="14"/>
  <c r="C19" i="59" s="1"/>
  <c r="F19"/>
  <c r="B88" i="14"/>
  <c r="B18" i="59" s="1"/>
  <c r="C101" i="18"/>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O8" i="18" l="1"/>
  <c r="O10" s="1"/>
  <c r="H5" i="48"/>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8" i="48"/>
  <c r="H32"/>
  <c r="H29"/>
  <c r="H25"/>
  <c r="H24"/>
  <c r="H26"/>
  <c r="H22"/>
  <c r="H30"/>
  <c r="H23"/>
  <c r="C4"/>
  <c r="D11" i="14"/>
  <c r="G32" i="48"/>
  <c r="G25"/>
  <c r="G29"/>
  <c r="G30"/>
  <c r="G24"/>
  <c r="G26"/>
  <c r="G22"/>
  <c r="G23"/>
  <c r="P4"/>
  <c r="Q11" i="14"/>
  <c r="P11"/>
  <c r="O4" i="48"/>
  <c r="F32"/>
  <c r="F27"/>
  <c r="F28"/>
  <c r="F30"/>
  <c r="F29"/>
  <c r="F24"/>
  <c r="F31"/>
  <c r="B10"/>
  <c r="C19" i="14"/>
  <c r="L10"/>
  <c r="L16" s="1"/>
  <c r="L27" s="1"/>
  <c r="K5" i="48"/>
  <c r="D31"/>
  <c r="D28"/>
  <c r="D30"/>
  <c r="D32"/>
  <c r="D24"/>
  <c r="D29"/>
  <c r="L31"/>
  <c r="L28"/>
  <c r="L32"/>
  <c r="L27"/>
  <c r="L29"/>
  <c r="L22"/>
  <c r="L24"/>
  <c r="L30"/>
  <c r="P5"/>
  <c r="P23" s="1"/>
  <c r="Q10" i="14"/>
  <c r="J27" i="48"/>
  <c r="J31"/>
  <c r="J29"/>
  <c r="J28"/>
  <c r="J32"/>
  <c r="J30"/>
  <c r="J24"/>
  <c r="I27"/>
  <c r="I32"/>
  <c r="I29"/>
  <c r="I31"/>
  <c r="I26"/>
  <c r="I22"/>
  <c r="I28"/>
  <c r="I30"/>
  <c r="I25"/>
  <c r="I24"/>
  <c r="B4"/>
  <c r="C11" i="14"/>
  <c r="N32" i="48"/>
  <c r="N28"/>
  <c r="N27"/>
  <c r="N30"/>
  <c r="N29"/>
  <c r="N24"/>
  <c r="N31"/>
  <c r="E32"/>
  <c r="E31"/>
  <c r="E24"/>
  <c r="E28"/>
  <c r="E29"/>
  <c r="E30"/>
  <c r="M32"/>
  <c r="M24"/>
  <c r="M29"/>
  <c r="M25"/>
  <c r="M26"/>
  <c r="M22"/>
  <c r="M30"/>
  <c r="M23"/>
  <c r="K29"/>
  <c r="K28"/>
  <c r="K25"/>
  <c r="K31"/>
  <c r="K32"/>
  <c r="K24"/>
  <c r="K30"/>
  <c r="K27"/>
  <c r="K26"/>
  <c r="K22"/>
  <c r="C24" i="14"/>
  <c r="C26" s="1"/>
  <c r="B7" i="48"/>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Q13" i="14"/>
  <c r="P8" i="48"/>
  <c r="P26" s="1"/>
  <c r="O22"/>
  <c r="J7"/>
  <c r="J25" s="1"/>
  <c r="K24" i="14"/>
  <c r="K26" s="1"/>
  <c r="C20"/>
  <c r="B9" i="48"/>
  <c r="K23"/>
  <c r="K33" s="1"/>
  <c r="K15"/>
  <c r="J12" i="17"/>
  <c r="K54" i="14" s="1"/>
  <c r="K56" s="1"/>
  <c r="L46"/>
  <c r="L61" s="1"/>
  <c r="L63" s="1"/>
  <c r="Q16"/>
  <c r="Q27" s="1"/>
  <c r="Q63" s="1"/>
  <c r="P15" i="48"/>
  <c r="P22"/>
  <c r="P33" s="1"/>
  <c r="H18" i="14"/>
  <c r="G13" i="48"/>
  <c r="H13"/>
  <c r="H31" s="1"/>
  <c r="I18" i="14"/>
  <c r="F20"/>
  <c r="F22" s="1"/>
  <c r="E9" i="48"/>
  <c r="E27" s="1"/>
  <c r="C22" i="14"/>
  <c r="D9" i="48"/>
  <c r="D27" s="1"/>
  <c r="E20" i="14"/>
  <c r="E22" s="1"/>
  <c r="P10"/>
  <c r="O5" i="48"/>
  <c r="O23" s="1"/>
  <c r="F4"/>
  <c r="F22" s="1"/>
  <c r="G11" i="14"/>
  <c r="J10"/>
  <c r="J16" s="1"/>
  <c r="J27" s="1"/>
  <c r="J63" s="1"/>
  <c r="I5" i="48"/>
  <c r="J46" i="14"/>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I23" i="48"/>
  <c r="I33" s="1"/>
  <c r="I15"/>
  <c r="J4"/>
  <c r="K11" i="14"/>
  <c r="E7" i="48"/>
  <c r="E25" s="1"/>
  <c r="F24" i="14"/>
  <c r="F26" s="1"/>
  <c r="H22"/>
  <c r="H27" s="1"/>
  <c r="R18"/>
  <c r="O22" i="16"/>
  <c r="P43" i="14" s="1"/>
  <c r="O8" i="48"/>
  <c r="O26" s="1"/>
  <c r="P13" i="14"/>
  <c r="P16" s="1"/>
  <c r="P27" s="1"/>
  <c r="H20"/>
  <c r="G9" i="48"/>
  <c r="I20" i="14"/>
  <c r="H9" i="48"/>
  <c r="P46" i="14"/>
  <c r="P61" s="1"/>
  <c r="M14" i="22"/>
  <c r="I22" i="14"/>
  <c r="I27" s="1"/>
  <c r="O15" i="48"/>
  <c r="E12" i="13"/>
  <c r="F41" i="14" s="1"/>
  <c r="F11"/>
  <c r="E4" i="48"/>
  <c r="G31"/>
  <c r="Q13"/>
  <c r="M10"/>
  <c r="M28" s="1"/>
  <c r="N19" i="14"/>
  <c r="O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22" l="1"/>
  <c r="N27" s="1"/>
  <c r="N63" s="1"/>
  <c r="R20"/>
  <c r="H27" i="48"/>
  <c r="H33" s="1"/>
  <c r="H15"/>
  <c r="N20" i="14"/>
  <c r="M9" i="48"/>
  <c r="G28"/>
  <c r="Q10"/>
  <c r="R24" i="14"/>
  <c r="R26" s="1"/>
  <c r="R22"/>
  <c r="R19"/>
  <c r="E22" i="48"/>
  <c r="Q4"/>
  <c r="E5"/>
  <c r="E23" s="1"/>
  <c r="F10" i="14"/>
  <c r="G27" i="48"/>
  <c r="G33" s="1"/>
  <c r="G15"/>
  <c r="J22"/>
  <c r="K10" i="14"/>
  <c r="J5" i="48"/>
  <c r="J23" s="1"/>
  <c r="P63" i="14"/>
  <c r="Q9" i="48"/>
  <c r="I63" i="14"/>
  <c r="R11"/>
  <c r="Q7" i="48"/>
  <c r="E20" i="15"/>
  <c r="F40" i="14" s="1"/>
  <c r="J18" i="16"/>
  <c r="E18"/>
  <c r="F18"/>
  <c r="F22" s="1"/>
  <c r="G43" i="14" s="1"/>
  <c r="N18" i="16"/>
  <c r="G18" i="22"/>
  <c r="H50" i="14" s="1"/>
  <c r="H52" s="1"/>
  <c r="H61" s="1"/>
  <c r="H63" s="1"/>
  <c r="E22" i="16"/>
  <c r="F43" i="14" s="1"/>
  <c r="H18" i="22"/>
  <c r="I50" i="14" s="1"/>
  <c r="I52" s="1"/>
  <c r="I61" s="1"/>
  <c r="F16" l="1"/>
  <c r="F27" s="1"/>
  <c r="M27" i="48"/>
  <c r="M33" s="1"/>
  <c r="M15"/>
  <c r="K16" i="14"/>
  <c r="K27" s="1"/>
  <c r="J22" i="16"/>
  <c r="K43" i="14" s="1"/>
  <c r="K46" s="1"/>
  <c r="K61" s="1"/>
  <c r="J8" i="48"/>
  <c r="K13" i="14"/>
  <c r="E8" i="48"/>
  <c r="F13" i="14"/>
  <c r="F46"/>
  <c r="F61" s="1"/>
  <c r="N8" i="48"/>
  <c r="N26" s="1"/>
  <c r="O13" i="14"/>
  <c r="N22" i="16"/>
  <c r="O43" i="14" s="1"/>
  <c r="G13"/>
  <c r="F8" i="48"/>
  <c r="F63" i="14" l="1"/>
  <c r="E26" i="48"/>
  <c r="E33" s="1"/>
  <c r="E15"/>
  <c r="J26"/>
  <c r="J33" s="1"/>
  <c r="J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<sst xmlns="http://schemas.openxmlformats.org/spreadsheetml/2006/main" count="2401" uniqueCount="897">
  <si>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</si>
  <si>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</si>
  <si>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</si>
  <si>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</si>
  <si>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</si>
  <si>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</si>
  <si>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</si>
  <si>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</si>
  <si>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</si>
  <si>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</si>
  <si>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</si>
  <si>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</si>
  <si>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</si>
  <si>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</si>
  <si>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</si>
  <si>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</si>
  <si>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</si>
  <si>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</si>
  <si>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</si>
  <si>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</si>
  <si>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</si>
  <si>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</si>
  <si>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</si>
  <si>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</si>
  <si>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</si>
  <si>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</si>
  <si>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</si>
  <si>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</si>
  <si>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</si>
  <si>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</si>
  <si>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</si>
  <si>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</si>
  <si>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</si>
  <si>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</si>
  <si>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</si>
  <si>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</si>
  <si>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</si>
  <si>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</si>
  <si>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</si>
  <si>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</si>
  <si>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</si>
  <si>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</si>
  <si>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</si>
  <si>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</si>
  <si>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</si>
  <si>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</si>
  <si>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</si>
  <si>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</si>
  <si>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</si>
  <si>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</si>
  <si>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</si>
  <si>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</si>
  <si>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</si>
  <si>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</si>
  <si>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</si>
  <si>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</si>
  <si>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</si>
  <si>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</si>
  <si>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</si>
  <si>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</si>
  <si>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</si>
  <si>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</si>
  <si>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</si>
  <si>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</si>
  <si>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</si>
  <si>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</si>
  <si>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</si>
  <si>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</si>
  <si>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</si>
  <si>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</si>
  <si>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</si>
  <si>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</si>
  <si>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</si>
  <si>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</si>
  <si>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</si>
  <si>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</si>
  <si>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</si>
  <si>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</si>
  <si>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</si>
  <si>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</si>
  <si>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</si>
  <si>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</si>
  <si>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</si>
  <si>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</si>
  <si>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</si>
  <si>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</si>
  <si>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</si>
  <si>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</si>
  <si>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</si>
  <si>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</si>
  <si>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</si>
  <si>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</si>
  <si>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</si>
  <si>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</si>
  <si>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</si>
  <si>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</si>
  <si>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</si>
  <si>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</si>
  <si>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</si>
  <si>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</si>
  <si>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</si>
  <si>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</si>
  <si>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</si>
  <si>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</si>
  <si>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</si>
  <si>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</si>
  <si>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</si>
  <si>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</si>
  <si>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</si>
  <si>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</si>
  <si>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</si>
  <si>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</si>
  <si>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</si>
  <si>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</si>
  <si>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</si>
  <si>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</si>
  <si>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</si>
  <si>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</si>
  <si>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</si>
  <si>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</si>
  <si>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</si>
  <si>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</si>
  <si>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</si>
  <si>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</si>
  <si>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</si>
  <si>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</si>
  <si>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</si>
  <si>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</si>
  <si>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</si>
  <si>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</si>
  <si>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</si>
  <si>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</si>
  <si>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</si>
  <si>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</si>
  <si>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</si>
  <si>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</si>
  <si>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</si>
  <si>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</si>
  <si>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</si>
  <si>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</si>
  <si>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</si>
  <si>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</si>
  <si>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</si>
  <si>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</si>
  <si>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</si>
  <si>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</si>
  <si>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</si>
  <si>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</si>
  <si>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</si>
  <si>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</si>
  <si>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</si>
  <si>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</si>
  <si>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</si>
  <si>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</si>
  <si>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</si>
  <si>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</si>
  <si>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</si>
  <si>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</si>
  <si>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</si>
  <si>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</si>
  <si>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</si>
  <si>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</si>
  <si>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</si>
  <si>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</si>
  <si>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</si>
  <si>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</si>
  <si>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</si>
  <si>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</si>
  <si>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</si>
  <si>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</si>
  <si>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</si>
  <si>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</si>
  <si>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</si>
  <si>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</si>
  <si>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</si>
  <si>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</si>
  <si>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</si>
  <si>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</si>
  <si>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</si>
  <si>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</si>
  <si>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</si>
  <si>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</si>
  <si>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</si>
  <si>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</si>
  <si>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</si>
  <si>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</si>
  <si>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</si>
  <si>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</si>
  <si>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</si>
  <si>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</si>
  <si>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</si>
  <si>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</si>
  <si>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</si>
  <si>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</si>
  <si>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</si>
  <si>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</si>
  <si>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</si>
  <si>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</si>
  <si>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</si>
  <si>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</si>
  <si>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</si>
  <si>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</si>
  <si>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</si>
  <si>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</si>
  <si>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</si>
  <si>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</si>
  <si>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</si>
  <si>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</si>
  <si>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</si>
  <si>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</si>
  <si>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</si>
  <si>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</si>
  <si>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</si>
  <si>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</si>
  <si>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</si>
  <si>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</si>
  <si>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</si>
  <si>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</si>
  <si>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</si>
  <si>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</si>
  <si>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</si>
  <si>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</si>
  <si>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</si>
  <si>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</si>
  <si>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</si>
  <si>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</si>
  <si>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</si>
  <si>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</si>
  <si>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</si>
  <si>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</si>
  <si>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</si>
  <si>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</si>
  <si>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</si>
  <si>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</si>
  <si>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</si>
  <si>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</si>
  <si>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</si>
  <si>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</si>
  <si>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</si>
  <si>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</si>
  <si>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</si>
  <si>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</si>
  <si>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</si>
  <si>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</si>
  <si>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</si>
  <si>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</si>
  <si>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</si>
  <si>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</si>
  <si>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</si>
  <si>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</si>
  <si>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</si>
  <si>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</si>
  <si>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</si>
  <si>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</si>
  <si>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</si>
  <si>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</si>
  <si>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</si>
  <si>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</si>
  <si>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</si>
  <si>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</si>
  <si>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</si>
  <si>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</si>
  <si>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</si>
  <si>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</si>
  <si>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</si>
  <si>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</si>
  <si>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</si>
  <si>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</si>
  <si>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</si>
  <si>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</si>
  <si>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</si>
  <si>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</si>
  <si>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</si>
  <si>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</si>
  <si>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</si>
  <si>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</si>
  <si>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</si>
  <si>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</si>
  <si>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</si>
  <si>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</si>
  <si>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</si>
  <si>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</si>
  <si>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</si>
  <si>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</si>
  <si>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</si>
  <si>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</si>
  <si>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</si>
  <si>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</si>
  <si>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</si>
  <si>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</si>
  <si>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</si>
  <si>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</si>
  <si>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</si>
  <si>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</si>
  <si>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</si>
  <si>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</si>
  <si>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</si>
  <si>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</si>
  <si>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</si>
  <si>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</si>
  <si>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</si>
  <si>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</si>
  <si>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</si>
  <si>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</si>
  <si>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</si>
  <si>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</si>
  <si>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</si>
  <si>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</si>
  <si>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</si>
  <si>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</si>
  <si>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</si>
  <si>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</si>
  <si>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</si>
  <si>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</si>
  <si>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</si>
  <si>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</si>
  <si>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</si>
  <si>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</si>
  <si>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</si>
  <si>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</si>
  <si>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</si>
  <si>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</si>
  <si>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</si>
  <si>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</si>
  <si>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</si>
  <si>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</si>
  <si>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</si>
  <si>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</si>
  <si>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</si>
  <si>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</si>
  <si>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</si>
  <si>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</si>
  <si>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</si>
  <si>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</si>
  <si>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</si>
  <si>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</si>
  <si>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</si>
  <si>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</si>
  <si>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</si>
  <si>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</si>
  <si>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</si>
  <si>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</si>
  <si>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</si>
  <si>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</si>
  <si>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</si>
  <si>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</si>
  <si>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</si>
  <si>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</si>
  <si>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</si>
  <si>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</si>
  <si>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</si>
  <si>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</si>
  <si>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</si>
  <si>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</si>
  <si>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</si>
  <si>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</si>
  <si>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</si>
  <si>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</si>
  <si>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</si>
  <si>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</si>
  <si>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</si>
  <si>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</si>
  <si>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</si>
  <si>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</si>
  <si>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</si>
  <si>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</si>
  <si>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</si>
  <si>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</si>
  <si>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</si>
  <si>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</si>
  <si>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</si>
  <si>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</si>
  <si>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</si>
  <si>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</si>
  <si>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</si>
  <si>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</si>
  <si>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</si>
  <si>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</si>
  <si>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</si>
  <si>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</si>
  <si>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</si>
  <si>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</si>
  <si>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</si>
  <si>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</si>
  <si>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</si>
  <si>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</si>
  <si>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</si>
  <si>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</si>
  <si>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</si>
  <si>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</si>
  <si>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</si>
  <si>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</si>
  <si>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</si>
  <si>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</si>
  <si>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</si>
  <si>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</si>
  <si>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</si>
  <si>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</si>
  <si>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</si>
  <si>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</si>
  <si>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</si>
  <si>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</si>
  <si>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</si>
  <si>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</si>
  <si>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</si>
  <si>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</si>
  <si>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</si>
  <si>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</si>
  <si>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</si>
  <si>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</si>
  <si>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</si>
  <si>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</si>
  <si>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</si>
  <si>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</si>
  <si>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</si>
  <si>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</si>
  <si>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</si>
  <si>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</si>
  <si>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</si>
  <si>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</si>
  <si>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</si>
  <si>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</si>
  <si>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</si>
  <si>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</si>
  <si>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</si>
  <si>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</si>
  <si>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</si>
  <si>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</si>
  <si>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</si>
  <si>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</si>
  <si>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</si>
  <si>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</si>
  <si>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</si>
  <si>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</si>
  <si>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</si>
  <si>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</si>
  <si>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</si>
  <si>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</si>
  <si>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</si>
  <si>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</si>
  <si>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</si>
  <si>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</si>
  <si>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</si>
  <si>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</si>
  <si>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</si>
  <si>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</si>
  <si>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</si>
  <si>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</si>
  <si>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</si>
  <si>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</si>
  <si>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</si>
  <si>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</si>
  <si>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</si>
  <si>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</si>
  <si>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</si>
  <si>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</si>
  <si>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</si>
  <si>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</si>
  <si>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</si>
  <si>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</si>
  <si>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</si>
  <si>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</si>
  <si>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</si>
  <si>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</si>
  <si>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</si>
  <si>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</si>
  <si>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</si>
  <si>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</si>
  <si>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</si>
  <si>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</si>
  <si>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</si>
  <si>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</si>
  <si>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</si>
  <si>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</si>
  <si>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</si>
  <si>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</si>
  <si>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</si>
  <si>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</si>
  <si>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</si>
  <si>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</si>
  <si>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</si>
  <si>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</si>
  <si>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</si>
  <si>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</si>
  <si>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</si>
  <si>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</si>
  <si>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</si>
  <si>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</si>
  <si>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</si>
  <si>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</si>
  <si>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</si>
  <si>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</si>
  <si>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</si>
  <si>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</si>
  <si>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</si>
  <si>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</si>
  <si>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</si>
  <si>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</si>
  <si>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</si>
  <si>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</si>
  <si>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</si>
  <si>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</si>
  <si>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</si>
  <si>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</si>
  <si>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</si>
  <si>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</si>
  <si>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</si>
  <si>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</si>
  <si>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</si>
  <si>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</si>
  <si>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</si>
  <si>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</si>
  <si>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</si>
  <si>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</si>
  <si>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</si>
  <si>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</si>
  <si>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</si>
  <si>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</si>
  <si>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</si>
  <si>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</si>
  <si>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</si>
  <si>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</si>
  <si>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</si>
  <si>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</si>
  <si>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</si>
  <si>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</si>
  <si>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</si>
  <si>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</si>
  <si>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</si>
  <si>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</si>
  <si>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</si>
  <si>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</si>
  <si>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</si>
  <si>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</si>
  <si>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</si>
  <si>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</si>
  <si>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</si>
  <si>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</si>
  <si>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</si>
  <si>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</si>
  <si>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</si>
  <si>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</si>
  <si>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</si>
  <si>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</si>
  <si>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</si>
  <si>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</si>
  <si>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</si>
  <si>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</si>
  <si>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</si>
  <si>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</si>
  <si>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</si>
  <si>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</si>
  <si>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</si>
  <si>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</si>
  <si>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</si>
  <si>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</si>
  <si>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</si>
  <si>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</si>
  <si>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</si>
  <si>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</si>
  <si>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</si>
  <si>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</si>
  <si>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</si>
  <si>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</si>
  <si>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</si>
  <si>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</si>
  <si>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</si>
  <si>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</si>
  <si>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</si>
  <si>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</si>
  <si>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</si>
  <si>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</si>
  <si>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</si>
  <si>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</si>
  <si>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</si>
  <si>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</si>
  <si>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</si>
  <si>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</si>
  <si>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</si>
  <si>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</si>
  <si>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</si>
  <si>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</si>
  <si>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</si>
  <si>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</si>
  <si>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</si>
  <si>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</si>
  <si>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</si>
  <si>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</si>
  <si>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</si>
  <si>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</si>
  <si>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</si>
  <si>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</si>
  <si>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</si>
  <si>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</si>
  <si>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</si>
  <si>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</si>
  <si>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</si>
  <si>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</si>
  <si>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</si>
  <si>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</si>
  <si>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</si>
  <si>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</si>
  <si>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</si>
  <si>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</si>
  <si>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</si>
  <si>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</si>
  <si>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</si>
  <si>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</si>
  <si>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</si>
  <si>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</si>
  <si>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</si>
  <si>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</si>
  <si>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</si>
  <si>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</si>
  <si>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</si>
  <si>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</si>
  <si>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</si>
  <si>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</si>
  <si>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</si>
  <si>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</si>
  <si>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</si>
  <si>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</si>
  <si>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</si>
  <si>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</si>
  <si>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</si>
  <si>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</si>
  <si>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</si>
  <si>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</si>
  <si>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</si>
  <si>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</si>
  <si>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</si>
  <si>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</si>
  <si>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</si>
  <si>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</si>
  <si>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</si>
  <si>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</si>
  <si>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</si>
  <si>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</si>
  <si>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</si>
  <si>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</si>
  <si>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</si>
  <si>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</si>
  <si>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</si>
  <si>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</si>
  <si>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</si>
  <si>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</si>
  <si>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</si>
  <si>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</si>
  <si>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</si>
  <si>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</si>
  <si>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</si>
  <si>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</si>
  <si>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</si>
  <si>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</si>
  <si>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</si>
  <si>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</si>
  <si>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</si>
  <si>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</si>
  <si>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</si>
  <si>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</si>
  <si>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</si>
  <si>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</si>
  <si>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</si>
  <si>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</si>
  <si>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</si>
  <si>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</si>
  <si>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</si>
  <si>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</si>
  <si>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</si>
  <si>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</si>
  <si>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</si>
  <si>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</si>
  <si>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</si>
  <si>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</si>
  <si>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</si>
  <si>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</si>
  <si>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</si>
  <si>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</si>
  <si>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</si>
  <si>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</si>
  <si>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</si>
  <si>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</si>
  <si>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</si>
  <si>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</si>
  <si>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</si>
  <si>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</si>
  <si>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</si>
  <si>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</si>
  <si>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</si>
  <si>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</si>
  <si>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</si>
  <si>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</si>
  <si>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</si>
  <si>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</si>
  <si>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</si>
  <si>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</si>
  <si>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</si>
  <si>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</si>
  <si>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</si>
  <si>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</si>
  <si>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</si>
  <si>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</si>
  <si>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</si>
  <si>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</si>
  <si>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</si>
  <si>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</si>
  <si>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</si>
  <si>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</si>
  <si>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</si>
  <si>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</si>
  <si>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</si>
  <si>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</si>
  <si>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</si>
  <si>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</si>
  <si>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</si>
  <si>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</si>
  <si>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</si>
  <si>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</si>
  <si>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</si>
  <si>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</si>
  <si>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</si>
  <si>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</si>
  <si>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</si>
  <si>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</si>
  <si>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</si>
  <si>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</si>
  <si>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</si>
  <si>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</si>
  <si>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</si>
  <si>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</si>
  <si>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</si>
  <si>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</si>
  <si>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</si>
  <si>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</si>
  <si>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</si>
  <si>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</si>
  <si>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</si>
  <si>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</si>
  <si>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</si>
  <si>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</si>
  <si>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</si>
  <si>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</si>
  <si>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</si>
  <si>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</si>
  <si>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</si>
  <si>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</si>
  <si>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</si>
  <si>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</si>
  <si>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</si>
  <si>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</si>
  <si>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</si>
  <si>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</si>
  <si>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</si>
  <si>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</si>
  <si>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</si>
  <si>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</si>
  <si>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</si>
  <si>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</si>
  <si>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</si>
  <si>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</si>
  <si>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</si>
  <si>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</si>
  <si>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</si>
  <si>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</si>
  <si>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</si>
  <si>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</si>
  <si>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</si>
  <si>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</si>
  <si>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</si>
  <si>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</si>
  <si>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</si>
  <si>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</si>
  <si>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</si>
  <si>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</si>
  <si>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</si>
  <si>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</si>
  <si>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</si>
  <si>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</si>
  <si>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</si>
  <si>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</si>
  <si>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</si>
  <si>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</si>
  <si>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</si>
  <si>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</si>
  <si>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</si>
  <si>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</si>
  <si>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</si>
  <si>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</si>
  <si>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</si>
  <si>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</si>
  <si>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</si>
  <si>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</si>
  <si>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</si>
  <si>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</si>
  <si>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</si>
  <si>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</si>
  <si>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</si>
  <si>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</si>
  <si>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</si>
  <si>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</si>
  <si>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</si>
  <si>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</si>
  <si>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</si>
  <si>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</si>
  <si>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</si>
  <si>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</si>
  <si>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</si>
  <si>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</si>
  <si>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</si>
  <si>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</si>
  <si>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</si>
  <si>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</si>
  <si>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</si>
  <si>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</si>
  <si>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</si>
  <si>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</si>
  <si>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</si>
  <si>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</si>
  <si>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</si>
  <si>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</si>
  <si>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</si>
  <si>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</si>
  <si>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</si>
  <si>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</si>
  <si>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</si>
  <si>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</si>
  <si>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</si>
  <si>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</si>
  <si>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</si>
  <si>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</si>
  <si>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</si>
  <si>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</si>
  <si>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</si>
  <si>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</si>
  <si>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</si>
  <si>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</si>
  <si>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</si>
  <si>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</si>
  <si>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</si>
  <si>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</si>
  <si>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</si>
  <si>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</si>
  <si>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</si>
  <si>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</si>
  <si>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</si>
  <si>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</si>
  <si>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</si>
  <si>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</si>
  <si>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</si>
  <si>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</si>
  <si>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</si>
  <si>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</si>
  <si>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</si>
  <si>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</si>
  <si>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</si>
  <si>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</si>
  <si>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</si>
  <si>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</si>
  <si>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</si>
  <si>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</si>
  <si>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</si>
  <si>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</si>
  <si>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</si>
  <si>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</si>
  <si>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</si>
  <si>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</si>
  <si>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</si>
  <si>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</si>
  <si>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</si>
  <si>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</si>
  <si>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</si>
  <si>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</si>
  <si>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</si>
  <si>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</si>
  <si>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</si>
  <si>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</si>
  <si>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</si>
  <si>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</si>
  <si>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</si>
  <si>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</si>
  <si>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</si>
  <si>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</si>
  <si>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72040</t>
  </si>
  <si>
    <t>MEEUWEN-GRUITRODE</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</si>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</sst>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121662.65752392665</c:v>
                </c:pt>
                <c:pt idx="1">
                  <c:v>16246.216934464519</c:v>
                </c:pt>
                <c:pt idx="2">
                  <c:v>773.59500000000003</c:v>
                </c:pt>
                <c:pt idx="3">
                  <c:v>12895.294012751678</c:v>
                </c:pt>
                <c:pt idx="4">
                  <c:v>13035.129582434885</c:v>
                </c:pt>
                <c:pt idx="5">
                  <c:v>100645.9486771415</c:v>
                </c:pt>
                <c:pt idx="6">
                  <c:v>1900.5683860688698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121662.65752392665</c:v>
                </c:pt>
                <c:pt idx="1">
                  <c:v>16246.216934464519</c:v>
                </c:pt>
                <c:pt idx="2">
                  <c:v>773.59500000000003</c:v>
                </c:pt>
                <c:pt idx="3">
                  <c:v>12895.294012751678</c:v>
                </c:pt>
                <c:pt idx="4">
                  <c:v>13035.129582434885</c:v>
                </c:pt>
                <c:pt idx="5">
                  <c:v>100645.9486771415</c:v>
                </c:pt>
                <c:pt idx="6">
                  <c:v>1900.5683860688698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24297.422520257129</c:v>
                </c:pt>
                <c:pt idx="2">
                  <c:v>3162.6116531978987</c:v>
                </c:pt>
                <c:pt idx="3">
                  <c:v>142.51087077429187</c:v>
                </c:pt>
                <c:pt idx="4">
                  <c:v>3234.6526947844245</c:v>
                </c:pt>
                <c:pt idx="5">
                  <c:v>2539.4161070069213</c:v>
                </c:pt>
                <c:pt idx="6">
                  <c:v>25738.616655546084</c:v>
                </c:pt>
                <c:pt idx="7">
                  <c:v>492.18527301940321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9312"/>
      </c:barChart>
      <c:catAx>
        <c:axId val="149863424"/>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24297.422520257129</c:v>
                </c:pt>
                <c:pt idx="2">
                  <c:v>3162.6116531978987</c:v>
                </c:pt>
                <c:pt idx="3">
                  <c:v>142.51087077429187</c:v>
                </c:pt>
                <c:pt idx="4">
                  <c:v>3234.6526947844245</c:v>
                </c:pt>
                <c:pt idx="5">
                  <c:v>2539.4161070069213</c:v>
                </c:pt>
                <c:pt idx="6">
                  <c:v>25738.616655546084</c:v>
                </c:pt>
                <c:pt idx="7">
                  <c:v>492.18527301940321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72040</v>
      </c>
      <c r="B6" s="415"/>
      <c r="C6" s="416"/>
    </row>
    <row r="7" spans="1:7" s="413" customFormat="1" ht="15.75" customHeight="1">
      <c r="A7" s="417" t="str">
        <f>txtMunicipality</f>
        <v>MEEUWEN-GRUITRODE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0.18421896570465407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0.18421896570465407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5111</v>
      </c>
      <c r="C9" s="342">
        <v>5045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4689.59</v>
      </c>
    </row>
    <row r="15" spans="1:6">
      <c r="A15" s="348" t="s">
        <v>184</v>
      </c>
      <c r="B15" s="334">
        <v>2165</v>
      </c>
    </row>
    <row r="16" spans="1:6">
      <c r="A16" s="348" t="s">
        <v>6</v>
      </c>
      <c r="B16" s="334">
        <v>1682</v>
      </c>
    </row>
    <row r="17" spans="1:6">
      <c r="A17" s="348" t="s">
        <v>7</v>
      </c>
      <c r="B17" s="334">
        <v>569</v>
      </c>
    </row>
    <row r="18" spans="1:6">
      <c r="A18" s="348" t="s">
        <v>8</v>
      </c>
      <c r="B18" s="334">
        <v>1415</v>
      </c>
    </row>
    <row r="19" spans="1:6">
      <c r="A19" s="348" t="s">
        <v>9</v>
      </c>
      <c r="B19" s="334">
        <v>1276</v>
      </c>
    </row>
    <row r="20" spans="1:6">
      <c r="A20" s="348" t="s">
        <v>10</v>
      </c>
      <c r="B20" s="334">
        <v>871</v>
      </c>
    </row>
    <row r="21" spans="1:6">
      <c r="A21" s="348" t="s">
        <v>11</v>
      </c>
      <c r="B21" s="334">
        <v>9435</v>
      </c>
    </row>
    <row r="22" spans="1:6">
      <c r="A22" s="348" t="s">
        <v>12</v>
      </c>
      <c r="B22" s="334">
        <v>19987</v>
      </c>
    </row>
    <row r="23" spans="1:6">
      <c r="A23" s="348" t="s">
        <v>13</v>
      </c>
      <c r="B23" s="334">
        <v>181</v>
      </c>
    </row>
    <row r="24" spans="1:6">
      <c r="A24" s="348" t="s">
        <v>14</v>
      </c>
      <c r="B24" s="334">
        <v>12</v>
      </c>
    </row>
    <row r="25" spans="1:6">
      <c r="A25" s="348" t="s">
        <v>15</v>
      </c>
      <c r="B25" s="334">
        <v>1353</v>
      </c>
    </row>
    <row r="26" spans="1:6">
      <c r="A26" s="348" t="s">
        <v>16</v>
      </c>
      <c r="B26" s="334">
        <v>170</v>
      </c>
    </row>
    <row r="27" spans="1:6">
      <c r="A27" s="348" t="s">
        <v>17</v>
      </c>
      <c r="B27" s="334">
        <v>0</v>
      </c>
    </row>
    <row r="28" spans="1:6" s="356" customFormat="1">
      <c r="A28" s="355" t="s">
        <v>18</v>
      </c>
      <c r="B28" s="355">
        <v>116042</v>
      </c>
    </row>
    <row r="29" spans="1:6">
      <c r="A29" s="355" t="s">
        <v>884</v>
      </c>
      <c r="B29" s="355">
        <v>509</v>
      </c>
      <c r="C29" s="356"/>
      <c r="D29" s="356"/>
      <c r="E29" s="356"/>
      <c r="F29" s="356"/>
    </row>
    <row r="30" spans="1:6">
      <c r="A30" s="355" t="s">
        <v>885</v>
      </c>
      <c r="B30" s="341">
        <v>39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16</v>
      </c>
      <c r="F36" s="334">
        <v>16172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1811</v>
      </c>
      <c r="D39" s="334">
        <v>26906106</v>
      </c>
      <c r="E39" s="334">
        <v>5041</v>
      </c>
      <c r="F39" s="334">
        <v>17940110</v>
      </c>
    </row>
    <row r="40" spans="1:6">
      <c r="A40" s="348" t="s">
        <v>30</v>
      </c>
      <c r="B40" s="348" t="s">
        <v>29</v>
      </c>
      <c r="C40" s="334">
        <v>0</v>
      </c>
      <c r="D40" s="334">
        <v>0</v>
      </c>
      <c r="E40" s="334">
        <v>0</v>
      </c>
      <c r="F40" s="334">
        <v>0</v>
      </c>
    </row>
    <row r="41" spans="1:6">
      <c r="A41" s="348" t="s">
        <v>32</v>
      </c>
      <c r="B41" s="348" t="s">
        <v>33</v>
      </c>
      <c r="C41" s="334">
        <v>33</v>
      </c>
      <c r="D41" s="334">
        <v>1451683</v>
      </c>
      <c r="E41" s="334">
        <v>106</v>
      </c>
      <c r="F41" s="334">
        <v>1935553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177718</v>
      </c>
      <c r="E44" s="334">
        <v>22</v>
      </c>
      <c r="F44" s="334">
        <v>3324866</v>
      </c>
    </row>
    <row r="45" spans="1:6">
      <c r="A45" s="348" t="s">
        <v>32</v>
      </c>
      <c r="B45" s="348" t="s">
        <v>37</v>
      </c>
      <c r="C45" s="334">
        <v>3</v>
      </c>
      <c r="D45" s="334">
        <v>449422</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33242</v>
      </c>
      <c r="E48" s="334">
        <v>4</v>
      </c>
      <c r="F48" s="334">
        <v>37235</v>
      </c>
    </row>
    <row r="49" spans="1:6">
      <c r="A49" s="348" t="s">
        <v>32</v>
      </c>
      <c r="B49" s="348" t="s">
        <v>40</v>
      </c>
      <c r="C49" s="334">
        <v>0</v>
      </c>
      <c r="D49" s="334">
        <v>0</v>
      </c>
      <c r="E49" s="334">
        <v>5</v>
      </c>
      <c r="F49" s="334">
        <v>64209</v>
      </c>
    </row>
    <row r="50" spans="1:6">
      <c r="A50" s="348" t="s">
        <v>32</v>
      </c>
      <c r="B50" s="348" t="s">
        <v>41</v>
      </c>
      <c r="C50" s="334">
        <v>0</v>
      </c>
      <c r="D50" s="334">
        <v>0</v>
      </c>
      <c r="E50" s="334">
        <v>7</v>
      </c>
      <c r="F50" s="334">
        <v>763991</v>
      </c>
    </row>
    <row r="51" spans="1:6">
      <c r="A51" s="348" t="s">
        <v>42</v>
      </c>
      <c r="B51" s="348" t="s">
        <v>43</v>
      </c>
      <c r="C51" s="334">
        <v>6</v>
      </c>
      <c r="D51" s="334">
        <v>47170</v>
      </c>
      <c r="E51" s="334">
        <v>119</v>
      </c>
      <c r="F51" s="334">
        <v>2650891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91</v>
      </c>
      <c r="F54" s="334">
        <v>773595</v>
      </c>
    </row>
    <row r="55" spans="1:6">
      <c r="A55" s="348" t="s">
        <v>46</v>
      </c>
      <c r="B55" s="348" t="s">
        <v>29</v>
      </c>
      <c r="C55" s="334">
        <v>0</v>
      </c>
      <c r="D55" s="334">
        <v>0</v>
      </c>
      <c r="E55" s="334">
        <v>0</v>
      </c>
      <c r="F55" s="334">
        <v>0</v>
      </c>
    </row>
    <row r="56" spans="1:6">
      <c r="A56" s="348" t="s">
        <v>48</v>
      </c>
      <c r="B56" s="348" t="s">
        <v>29</v>
      </c>
      <c r="C56" s="334">
        <v>22</v>
      </c>
      <c r="D56" s="334">
        <v>195153</v>
      </c>
      <c r="E56" s="334">
        <v>69</v>
      </c>
      <c r="F56" s="334">
        <v>339290</v>
      </c>
    </row>
    <row r="57" spans="1:6">
      <c r="A57" s="348" t="s">
        <v>49</v>
      </c>
      <c r="B57" s="348" t="s">
        <v>50</v>
      </c>
      <c r="C57" s="334">
        <v>18</v>
      </c>
      <c r="D57" s="334">
        <v>599419</v>
      </c>
      <c r="E57" s="334">
        <v>59</v>
      </c>
      <c r="F57" s="334">
        <v>693456</v>
      </c>
    </row>
    <row r="58" spans="1:6">
      <c r="A58" s="348" t="s">
        <v>49</v>
      </c>
      <c r="B58" s="348" t="s">
        <v>51</v>
      </c>
      <c r="C58" s="334">
        <v>12</v>
      </c>
      <c r="D58" s="334">
        <v>963245</v>
      </c>
      <c r="E58" s="334">
        <v>20</v>
      </c>
      <c r="F58" s="334">
        <v>657749</v>
      </c>
    </row>
    <row r="59" spans="1:6">
      <c r="A59" s="348" t="s">
        <v>49</v>
      </c>
      <c r="B59" s="348" t="s">
        <v>52</v>
      </c>
      <c r="C59" s="334">
        <v>43</v>
      </c>
      <c r="D59" s="334">
        <v>1319702</v>
      </c>
      <c r="E59" s="334">
        <v>126</v>
      </c>
      <c r="F59" s="334">
        <v>2896874</v>
      </c>
    </row>
    <row r="60" spans="1:6">
      <c r="A60" s="348" t="s">
        <v>49</v>
      </c>
      <c r="B60" s="348" t="s">
        <v>53</v>
      </c>
      <c r="C60" s="334">
        <v>21</v>
      </c>
      <c r="D60" s="334">
        <v>985500</v>
      </c>
      <c r="E60" s="334">
        <v>46</v>
      </c>
      <c r="F60" s="334">
        <v>1212342</v>
      </c>
    </row>
    <row r="61" spans="1:6">
      <c r="A61" s="348" t="s">
        <v>49</v>
      </c>
      <c r="B61" s="348" t="s">
        <v>54</v>
      </c>
      <c r="C61" s="334">
        <v>56</v>
      </c>
      <c r="D61" s="334">
        <v>1791519</v>
      </c>
      <c r="E61" s="334">
        <v>214</v>
      </c>
      <c r="F61" s="334">
        <v>2056709</v>
      </c>
    </row>
    <row r="62" spans="1:6">
      <c r="A62" s="348" t="s">
        <v>49</v>
      </c>
      <c r="B62" s="348" t="s">
        <v>55</v>
      </c>
      <c r="C62" s="334">
        <v>6</v>
      </c>
      <c r="D62" s="334">
        <v>529875</v>
      </c>
      <c r="E62" s="334">
        <v>25</v>
      </c>
      <c r="F62" s="334">
        <v>342673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22511</v>
      </c>
      <c r="E65" s="334">
        <v>0</v>
      </c>
      <c r="F65" s="334">
        <v>3374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41893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87055952</v>
      </c>
      <c r="E73" s="475">
        <v>89293371.992151275</v>
      </c>
    </row>
    <row r="74" spans="1:6">
      <c r="A74" s="348" t="s">
        <v>64</v>
      </c>
      <c r="B74" s="348" t="s">
        <v>667</v>
      </c>
      <c r="C74" s="1294" t="s">
        <v>669</v>
      </c>
      <c r="D74" s="475">
        <v>8229104.6210589074</v>
      </c>
      <c r="E74" s="475">
        <v>8420638.8313384764</v>
      </c>
    </row>
    <row r="75" spans="1:6">
      <c r="A75" s="348" t="s">
        <v>65</v>
      </c>
      <c r="B75" s="348" t="s">
        <v>666</v>
      </c>
      <c r="C75" s="1294" t="s">
        <v>670</v>
      </c>
      <c r="D75" s="475">
        <v>27937305</v>
      </c>
      <c r="E75" s="475">
        <v>28688130.910375301</v>
      </c>
    </row>
    <row r="76" spans="1:6">
      <c r="A76" s="348" t="s">
        <v>65</v>
      </c>
      <c r="B76" s="348" t="s">
        <v>667</v>
      </c>
      <c r="C76" s="1294" t="s">
        <v>671</v>
      </c>
      <c r="D76" s="475">
        <v>529894.62105890713</v>
      </c>
      <c r="E76" s="475">
        <v>548855.50198795914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510466.7578821858</v>
      </c>
      <c r="C83" s="475">
        <v>510466.7578821858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5271.8805366644128</v>
      </c>
    </row>
    <row r="92" spans="1:6">
      <c r="A92" s="341" t="s">
        <v>69</v>
      </c>
      <c r="B92" s="342">
        <v>1506.164763871988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252</v>
      </c>
    </row>
    <row r="98" spans="1:6">
      <c r="A98" s="348" t="s">
        <v>72</v>
      </c>
      <c r="B98" s="334">
        <v>2</v>
      </c>
    </row>
    <row r="99" spans="1:6">
      <c r="A99" s="348" t="s">
        <v>73</v>
      </c>
      <c r="B99" s="334">
        <v>29</v>
      </c>
    </row>
    <row r="100" spans="1:6">
      <c r="A100" s="348" t="s">
        <v>74</v>
      </c>
      <c r="B100" s="334">
        <v>157</v>
      </c>
    </row>
    <row r="101" spans="1:6">
      <c r="A101" s="348" t="s">
        <v>75</v>
      </c>
      <c r="B101" s="334">
        <v>59</v>
      </c>
    </row>
    <row r="102" spans="1:6">
      <c r="A102" s="348" t="s">
        <v>76</v>
      </c>
      <c r="B102" s="334">
        <v>51</v>
      </c>
    </row>
    <row r="103" spans="1:6">
      <c r="A103" s="348" t="s">
        <v>77</v>
      </c>
      <c r="B103" s="334">
        <v>84</v>
      </c>
    </row>
    <row r="104" spans="1:6">
      <c r="A104" s="348" t="s">
        <v>78</v>
      </c>
      <c r="B104" s="334">
        <v>3633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38</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245</v>
      </c>
    </row>
    <row r="130" spans="1:6">
      <c r="A130" s="348" t="s">
        <v>295</v>
      </c>
      <c r="B130" s="334">
        <v>1</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40988.370509453191</v>
      </c>
      <c r="C3" s="43" t="s">
        <v>170</v>
      </c>
      <c r="D3" s="43"/>
      <c r="E3" s="154"/>
      <c r="F3" s="43"/>
      <c r="G3" s="43"/>
      <c r="H3" s="43"/>
      <c r="I3" s="43"/>
      <c r="J3" s="43"/>
      <c r="K3" s="96"/>
    </row>
    <row r="4" spans="1:11">
      <c r="A4" s="383" t="s">
        <v>171</v>
      </c>
      <c r="B4" s="49">
        <f>IF(ISERROR('SEAP template'!B78+'SEAP template'!C78),0,'SEAP template'!B78+'SEAP template'!C78)</f>
        <v>6821.6953005364003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0.18421896570465407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773.59500000000003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773.59500000000003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0.18421896570465407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142.51087077429187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17940.11</v>
      </c>
      <c r="C5" s="17">
        <f>IF(ISERROR('Eigen informatie GS &amp; warmtenet'!B57),0,'Eigen informatie GS &amp; warmtenet'!B57)</f>
        <v>0</v>
      </c>
      <c r="D5" s="30">
        <f>(SUM(HH_hh_gas_kWh,HH_rest_gas_kWh)/1000)*0.902</f>
        <v>24269.307612000001</v>
      </c>
      <c r="E5" s="17">
        <f>B46*B57</f>
        <v>2757.8036743967523</v>
      </c>
      <c r="F5" s="17">
        <f>B51*B62</f>
        <v>54280.569512863403</v>
      </c>
      <c r="G5" s="18"/>
      <c r="H5" s="17"/>
      <c r="I5" s="17"/>
      <c r="J5" s="17">
        <f>B50*B61+C50*C61</f>
        <v>0</v>
      </c>
      <c r="K5" s="17"/>
      <c r="L5" s="17"/>
      <c r="M5" s="17"/>
      <c r="N5" s="17">
        <f>B48*B59+C48*C59</f>
        <v>15934.769521335413</v>
      </c>
      <c r="O5" s="17">
        <f>B69*B70*B71</f>
        <v>445.55</v>
      </c>
      <c r="P5" s="17">
        <f>B77*B78*B79/1000-B77*B78*B79/1000/B80</f>
        <v>762.66666666666674</v>
      </c>
    </row>
    <row r="6" spans="1:16">
      <c r="A6" s="16" t="s">
        <v>624</v>
      </c>
      <c r="B6" s="788">
        <f>kWh_PV_kleiner_dan_10kW</f>
        <v>5271.8805366644128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23211.990536664413</v>
      </c>
      <c r="C8" s="21">
        <f>C5</f>
        <v>0</v>
      </c>
      <c r="D8" s="21">
        <f>D5</f>
        <v>24269.307612000001</v>
      </c>
      <c r="E8" s="21">
        <f>E5</f>
        <v>2757.8036743967523</v>
      </c>
      <c r="F8" s="21">
        <f>F5</f>
        <v>54280.569512863403</v>
      </c>
      <c r="G8" s="21"/>
      <c r="H8" s="21"/>
      <c r="I8" s="21"/>
      <c r="J8" s="21">
        <f>J5</f>
        <v>0</v>
      </c>
      <c r="K8" s="21"/>
      <c r="L8" s="21">
        <f>L5</f>
        <v>0</v>
      </c>
      <c r="M8" s="21">
        <f>M5</f>
        <v>0</v>
      </c>
      <c r="N8" s="21">
        <f>N5</f>
        <v>15934.769521335413</v>
      </c>
      <c r="O8" s="21">
        <f>O5</f>
        <v>445.55</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0.18421896570465407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4276.0888886105358</v>
      </c>
      <c r="C12" s="23">
        <f ca="1">C10*C8</f>
        <v>0</v>
      </c>
      <c r="D12" s="23">
        <f>D8*D10</f>
        <v>4902.4001376240003</v>
      </c>
      <c r="E12" s="23">
        <f>E10*E8</f>
        <v>626.02143408806273</v>
      </c>
      <c r="F12" s="23">
        <f>F10*F8</f>
        <v>14492.91205993453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v>
      </c>
      <c r="C18" s="166" t="s">
        <v>111</v>
      </c>
      <c r="D18" s="228"/>
      <c r="E18" s="15"/>
    </row>
    <row r="19" spans="1:7">
      <c r="A19" s="171" t="s">
        <v>72</v>
      </c>
      <c r="B19" s="37">
        <f>aantalw2001_ander</f>
        <v>2</v>
      </c>
      <c r="C19" s="166" t="s">
        <v>111</v>
      </c>
      <c r="D19" s="229"/>
      <c r="E19" s="15"/>
    </row>
    <row r="20" spans="1:7">
      <c r="A20" s="171" t="s">
        <v>73</v>
      </c>
      <c r="B20" s="37">
        <f>aantalw2001_propaan</f>
        <v>29</v>
      </c>
      <c r="C20" s="167">
        <f>IF(ISERROR(B20/SUM($B$20,$B$21,$B$22)*100),0,B20/SUM($B$20,$B$21,$B$22)*100)</f>
        <v>11.836734693877551</v>
      </c>
      <c r="D20" s="229"/>
      <c r="E20" s="15"/>
    </row>
    <row r="21" spans="1:7">
      <c r="A21" s="171" t="s">
        <v>74</v>
      </c>
      <c r="B21" s="37">
        <f>aantalw2001_elektriciteit</f>
        <v>157</v>
      </c>
      <c r="C21" s="167">
        <f>IF(ISERROR(B21/SUM($B$20,$B$21,$B$22)*100),0,B21/SUM($B$20,$B$21,$B$22)*100)</f>
        <v>64.08163265306122</v>
      </c>
      <c r="D21" s="229"/>
      <c r="E21" s="15"/>
    </row>
    <row r="22" spans="1:7">
      <c r="A22" s="171" t="s">
        <v>75</v>
      </c>
      <c r="B22" s="37">
        <f>aantalw2001_hout</f>
        <v>59</v>
      </c>
      <c r="C22" s="167">
        <f>IF(ISERROR(B22/SUM($B$20,$B$21,$B$22)*100),0,B22/SUM($B$20,$B$21,$B$22)*100)</f>
        <v>24.081632653061224</v>
      </c>
      <c r="D22" s="229"/>
      <c r="E22" s="15"/>
    </row>
    <row r="23" spans="1:7">
      <c r="A23" s="171" t="s">
        <v>76</v>
      </c>
      <c r="B23" s="37">
        <f>aantalw2001_niet_gespec</f>
        <v>51</v>
      </c>
      <c r="C23" s="166" t="s">
        <v>111</v>
      </c>
      <c r="D23" s="228"/>
      <c r="E23" s="15"/>
    </row>
    <row r="24" spans="1:7">
      <c r="A24" s="171" t="s">
        <v>77</v>
      </c>
      <c r="B24" s="37">
        <f>aantalw2001_steenkool</f>
        <v>84</v>
      </c>
      <c r="C24" s="166" t="s">
        <v>111</v>
      </c>
      <c r="D24" s="229"/>
      <c r="E24" s="15"/>
    </row>
    <row r="25" spans="1:7">
      <c r="A25" s="171" t="s">
        <v>78</v>
      </c>
      <c r="B25" s="37">
        <f>aantalw2001_stookolie</f>
        <v>3633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5111</v>
      </c>
      <c r="C28" s="36"/>
      <c r="D28" s="228"/>
    </row>
    <row r="29" spans="1:7" s="15" customFormat="1">
      <c r="A29" s="230" t="s">
        <v>699</v>
      </c>
      <c r="B29" s="37">
        <f>SUM(HH_hh_gas_aantal,HH_rest_gas_aantal)</f>
        <v>1811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1811</v>
      </c>
      <c r="C32" s="167">
        <f>IF(ISERROR(B32/SUM($B$32,$B$34,$B$35,$B$36,$B$38,$B$39)*100),0,B32/SUM($B$32,$B$34,$B$35,$B$36,$B$38,$B$39)*100)</f>
        <v>35.712877144547427</v>
      </c>
      <c r="D32" s="233"/>
      <c r="G32" s="15"/>
    </row>
    <row r="33" spans="1:7">
      <c r="A33" s="171" t="s">
        <v>72</v>
      </c>
      <c r="B33" s="34" t="s">
        <v>111</v>
      </c>
      <c r="C33" s="167"/>
      <c r="D33" s="233"/>
      <c r="G33" s="15"/>
    </row>
    <row r="34" spans="1:7">
      <c r="A34" s="171" t="s">
        <v>73</v>
      </c>
      <c r="B34" s="33">
        <f>IF((($B$28-$B$32-$B$39-$B$77-$B$38)*C20/100)&lt;0,0,($B$28-$B$32-$B$39-$B$77-$B$38)*C20/100)</f>
        <v>121.9302040816327</v>
      </c>
      <c r="C34" s="167">
        <f>IF(ISERROR(B34/SUM($B$32,$B$34,$B$35,$B$36,$B$38,$B$39)*100),0,B34/SUM($B$32,$B$34,$B$35,$B$36,$B$38,$B$39)*100)</f>
        <v>2.4044607391369102</v>
      </c>
      <c r="D34" s="233"/>
      <c r="G34" s="15"/>
    </row>
    <row r="35" spans="1:7">
      <c r="A35" s="171" t="s">
        <v>74</v>
      </c>
      <c r="B35" s="33">
        <f>IF((($B$28-$B$32-$B$39-$B$77-$B$38)*C21/100)&lt;0,0,($B$28-$B$32-$B$39-$B$77-$B$38)*C21/100)</f>
        <v>660.10489795918386</v>
      </c>
      <c r="C35" s="167">
        <f>IF(ISERROR(B35/SUM($B$32,$B$34,$B$35,$B$36,$B$38,$B$39)*100),0,B35/SUM($B$32,$B$34,$B$35,$B$36,$B$38,$B$39)*100)</f>
        <v>13.017252967051546</v>
      </c>
      <c r="D35" s="233"/>
      <c r="G35" s="15"/>
    </row>
    <row r="36" spans="1:7">
      <c r="A36" s="171" t="s">
        <v>75</v>
      </c>
      <c r="B36" s="33">
        <f>IF((($B$28-$B$32-$B$39-$B$77-$B$38)*C22/100)&lt;0,0,($B$28-$B$32-$B$39-$B$77-$B$38)*C22/100)</f>
        <v>248.06489795918375</v>
      </c>
      <c r="C36" s="167">
        <f>IF(ISERROR(B36/SUM($B$32,$B$34,$B$35,$B$36,$B$38,$B$39)*100),0,B36/SUM($B$32,$B$34,$B$35,$B$36,$B$38,$B$39)*100)</f>
        <v>4.8918339175544032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2229.8999999999996</v>
      </c>
      <c r="C39" s="167">
        <f>IF(ISERROR(B39/SUM($B$32,$B$34,$B$35,$B$36,$B$38,$B$39)*100),0,B39/SUM($B$32,$B$34,$B$35,$B$36,$B$38,$B$39)*100)</f>
        <v>43.973575231709717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1811</v>
      </c>
      <c r="C44" s="34" t="s">
        <v>111</v>
      </c>
      <c r="D44" s="174"/>
    </row>
    <row r="45" spans="1:7">
      <c r="A45" s="171" t="s">
        <v>72</v>
      </c>
      <c r="B45" s="33" t="str">
        <f t="shared" si="0"/>
        <v>-</v>
      </c>
      <c r="C45" s="34" t="s">
        <v>111</v>
      </c>
      <c r="D45" s="174"/>
    </row>
    <row r="46" spans="1:7">
      <c r="A46" s="171" t="s">
        <v>73</v>
      </c>
      <c r="B46" s="33">
        <f t="shared" si="0"/>
        <v>121.9302040816327</v>
      </c>
      <c r="C46" s="34" t="s">
        <v>111</v>
      </c>
      <c r="D46" s="174"/>
    </row>
    <row r="47" spans="1:7">
      <c r="A47" s="171" t="s">
        <v>74</v>
      </c>
      <c r="B47" s="33">
        <f t="shared" si="0"/>
        <v>660.10489795918386</v>
      </c>
      <c r="C47" s="34" t="s">
        <v>111</v>
      </c>
      <c r="D47" s="174"/>
    </row>
    <row r="48" spans="1:7">
      <c r="A48" s="171" t="s">
        <v>75</v>
      </c>
      <c r="B48" s="33">
        <f t="shared" si="0"/>
        <v>248.06489795918375</v>
      </c>
      <c r="C48" s="33">
        <f>B48*10</f>
        <v>2480.6489795918374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2229.8999999999996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7859.802999999999</v>
      </c>
      <c r="C5" s="17">
        <f>IF(ISERROR('Eigen informatie GS &amp; warmtenet'!B58),0,'Eigen informatie GS &amp; warmtenet'!B58)</f>
        <v>0</v>
      </c>
      <c r="D5" s="30">
        <f>SUM(D6:D12)</f>
        <v>5582.7125200000009</v>
      </c>
      <c r="E5" s="17">
        <f>SUM(E6:E12)</f>
        <v>160.20625154076339</v>
      </c>
      <c r="F5" s="17">
        <f>SUM(F6:F12)</f>
        <v>2062.2176994599572</v>
      </c>
      <c r="G5" s="18"/>
      <c r="H5" s="17"/>
      <c r="I5" s="17"/>
      <c r="J5" s="17">
        <f>SUM(J6:J12)</f>
        <v>0</v>
      </c>
      <c r="K5" s="17"/>
      <c r="L5" s="17"/>
      <c r="M5" s="17"/>
      <c r="N5" s="17">
        <f>SUM(N6:N12)</f>
        <v>560.6474634637957</v>
      </c>
      <c r="O5" s="17">
        <f>B38*B39*B40</f>
        <v>1.5633333333333335</v>
      </c>
      <c r="P5" s="17">
        <f>B46*B47*B48/1000-B46*B47*B48/1000/B49</f>
        <v>19.066666666666666</v>
      </c>
      <c r="R5" s="32"/>
    </row>
    <row r="6" spans="1:18">
      <c r="A6" s="32" t="s">
        <v>54</v>
      </c>
      <c r="B6" s="37">
        <f>B26</f>
        <v>2056.7089999999998</v>
      </c>
      <c r="C6" s="33"/>
      <c r="D6" s="37">
        <f>IF(ISERROR(TER_kantoor_gas_kWh/1000),0,TER_kantoor_gas_kWh/1000)*0.902</f>
        <v>1615.9501380000002</v>
      </c>
      <c r="E6" s="33">
        <f>$C$26*'E Balans VL '!I12/100/3.6*1000000</f>
        <v>26.92485430812058</v>
      </c>
      <c r="F6" s="33">
        <f>$C$26*('E Balans VL '!L12+'E Balans VL '!N12)/100/3.6*1000000</f>
        <v>524.4395417631066</v>
      </c>
      <c r="G6" s="34"/>
      <c r="H6" s="33"/>
      <c r="I6" s="33"/>
      <c r="J6" s="33">
        <f>$C$26*('E Balans VL '!D12+'E Balans VL '!E12)/100/3.6*1000000</f>
        <v>0</v>
      </c>
      <c r="K6" s="33"/>
      <c r="L6" s="33"/>
      <c r="M6" s="33"/>
      <c r="N6" s="33">
        <f>$C$26*'E Balans VL '!Y12/100/3.6*1000000</f>
        <v>2.0636348573943879</v>
      </c>
      <c r="O6" s="33"/>
      <c r="P6" s="33"/>
      <c r="R6" s="32"/>
    </row>
    <row r="7" spans="1:18">
      <c r="A7" s="32" t="s">
        <v>53</v>
      </c>
      <c r="B7" s="37">
        <f t="shared" ref="B7:B12" si="0">B27</f>
        <v>1212.3420000000001</v>
      </c>
      <c r="C7" s="33"/>
      <c r="D7" s="37">
        <f>IF(ISERROR(TER_horeca_gas_kWh/1000),0,TER_horeca_gas_kWh/1000)*0.902</f>
        <v>888.92100000000005</v>
      </c>
      <c r="E7" s="33">
        <f>$C$27*'E Balans VL '!I9/100/3.6*1000000</f>
        <v>40.121145770996165</v>
      </c>
      <c r="F7" s="33">
        <f>$C$27*('E Balans VL '!L9+'E Balans VL '!N9)/100/3.6*1000000</f>
        <v>521.30241374266313</v>
      </c>
      <c r="G7" s="34"/>
      <c r="H7" s="33"/>
      <c r="I7" s="33"/>
      <c r="J7" s="33">
        <f>$C$27*('E Balans VL '!D9+'E Balans VL '!E9)/100/3.6*1000000</f>
        <v>0</v>
      </c>
      <c r="K7" s="33"/>
      <c r="L7" s="33"/>
      <c r="M7" s="33"/>
      <c r="N7" s="33">
        <f>$C$27*'E Balans VL '!Y9/100/3.6*1000000</f>
        <v>0.29182832453784341</v>
      </c>
      <c r="O7" s="33"/>
      <c r="P7" s="33"/>
      <c r="R7" s="32"/>
    </row>
    <row r="8" spans="1:18">
      <c r="A8" s="6" t="s">
        <v>52</v>
      </c>
      <c r="B8" s="37">
        <f t="shared" si="0"/>
        <v>2896.8739999999998</v>
      </c>
      <c r="C8" s="33"/>
      <c r="D8" s="37">
        <f>IF(ISERROR(TER_handel_gas_kWh/1000),0,TER_handel_gas_kWh/1000)*0.902</f>
        <v>1190.371204</v>
      </c>
      <c r="E8" s="33">
        <f>$C$28*'E Balans VL '!I13/100/3.6*1000000</f>
        <v>91.429769731716391</v>
      </c>
      <c r="F8" s="33">
        <f>$C$28*('E Balans VL '!L13+'E Balans VL '!N13)/100/3.6*1000000</f>
        <v>568.12800218410973</v>
      </c>
      <c r="G8" s="34"/>
      <c r="H8" s="33"/>
      <c r="I8" s="33"/>
      <c r="J8" s="33">
        <f>$C$28*('E Balans VL '!D13+'E Balans VL '!E13)/100/3.6*1000000</f>
        <v>0</v>
      </c>
      <c r="K8" s="33"/>
      <c r="L8" s="33"/>
      <c r="M8" s="33"/>
      <c r="N8" s="33">
        <f>$C$28*'E Balans VL '!Y13/100/3.6*1000000</f>
        <v>3.4380270168174438</v>
      </c>
      <c r="O8" s="33"/>
      <c r="P8" s="33"/>
      <c r="R8" s="32"/>
    </row>
    <row r="9" spans="1:18">
      <c r="A9" s="32" t="s">
        <v>51</v>
      </c>
      <c r="B9" s="37">
        <f t="shared" si="0"/>
        <v>657.74900000000002</v>
      </c>
      <c r="C9" s="33"/>
      <c r="D9" s="37">
        <f>IF(ISERROR(TER_gezond_gas_kWh/1000),0,TER_gezond_gas_kWh/1000)*0.902</f>
        <v>868.84699000000001</v>
      </c>
      <c r="E9" s="33">
        <f>$C$29*'E Balans VL '!I10/100/3.6*1000000</f>
        <v>8.4211114020050631E-2</v>
      </c>
      <c r="F9" s="33">
        <f>$C$29*('E Balans VL '!L10+'E Balans VL '!N10)/100/3.6*1000000</f>
        <v>137.03668548708691</v>
      </c>
      <c r="G9" s="34"/>
      <c r="H9" s="33"/>
      <c r="I9" s="33"/>
      <c r="J9" s="33">
        <f>$C$29*('E Balans VL '!D10+'E Balans VL '!E10)/100/3.6*1000000</f>
        <v>0</v>
      </c>
      <c r="K9" s="33"/>
      <c r="L9" s="33"/>
      <c r="M9" s="33"/>
      <c r="N9" s="33">
        <f>$C$29*'E Balans VL '!Y10/100/3.6*1000000</f>
        <v>7.7255728980492107</v>
      </c>
      <c r="O9" s="33"/>
      <c r="P9" s="33"/>
      <c r="R9" s="32"/>
    </row>
    <row r="10" spans="1:18">
      <c r="A10" s="32" t="s">
        <v>50</v>
      </c>
      <c r="B10" s="37">
        <f t="shared" si="0"/>
        <v>693.45600000000002</v>
      </c>
      <c r="C10" s="33"/>
      <c r="D10" s="37">
        <f>IF(ISERROR(TER_ander_gas_kWh/1000),0,TER_ander_gas_kWh/1000)*0.902</f>
        <v>540.67593799999997</v>
      </c>
      <c r="E10" s="33">
        <f>$C$30*'E Balans VL '!I14/100/3.6*1000000</f>
        <v>1.0427947470120631</v>
      </c>
      <c r="F10" s="33">
        <f>$C$30*('E Balans VL '!L14+'E Balans VL '!N14)/100/3.6*1000000</f>
        <v>153.09273152531139</v>
      </c>
      <c r="G10" s="34"/>
      <c r="H10" s="33"/>
      <c r="I10" s="33"/>
      <c r="J10" s="33">
        <f>$C$30*('E Balans VL '!D14+'E Balans VL '!E14)/100/3.6*1000000</f>
        <v>0</v>
      </c>
      <c r="K10" s="33"/>
      <c r="L10" s="33"/>
      <c r="M10" s="33"/>
      <c r="N10" s="33">
        <f>$C$30*'E Balans VL '!Y14/100/3.6*1000000</f>
        <v>546.48999582924773</v>
      </c>
      <c r="O10" s="33"/>
      <c r="P10" s="33"/>
      <c r="R10" s="32"/>
    </row>
    <row r="11" spans="1:18">
      <c r="A11" s="32" t="s">
        <v>55</v>
      </c>
      <c r="B11" s="37">
        <f t="shared" si="0"/>
        <v>342.673</v>
      </c>
      <c r="C11" s="33"/>
      <c r="D11" s="37">
        <f>IF(ISERROR(TER_onderwijs_gas_kWh/1000),0,TER_onderwijs_gas_kWh/1000)*0.902</f>
        <v>477.94725</v>
      </c>
      <c r="E11" s="33">
        <f>$C$31*'E Balans VL '!I11/100/3.6*1000000</f>
        <v>0.60347586889813942</v>
      </c>
      <c r="F11" s="33">
        <f>$C$31*('E Balans VL '!L11+'E Balans VL '!N11)/100/3.6*1000000</f>
        <v>158.21832475767954</v>
      </c>
      <c r="G11" s="34"/>
      <c r="H11" s="33"/>
      <c r="I11" s="33"/>
      <c r="J11" s="33">
        <f>$C$31*('E Balans VL '!D11+'E Balans VL '!E11)/100/3.6*1000000</f>
        <v>0</v>
      </c>
      <c r="K11" s="33"/>
      <c r="L11" s="33"/>
      <c r="M11" s="33"/>
      <c r="N11" s="33">
        <f>$C$31*'E Balans VL '!Y11/100/3.6*1000000</f>
        <v>0.63840453774908723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7859.802999999999</v>
      </c>
      <c r="C16" s="21">
        <f t="shared" ca="1" si="1"/>
        <v>0</v>
      </c>
      <c r="D16" s="21">
        <f t="shared" ca="1" si="1"/>
        <v>5582.7125200000009</v>
      </c>
      <c r="E16" s="21">
        <f t="shared" si="1"/>
        <v>160.20625154076339</v>
      </c>
      <c r="F16" s="21">
        <f t="shared" ca="1" si="1"/>
        <v>2062.2176994599572</v>
      </c>
      <c r="G16" s="21">
        <f t="shared" si="1"/>
        <v>0</v>
      </c>
      <c r="H16" s="21">
        <f t="shared" si="1"/>
        <v>0</v>
      </c>
      <c r="I16" s="21">
        <f t="shared" si="1"/>
        <v>0</v>
      </c>
      <c r="J16" s="21">
        <f t="shared" si="1"/>
        <v>0</v>
      </c>
      <c r="K16" s="21">
        <f t="shared" si="1"/>
        <v>0</v>
      </c>
      <c r="L16" s="21">
        <f t="shared" ca="1" si="1"/>
        <v>0</v>
      </c>
      <c r="M16" s="21">
        <f t="shared" si="1"/>
        <v>0</v>
      </c>
      <c r="N16" s="21">
        <f t="shared" ca="1" si="1"/>
        <v>560.6474634637957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0.18421896570465407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1447.9247793023369</v>
      </c>
      <c r="C20" s="23">
        <f t="shared" ref="C20:P20" ca="1" si="2">C16*C18</f>
        <v>0</v>
      </c>
      <c r="D20" s="23">
        <f t="shared" ca="1" si="2"/>
        <v>1127.7079290400002</v>
      </c>
      <c r="E20" s="23">
        <f t="shared" si="2"/>
        <v>36.366819099753293</v>
      </c>
      <c r="F20" s="23">
        <f t="shared" ca="1" si="2"/>
        <v>550.61212575580862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2056.7089999999998</v>
      </c>
      <c r="C26" s="39">
        <f>IF(ISERROR(B26*3.6/1000000/'E Balans VL '!Z12*100),0,B26*3.6/1000000/'E Balans VL '!Z12*100)</f>
        <v>4.4056304575004715E-2</v>
      </c>
      <c r="D26" s="237" t="s">
        <v>660</v>
      </c>
      <c r="F26" s="6"/>
    </row>
    <row r="27" spans="1:18">
      <c r="A27" s="231" t="s">
        <v>53</v>
      </c>
      <c r="B27" s="33">
        <f>IF(ISERROR(TER_horeca_ele_kWh/1000),0,TER_horeca_ele_kWh/1000)</f>
        <v>1212.3420000000001</v>
      </c>
      <c r="C27" s="39">
        <f>IF(ISERROR(B27*3.6/1000000/'E Balans VL '!Z9*100),0,B27*3.6/1000000/'E Balans VL '!Z9*100)</f>
        <v>9.7286231442221607E-2</v>
      </c>
      <c r="D27" s="237" t="s">
        <v>660</v>
      </c>
      <c r="F27" s="6"/>
    </row>
    <row r="28" spans="1:18">
      <c r="A28" s="171" t="s">
        <v>52</v>
      </c>
      <c r="B28" s="33">
        <f>IF(ISERROR(TER_handel_ele_kWh/1000),0,TER_handel_ele_kWh/1000)</f>
        <v>2896.8739999999998</v>
      </c>
      <c r="C28" s="39">
        <f>IF(ISERROR(B28*3.6/1000000/'E Balans VL '!Z13*100),0,B28*3.6/1000000/'E Balans VL '!Z13*100)</f>
        <v>8.544116719348667E-2</v>
      </c>
      <c r="D28" s="237" t="s">
        <v>660</v>
      </c>
      <c r="F28" s="6"/>
    </row>
    <row r="29" spans="1:18">
      <c r="A29" s="231" t="s">
        <v>51</v>
      </c>
      <c r="B29" s="33">
        <f>IF(ISERROR(TER_gezond_ele_kWh/1000),0,TER_gezond_ele_kWh/1000)</f>
        <v>657.74900000000002</v>
      </c>
      <c r="C29" s="39">
        <f>IF(ISERROR(B29*3.6/1000000/'E Balans VL '!Z10*100),0,B29*3.6/1000000/'E Balans VL '!Z10*100)</f>
        <v>7.0229958288006239E-2</v>
      </c>
      <c r="D29" s="237" t="s">
        <v>660</v>
      </c>
      <c r="F29" s="6"/>
    </row>
    <row r="30" spans="1:18">
      <c r="A30" s="231" t="s">
        <v>50</v>
      </c>
      <c r="B30" s="33">
        <f>IF(ISERROR(TER_ander_ele_kWh/1000),0,TER_ander_ele_kWh/1000)</f>
        <v>693.45600000000002</v>
      </c>
      <c r="C30" s="39">
        <f>IF(ISERROR(B30*3.6/1000000/'E Balans VL '!Z14*100),0,B30*3.6/1000000/'E Balans VL '!Z14*100)</f>
        <v>5.2379454771871531E-2</v>
      </c>
      <c r="D30" s="237" t="s">
        <v>660</v>
      </c>
      <c r="F30" s="6"/>
    </row>
    <row r="31" spans="1:18">
      <c r="A31" s="231" t="s">
        <v>55</v>
      </c>
      <c r="B31" s="33">
        <f>IF(ISERROR(TER_onderwijs_ele_kWh/1000),0,TER_onderwijs_ele_kWh/1000)</f>
        <v>342.673</v>
      </c>
      <c r="C31" s="39">
        <f>IF(ISERROR(B31*3.6/1000000/'E Balans VL '!Z11*100),0,B31*3.6/1000000/'E Balans VL '!Z11*100)</f>
        <v>6.9197118008474751E-2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6125.8539999999994</v>
      </c>
      <c r="C5" s="17">
        <f>IF(ISERROR('Eigen informatie GS &amp; warmtenet'!B59),0,'Eigen informatie GS &amp; warmtenet'!B59)</f>
        <v>0</v>
      </c>
      <c r="D5" s="30">
        <f>SUM(D6:D15)</f>
        <v>1905.0826299999997</v>
      </c>
      <c r="E5" s="17">
        <f>SUM(E6:E15)</f>
        <v>635.16689186394569</v>
      </c>
      <c r="F5" s="17">
        <f>SUM(F6:F15)</f>
        <v>3302.6261495342978</v>
      </c>
      <c r="G5" s="18"/>
      <c r="H5" s="17"/>
      <c r="I5" s="17"/>
      <c r="J5" s="17">
        <f>SUM(J6:J15)</f>
        <v>0.30186844754349984</v>
      </c>
      <c r="K5" s="17"/>
      <c r="L5" s="17"/>
      <c r="M5" s="17"/>
      <c r="N5" s="17">
        <f>SUM(N6:N15)</f>
        <v>1066.0980425890991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3324.866</v>
      </c>
      <c r="C8" s="33"/>
      <c r="D8" s="37">
        <f>IF( ISERROR(IND_metaal_Gas_kWH/1000),0,IND_metaal_Gas_kWH/1000)*0.902</f>
        <v>160.301636</v>
      </c>
      <c r="E8" s="33">
        <f>C30*'E Balans VL '!I18/100/3.6*1000000</f>
        <v>119.638737081489</v>
      </c>
      <c r="F8" s="33">
        <f>C30*'E Balans VL '!L18/100/3.6*1000000+C30*'E Balans VL '!N18/100/3.6*1000000</f>
        <v>1451.8612016403765</v>
      </c>
      <c r="G8" s="34"/>
      <c r="H8" s="33"/>
      <c r="I8" s="33"/>
      <c r="J8" s="40">
        <f>C30*'E Balans VL '!D18/100/3.6*1000000+C30*'E Balans VL '!E18/100/3.6*1000000</f>
        <v>0</v>
      </c>
      <c r="K8" s="33"/>
      <c r="L8" s="33"/>
      <c r="M8" s="33"/>
      <c r="N8" s="33">
        <f>C30*'E Balans VL '!Y18/100/3.6*1000000</f>
        <v>166.64002443413878</v>
      </c>
      <c r="O8" s="33"/>
      <c r="P8" s="33"/>
      <c r="R8" s="32"/>
    </row>
    <row r="9" spans="1:18">
      <c r="A9" s="6" t="s">
        <v>33</v>
      </c>
      <c r="B9" s="37">
        <f t="shared" si="0"/>
        <v>1935.5530000000001</v>
      </c>
      <c r="C9" s="33"/>
      <c r="D9" s="37">
        <f>IF( ISERROR(IND_andere_gas_kWh/1000),0,IND_andere_gas_kWh/1000)*0.902</f>
        <v>1309.418066</v>
      </c>
      <c r="E9" s="33">
        <f>C31*'E Balans VL '!I19/100/3.6*1000000</f>
        <v>493.90933248677561</v>
      </c>
      <c r="F9" s="33">
        <f>C31*'E Balans VL '!L19/100/3.6*1000000+C31*'E Balans VL '!N19/100/3.6*1000000</f>
        <v>1666.3656511806728</v>
      </c>
      <c r="G9" s="34"/>
      <c r="H9" s="33"/>
      <c r="I9" s="33"/>
      <c r="J9" s="40">
        <f>C31*'E Balans VL '!D19/100/3.6*1000000+C31*'E Balans VL '!E19/100/3.6*1000000</f>
        <v>0</v>
      </c>
      <c r="K9" s="33"/>
      <c r="L9" s="33"/>
      <c r="M9" s="33"/>
      <c r="N9" s="33">
        <f>C31*'E Balans VL '!Y19/100/3.6*1000000</f>
        <v>605.3137088674456</v>
      </c>
      <c r="O9" s="33"/>
      <c r="P9" s="33"/>
      <c r="R9" s="32"/>
    </row>
    <row r="10" spans="1:18">
      <c r="A10" s="6" t="s">
        <v>41</v>
      </c>
      <c r="B10" s="37">
        <f t="shared" si="0"/>
        <v>763.99099999999999</v>
      </c>
      <c r="C10" s="33"/>
      <c r="D10" s="37">
        <f>IF( ISERROR(IND_voed_gas_kWh/1000),0,IND_voed_gas_kWh/1000)*0.902</f>
        <v>0</v>
      </c>
      <c r="E10" s="33">
        <f>C32*'E Balans VL '!I20/100/3.6*1000000</f>
        <v>19.421700265610514</v>
      </c>
      <c r="F10" s="33">
        <f>C32*'E Balans VL '!L20/100/3.6*1000000+C32*'E Balans VL '!N20/100/3.6*1000000</f>
        <v>172.87969480604644</v>
      </c>
      <c r="G10" s="34"/>
      <c r="H10" s="33"/>
      <c r="I10" s="33"/>
      <c r="J10" s="40">
        <f>C32*'E Balans VL '!D20/100/3.6*1000000+C32*'E Balans VL '!E20/100/3.6*1000000</f>
        <v>0</v>
      </c>
      <c r="K10" s="33"/>
      <c r="L10" s="33"/>
      <c r="M10" s="33"/>
      <c r="N10" s="33">
        <f>C32*'E Balans VL '!Y20/100/3.6*1000000</f>
        <v>286.51733379060749</v>
      </c>
      <c r="O10" s="33"/>
      <c r="P10" s="33"/>
      <c r="R10" s="32"/>
    </row>
    <row r="11" spans="1:18">
      <c r="A11" s="6" t="s">
        <v>40</v>
      </c>
      <c r="B11" s="37">
        <f t="shared" si="0"/>
        <v>64.209000000000003</v>
      </c>
      <c r="C11" s="33"/>
      <c r="D11" s="37">
        <f>IF( ISERROR(IND_textiel_gas_kWh/1000),0,IND_textiel_gas_kWh/1000)*0.902</f>
        <v>0</v>
      </c>
      <c r="E11" s="33">
        <f>C33*'E Balans VL '!I21/100/3.6*1000000</f>
        <v>0.17627097226728761</v>
      </c>
      <c r="F11" s="33">
        <f>C33*'E Balans VL '!L21/100/3.6*1000000+C33*'E Balans VL '!N21/100/3.6*1000000</f>
        <v>3.4040935866165372</v>
      </c>
      <c r="G11" s="34"/>
      <c r="H11" s="33"/>
      <c r="I11" s="33"/>
      <c r="J11" s="40">
        <f>C33*'E Balans VL '!D21/100/3.6*1000000+C33*'E Balans VL '!E21/100/3.6*1000000</f>
        <v>0</v>
      </c>
      <c r="K11" s="33"/>
      <c r="L11" s="33"/>
      <c r="M11" s="33"/>
      <c r="N11" s="33">
        <f>C33*'E Balans VL '!Y21/100/3.6*1000000</f>
        <v>0.12904946452733485</v>
      </c>
      <c r="O11" s="33"/>
      <c r="P11" s="33"/>
      <c r="R11" s="32"/>
    </row>
    <row r="12" spans="1:18">
      <c r="A12" s="6" t="s">
        <v>37</v>
      </c>
      <c r="B12" s="37">
        <f t="shared" si="0"/>
        <v>0</v>
      </c>
      <c r="C12" s="33"/>
      <c r="D12" s="37">
        <f>IF( ISERROR(IND_min_gas_kWh/1000),0,IND_min_gas_kWh/1000)*0.902</f>
        <v>405.37864400000001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37.234999999999999</v>
      </c>
      <c r="C15" s="33"/>
      <c r="D15" s="37">
        <f>IF( ISERROR(IND_rest_gas_kWh/1000),0,IND_rest_gas_kWh/1000)*0.902</f>
        <v>29.984283999999999</v>
      </c>
      <c r="E15" s="33">
        <f>C37*'E Balans VL '!I15/100/3.6*1000000</f>
        <v>2.0208510578032177</v>
      </c>
      <c r="F15" s="33">
        <f>C37*'E Balans VL '!L15/100/3.6*1000000+C37*'E Balans VL '!N15/100/3.6*1000000</f>
        <v>8.1155083205857341</v>
      </c>
      <c r="G15" s="34"/>
      <c r="H15" s="33"/>
      <c r="I15" s="33"/>
      <c r="J15" s="40">
        <f>C37*'E Balans VL '!D15/100/3.6*1000000+C37*'E Balans VL '!E15/100/3.6*1000000</f>
        <v>0.30186844754349984</v>
      </c>
      <c r="K15" s="33"/>
      <c r="L15" s="33"/>
      <c r="M15" s="33"/>
      <c r="N15" s="33">
        <f>C37*'E Balans VL '!Y15/100/3.6*1000000</f>
        <v>7.4979260323800609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6125.8539999999994</v>
      </c>
      <c r="C18" s="21">
        <f>C5+C16</f>
        <v>0</v>
      </c>
      <c r="D18" s="21">
        <f>MAX((D5+D16),0)</f>
        <v>1905.0826299999997</v>
      </c>
      <c r="E18" s="21">
        <f>MAX((E5+E16),0)</f>
        <v>635.16689186394569</v>
      </c>
      <c r="F18" s="21">
        <f>MAX((F5+F16),0)</f>
        <v>3302.6261495342978</v>
      </c>
      <c r="G18" s="21"/>
      <c r="H18" s="21"/>
      <c r="I18" s="21"/>
      <c r="J18" s="21">
        <f>MAX((J5+J16),0)</f>
        <v>0.30186844754349984</v>
      </c>
      <c r="K18" s="21"/>
      <c r="L18" s="21">
        <f>MAX((L5+L16),0)</f>
        <v>0</v>
      </c>
      <c r="M18" s="21"/>
      <c r="N18" s="21">
        <f>MAX((N5+N16),0)</f>
        <v>1066.0980425890991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0.18421896570465407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1128.4984879377178</v>
      </c>
      <c r="C22" s="23">
        <f ca="1">C18*C20</f>
        <v>0</v>
      </c>
      <c r="D22" s="23">
        <f>D18*D20</f>
        <v>384.82669125999996</v>
      </c>
      <c r="E22" s="23">
        <f>E18*E20</f>
        <v>144.18288445311569</v>
      </c>
      <c r="F22" s="23">
        <f>F18*F20</f>
        <v>881.8011819256576</v>
      </c>
      <c r="G22" s="23"/>
      <c r="H22" s="23"/>
      <c r="I22" s="23"/>
      <c r="J22" s="23">
        <f>J18*J20</f>
        <v>0.10686143043039893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3324.866</v>
      </c>
      <c r="C30" s="39">
        <f>IF(ISERROR(B30*3.6/1000000/'E Balans VL '!Z18*100),0,B30*3.6/1000000/'E Balans VL '!Z18*100)</f>
        <v>0.7044678221516687</v>
      </c>
      <c r="D30" s="237" t="s">
        <v>660</v>
      </c>
    </row>
    <row r="31" spans="1:18">
      <c r="A31" s="6" t="s">
        <v>33</v>
      </c>
      <c r="B31" s="37">
        <f>IF( ISERROR(IND_ander_ele_kWh/1000),0,IND_ander_ele_kWh/1000)</f>
        <v>1935.5530000000001</v>
      </c>
      <c r="C31" s="39">
        <f>IF(ISERROR(B31*3.6/1000000/'E Balans VL '!Z19*100),0,B31*3.6/1000000/'E Balans VL '!Z19*100)</f>
        <v>8.1471820762716377E-2</v>
      </c>
      <c r="D31" s="237" t="s">
        <v>660</v>
      </c>
    </row>
    <row r="32" spans="1:18">
      <c r="A32" s="171" t="s">
        <v>41</v>
      </c>
      <c r="B32" s="37">
        <f>IF( ISERROR(IND_voed_ele_kWh/1000),0,IND_voed_ele_kWh/1000)</f>
        <v>763.99099999999999</v>
      </c>
      <c r="C32" s="39">
        <f>IF(ISERROR(B32*3.6/1000000/'E Balans VL '!Z20*100),0,B32*3.6/1000000/'E Balans VL '!Z20*100)</f>
        <v>0.12763334051366193</v>
      </c>
      <c r="D32" s="237" t="s">
        <v>660</v>
      </c>
    </row>
    <row r="33" spans="1:5">
      <c r="A33" s="171" t="s">
        <v>40</v>
      </c>
      <c r="B33" s="37">
        <f>IF( ISERROR(IND_textiel_ele_kWh/1000),0,IND_textiel_ele_kWh/1000)</f>
        <v>64.209000000000003</v>
      </c>
      <c r="C33" s="39">
        <f>IF(ISERROR(B33*3.6/1000000/'E Balans VL '!Z21*100),0,B33*3.6/1000000/'E Balans VL '!Z21*100)</f>
        <v>3.7487135665166265E-3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37.234999999999999</v>
      </c>
      <c r="C37" s="39">
        <f>IF(ISERROR(B37*3.6/1000000/'E Balans VL '!Z15*100),0,B37*3.6/1000000/'E Balans VL '!Z15*100)</f>
        <v>3.0061257305283334E-4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2650.8910000000001</v>
      </c>
      <c r="C5" s="17">
        <f>'Eigen informatie GS &amp; warmtenet'!B60</f>
        <v>0</v>
      </c>
      <c r="D5" s="30">
        <f>IF(ISERROR(SUM(LB_lb_gas_kWh,LB_rest_gas_kWh)/1000),0,SUM(LB_lb_gas_kWh,LB_rest_gas_kWh)/1000)*0.902</f>
        <v>42.547340000000005</v>
      </c>
      <c r="E5" s="17">
        <f>B17*'E Balans VL '!I25/3.6*1000000/100</f>
        <v>68.356300645315272</v>
      </c>
      <c r="F5" s="17">
        <f>B17*('E Balans VL '!L25/3.6*1000000+'E Balans VL '!N25/3.6*1000000)/100</f>
        <v>9689.5114426673772</v>
      </c>
      <c r="G5" s="18"/>
      <c r="H5" s="17"/>
      <c r="I5" s="17"/>
      <c r="J5" s="17">
        <f>('E Balans VL '!D25+'E Balans VL '!E25)/3.6*1000000*landbouw!B17/100</f>
        <v>381.63078658184213</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2650.8910000000001</v>
      </c>
      <c r="C8" s="21">
        <f>C5+C6</f>
        <v>62.357142857142847</v>
      </c>
      <c r="D8" s="21">
        <f>MAX((D5+D6),0)</f>
        <v>42.547340000000005</v>
      </c>
      <c r="E8" s="21">
        <f>MAX((E5+E6),0)</f>
        <v>68.356300645315272</v>
      </c>
      <c r="F8" s="21">
        <f>MAX((F5+F6),0)</f>
        <v>9689.5114426673772</v>
      </c>
      <c r="G8" s="21"/>
      <c r="H8" s="21"/>
      <c r="I8" s="21"/>
      <c r="J8" s="21">
        <f>MAX((J5+J6),0)</f>
        <v>381.63078658184213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0.18421896570465407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488.34439821577615</v>
      </c>
      <c r="C12" s="23">
        <f ca="1">C8*C10</f>
        <v>0</v>
      </c>
      <c r="D12" s="23">
        <f>D8*D10</f>
        <v>8.594562680000001</v>
      </c>
      <c r="E12" s="23">
        <f>E8*E10</f>
        <v>15.516880246486567</v>
      </c>
      <c r="F12" s="23">
        <f>F8*F10</f>
        <v>2587.0995551921897</v>
      </c>
      <c r="G12" s="23"/>
      <c r="H12" s="23"/>
      <c r="I12" s="23"/>
      <c r="J12" s="23">
        <f>J8*J10</f>
        <v>135.0972984499721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0.37379319010825829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518.43449575854549</v>
      </c>
      <c r="C26" s="247">
        <f>B26*'GWP N2O_CH4'!B5</f>
        <v>10887.124410929455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217.4970551704204</v>
      </c>
      <c r="C27" s="247">
        <f>B27*'GWP N2O_CH4'!B5</f>
        <v>4567.4381585788287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8.3132824051797591</v>
      </c>
      <c r="C28" s="247">
        <f>B28*'GWP N2O_CH4'!B4</f>
        <v>2577.1175456057254</v>
      </c>
      <c r="D28" s="50"/>
    </row>
    <row r="29" spans="1:4">
      <c r="A29" s="41" t="s">
        <v>277</v>
      </c>
      <c r="B29" s="247">
        <f>B34*'ha_N2O bodem landbouw'!B4</f>
        <v>30.9376032853719</v>
      </c>
      <c r="C29" s="247">
        <f>B29*'GWP N2O_CH4'!B4</f>
        <v>9590.6570184652883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6.9626419374762454E-3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9.7009102039618392E-5</v>
      </c>
      <c r="C5" s="463" t="s">
        <v>211</v>
      </c>
      <c r="D5" s="448">
        <f>SUM(D6:D11)</f>
        <v>2.2884781110680288E-4</v>
      </c>
      <c r="E5" s="448">
        <f>SUM(E6:E11)</f>
        <v>8.7606674823973883E-4</v>
      </c>
      <c r="F5" s="461" t="s">
        <v>211</v>
      </c>
      <c r="G5" s="448">
        <f>SUM(G6:G11)</f>
        <v>0.28888315134845038</v>
      </c>
      <c r="H5" s="448">
        <f>SUM(H6:H11)</f>
        <v>6.1302221782305079E-2</v>
      </c>
      <c r="I5" s="463" t="s">
        <v>211</v>
      </c>
      <c r="J5" s="463" t="s">
        <v>211</v>
      </c>
      <c r="K5" s="463" t="s">
        <v>211</v>
      </c>
      <c r="L5" s="463" t="s">
        <v>211</v>
      </c>
      <c r="M5" s="448">
        <f>SUM(M6:M11)</f>
        <v>1.0938118445567763E-2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7.3440999507685224E-5</v>
      </c>
      <c r="C6" s="449"/>
      <c r="D6" s="892">
        <f>vkm_2011_GW_PW*SUMIFS(TableVerdeelsleutelVkm[CNG],TableVerdeelsleutelVkm[Voertuigtype],"Lichte voertuigen")*SUMIFS(TableECFTransport[EnergieConsumptieFactor (PJ per km)],TableECFTransport[Index],CONCATENATE($A6,"_CNG_CNG"))</f>
        <v>1.459285524535693E-4</v>
      </c>
      <c r="E6" s="892">
        <f>vkm_2011_GW_PW*SUMIFS(TableVerdeelsleutelVkm[LPG],TableVerdeelsleutelVkm[Voertuigtype],"Lichte voertuigen")*SUMIFS(TableECFTransport[EnergieConsumptieFactor (PJ per km)],TableECFTransport[Index],CONCATENATE($A6,"_LPG_LPG"))</f>
        <v>5.7428116536934891E-4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0.13654435638903076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3.9507249312624511E-2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5.4859306020932147E-3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7.8852907246361126E-2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2.5472857124841984E-5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2.4845344563867383E-3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2.3568102531933168E-5</v>
      </c>
      <c r="C8" s="449"/>
      <c r="D8" s="451">
        <f>vkm_2011_NGW_PW*SUMIFS(TableVerdeelsleutelVkm[CNG],TableVerdeelsleutelVkm[Voertuigtype],"Lichte voertuigen")*SUMIFS(TableECFTransport[EnergieConsumptieFactor (PJ per km)],TableECFTransport[Index],CONCATENATE($A8,"_CNG_CNG"))</f>
        <v>8.2919258653233594E-5</v>
      </c>
      <c r="E8" s="451">
        <f>vkm_2011_NGW_PW*SUMIFS(TableVerdeelsleutelVkm[LPG],TableVerdeelsleutelVkm[Voertuigtype],"Lichte voertuigen")*SUMIFS(TableECFTransport[EnergieConsumptieFactor (PJ per km)],TableECFTransport[Index],CONCATENATE($A8,"_LPG_LPG"))</f>
        <v>3.0178558287038997E-4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6.7004882898826251E-2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2.1767519610631853E-2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2.7634502502356037E-3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6.481004814232247E-3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1.9800019238705584E-6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2.0420313685220659E-4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26.946972788782887</v>
      </c>
      <c r="C14" s="21"/>
      <c r="D14" s="21">
        <f t="shared" ref="D14:M14" si="0">((D5)*10^9/3600)+D12</f>
        <v>63.568836418556359</v>
      </c>
      <c r="E14" s="21">
        <f t="shared" si="0"/>
        <v>243.35187451103857</v>
      </c>
      <c r="F14" s="21"/>
      <c r="G14" s="21">
        <f t="shared" si="0"/>
        <v>80245.319819013996</v>
      </c>
      <c r="H14" s="21">
        <f t="shared" si="0"/>
        <v>17028.394939529189</v>
      </c>
      <c r="I14" s="21"/>
      <c r="J14" s="21"/>
      <c r="K14" s="21"/>
      <c r="L14" s="21"/>
      <c r="M14" s="21">
        <f t="shared" si="0"/>
        <v>3038.3662348799339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0.18421896570465407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4.9641434560210413</v>
      </c>
      <c r="C18" s="23"/>
      <c r="D18" s="23">
        <f t="shared" ref="D18:M18" si="1">D14*D16</f>
        <v>12.840904956548385</v>
      </c>
      <c r="E18" s="23">
        <f t="shared" si="1"/>
        <v>55.240875514005758</v>
      </c>
      <c r="F18" s="23"/>
      <c r="G18" s="23">
        <f t="shared" si="1"/>
        <v>21425.500391676738</v>
      </c>
      <c r="H18" s="23">
        <f t="shared" si="1"/>
        <v>4240.0703399427684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6.6362059283515042E-3</v>
      </c>
      <c r="H50" s="321">
        <f t="shared" si="2"/>
        <v>0</v>
      </c>
      <c r="I50" s="321">
        <f t="shared" si="2"/>
        <v>0</v>
      </c>
      <c r="J50" s="321">
        <f t="shared" si="2"/>
        <v>0</v>
      </c>
      <c r="K50" s="321">
        <f t="shared" si="2"/>
        <v>0</v>
      </c>
      <c r="L50" s="321">
        <f t="shared" si="2"/>
        <v>0</v>
      </c>
      <c r="M50" s="321">
        <f t="shared" si="2"/>
        <v>2.0584026149642759E-4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6.6362059283515042E-3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2.0584026149642759E-4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1843.3905356531955</v>
      </c>
      <c r="H54" s="21">
        <f t="shared" si="3"/>
        <v>0</v>
      </c>
      <c r="I54" s="21">
        <f t="shared" si="3"/>
        <v>0</v>
      </c>
      <c r="J54" s="21">
        <f t="shared" si="3"/>
        <v>0</v>
      </c>
      <c r="K54" s="21">
        <f t="shared" si="3"/>
        <v>0</v>
      </c>
      <c r="L54" s="21">
        <f t="shared" si="3"/>
        <v>0</v>
      </c>
      <c r="M54" s="21">
        <f t="shared" si="3"/>
        <v>57.177850415674328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0.18421896570465407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492.18527301940321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8633.3979999999992</v>
      </c>
      <c r="D10" s="1012">
        <f ca="1">tertiair!C16</f>
        <v>0</v>
      </c>
      <c r="E10" s="1012">
        <f ca="1">tertiair!D16</f>
        <v>5582.7125200000009</v>
      </c>
      <c r="F10" s="1012">
        <f>tertiair!E16</f>
        <v>160.20625154076339</v>
      </c>
      <c r="G10" s="1012">
        <f ca="1">tertiair!F16</f>
        <v>2062.2176994599572</v>
      </c>
      <c r="H10" s="1012">
        <f>tertiair!G16</f>
        <v>0</v>
      </c>
      <c r="I10" s="1012">
        <f>tertiair!H16</f>
        <v>0</v>
      </c>
      <c r="J10" s="1012">
        <f>tertiair!I16</f>
        <v>0</v>
      </c>
      <c r="K10" s="1012">
        <f>tertiair!J16</f>
        <v>0</v>
      </c>
      <c r="L10" s="1012">
        <f>tertiair!K16</f>
        <v>0</v>
      </c>
      <c r="M10" s="1012">
        <f ca="1">tertiair!L16</f>
        <v>0</v>
      </c>
      <c r="N10" s="1012">
        <f>tertiair!M16</f>
        <v>0</v>
      </c>
      <c r="O10" s="1012">
        <f ca="1">tertiair!N16</f>
        <v>560.6474634637957</v>
      </c>
      <c r="P10" s="1012">
        <f>tertiair!O16</f>
        <v>1.5633333333333335</v>
      </c>
      <c r="Q10" s="1013">
        <f>tertiair!P16</f>
        <v>19.066666666666666</v>
      </c>
      <c r="R10" s="700">
        <f ca="1">SUM(C10:Q10)</f>
        <v>17019.811934464513</v>
      </c>
      <c r="S10" s="67"/>
    </row>
    <row r="11" spans="1:19" s="473" customFormat="1">
      <c r="A11" s="809" t="s">
        <v>225</v>
      </c>
      <c r="B11" s="814"/>
      <c r="C11" s="1012">
        <f>huishoudens!B8</f>
        <v>23211.990536664413</v>
      </c>
      <c r="D11" s="1012">
        <f>huishoudens!C8</f>
        <v>0</v>
      </c>
      <c r="E11" s="1012">
        <f>huishoudens!D8</f>
        <v>24269.307612000001</v>
      </c>
      <c r="F11" s="1012">
        <f>huishoudens!E8</f>
        <v>2757.8036743967523</v>
      </c>
      <c r="G11" s="1012">
        <f>huishoudens!F8</f>
        <v>54280.569512863403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15934.769521335413</v>
      </c>
      <c r="P11" s="1012">
        <f>huishoudens!O8</f>
        <v>445.55</v>
      </c>
      <c r="Q11" s="1013">
        <f>huishoudens!P8</f>
        <v>762.66666666666674</v>
      </c>
      <c r="R11" s="700">
        <f>SUM(C11:Q11)</f>
        <v>121662.65752392665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6125.8539999999994</v>
      </c>
      <c r="D13" s="1012">
        <f>industrie!C18</f>
        <v>0</v>
      </c>
      <c r="E13" s="1012">
        <f>industrie!D18</f>
        <v>1905.0826299999997</v>
      </c>
      <c r="F13" s="1012">
        <f>industrie!E18</f>
        <v>635.16689186394569</v>
      </c>
      <c r="G13" s="1012">
        <f>industrie!F18</f>
        <v>3302.6261495342978</v>
      </c>
      <c r="H13" s="1012">
        <f>industrie!G18</f>
        <v>0</v>
      </c>
      <c r="I13" s="1012">
        <f>industrie!H18</f>
        <v>0</v>
      </c>
      <c r="J13" s="1012">
        <f>industrie!I18</f>
        <v>0</v>
      </c>
      <c r="K13" s="1012">
        <f>industrie!J18</f>
        <v>0.30186844754349984</v>
      </c>
      <c r="L13" s="1012">
        <f>industrie!K18</f>
        <v>0</v>
      </c>
      <c r="M13" s="1012">
        <f>industrie!L18</f>
        <v>0</v>
      </c>
      <c r="N13" s="1012">
        <f>industrie!M18</f>
        <v>0</v>
      </c>
      <c r="O13" s="1012">
        <f>industrie!N18</f>
        <v>1066.0980425890991</v>
      </c>
      <c r="P13" s="1012">
        <f>industrie!O18</f>
        <v>0</v>
      </c>
      <c r="Q13" s="1013">
        <f>industrie!P18</f>
        <v>0</v>
      </c>
      <c r="R13" s="700">
        <f>SUM(C13:Q13)</f>
        <v>13035.129582434885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37971.242536664409</v>
      </c>
      <c r="D16" s="732">
        <f t="shared" ref="D16:R16" ca="1" si="0">SUM(D9:D15)</f>
        <v>0</v>
      </c>
      <c r="E16" s="732">
        <f t="shared" ca="1" si="0"/>
        <v>31757.102762000002</v>
      </c>
      <c r="F16" s="732">
        <f t="shared" si="0"/>
        <v>3553.1768178014613</v>
      </c>
      <c r="G16" s="732">
        <f t="shared" ca="1" si="0"/>
        <v>59645.41336185766</v>
      </c>
      <c r="H16" s="732">
        <f t="shared" si="0"/>
        <v>0</v>
      </c>
      <c r="I16" s="732">
        <f t="shared" si="0"/>
        <v>0</v>
      </c>
      <c r="J16" s="732">
        <f t="shared" si="0"/>
        <v>0</v>
      </c>
      <c r="K16" s="732">
        <f t="shared" si="0"/>
        <v>0.30186844754349984</v>
      </c>
      <c r="L16" s="732">
        <f t="shared" si="0"/>
        <v>0</v>
      </c>
      <c r="M16" s="732">
        <f t="shared" ca="1" si="0"/>
        <v>0</v>
      </c>
      <c r="N16" s="732">
        <f t="shared" si="0"/>
        <v>0</v>
      </c>
      <c r="O16" s="732">
        <f t="shared" ca="1" si="0"/>
        <v>17561.515027388308</v>
      </c>
      <c r="P16" s="732">
        <f t="shared" si="0"/>
        <v>447.11333333333334</v>
      </c>
      <c r="Q16" s="732">
        <f t="shared" si="0"/>
        <v>781.73333333333346</v>
      </c>
      <c r="R16" s="732">
        <f t="shared" ca="1" si="0"/>
        <v>151717.59904082605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1843.3905356531955</v>
      </c>
      <c r="I19" s="1012">
        <f>transport!H54</f>
        <v>0</v>
      </c>
      <c r="J19" s="1012">
        <f>transport!I54</f>
        <v>0</v>
      </c>
      <c r="K19" s="1012">
        <f>transport!J54</f>
        <v>0</v>
      </c>
      <c r="L19" s="1012">
        <f>transport!K54</f>
        <v>0</v>
      </c>
      <c r="M19" s="1012">
        <f>transport!L54</f>
        <v>0</v>
      </c>
      <c r="N19" s="1012">
        <f>transport!M54</f>
        <v>57.177850415674328</v>
      </c>
      <c r="O19" s="1012">
        <f>transport!N54</f>
        <v>0</v>
      </c>
      <c r="P19" s="1012">
        <f>transport!O54</f>
        <v>0</v>
      </c>
      <c r="Q19" s="1013">
        <f>transport!P54</f>
        <v>0</v>
      </c>
      <c r="R19" s="700">
        <f>SUM(C19:Q19)</f>
        <v>1900.5683860688698</v>
      </c>
      <c r="S19" s="67"/>
    </row>
    <row r="20" spans="1:19" s="473" customFormat="1">
      <c r="A20" s="809" t="s">
        <v>307</v>
      </c>
      <c r="B20" s="814"/>
      <c r="C20" s="1012">
        <f>transport!B14</f>
        <v>26.946972788782887</v>
      </c>
      <c r="D20" s="1012">
        <f>transport!C14</f>
        <v>0</v>
      </c>
      <c r="E20" s="1012">
        <f>transport!D14</f>
        <v>63.568836418556359</v>
      </c>
      <c r="F20" s="1012">
        <f>transport!E14</f>
        <v>243.35187451103857</v>
      </c>
      <c r="G20" s="1012">
        <f>transport!F14</f>
        <v>0</v>
      </c>
      <c r="H20" s="1012">
        <f>transport!G14</f>
        <v>80245.319819013996</v>
      </c>
      <c r="I20" s="1012">
        <f>transport!H14</f>
        <v>17028.394939529189</v>
      </c>
      <c r="J20" s="1012">
        <f>transport!I14</f>
        <v>0</v>
      </c>
      <c r="K20" s="1012">
        <f>transport!J14</f>
        <v>0</v>
      </c>
      <c r="L20" s="1012">
        <f>transport!K14</f>
        <v>0</v>
      </c>
      <c r="M20" s="1012">
        <f>transport!L14</f>
        <v>0</v>
      </c>
      <c r="N20" s="1012">
        <f>transport!M14</f>
        <v>3038.3662348799339</v>
      </c>
      <c r="O20" s="1012">
        <f>transport!N14</f>
        <v>0</v>
      </c>
      <c r="P20" s="1012">
        <f>transport!O14</f>
        <v>0</v>
      </c>
      <c r="Q20" s="1013">
        <f>transport!P14</f>
        <v>0</v>
      </c>
      <c r="R20" s="700">
        <f>SUM(C20:Q20)</f>
        <v>100645.9486771415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26.946972788782887</v>
      </c>
      <c r="D22" s="812">
        <f t="shared" ref="D22:R22" si="1">SUM(D18:D21)</f>
        <v>0</v>
      </c>
      <c r="E22" s="812">
        <f t="shared" si="1"/>
        <v>63.568836418556359</v>
      </c>
      <c r="F22" s="812">
        <f t="shared" si="1"/>
        <v>243.35187451103857</v>
      </c>
      <c r="G22" s="812">
        <f t="shared" si="1"/>
        <v>0</v>
      </c>
      <c r="H22" s="812">
        <f t="shared" si="1"/>
        <v>82088.710354667186</v>
      </c>
      <c r="I22" s="812">
        <f t="shared" si="1"/>
        <v>17028.394939529189</v>
      </c>
      <c r="J22" s="812">
        <f t="shared" si="1"/>
        <v>0</v>
      </c>
      <c r="K22" s="812">
        <f t="shared" si="1"/>
        <v>0</v>
      </c>
      <c r="L22" s="812">
        <f t="shared" si="1"/>
        <v>0</v>
      </c>
      <c r="M22" s="812">
        <f t="shared" si="1"/>
        <v>0</v>
      </c>
      <c r="N22" s="812">
        <f t="shared" si="1"/>
        <v>3095.5440852956081</v>
      </c>
      <c r="O22" s="812">
        <f t="shared" si="1"/>
        <v>0</v>
      </c>
      <c r="P22" s="812">
        <f t="shared" si="1"/>
        <v>0</v>
      </c>
      <c r="Q22" s="812">
        <f t="shared" si="1"/>
        <v>0</v>
      </c>
      <c r="R22" s="812">
        <f t="shared" si="1"/>
        <v>102546.51706321037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2650.8910000000001</v>
      </c>
      <c r="D24" s="1012">
        <f>+landbouw!C8</f>
        <v>62.357142857142847</v>
      </c>
      <c r="E24" s="1012">
        <f>+landbouw!D8</f>
        <v>42.547340000000005</v>
      </c>
      <c r="F24" s="1012">
        <f>+landbouw!E8</f>
        <v>68.356300645315272</v>
      </c>
      <c r="G24" s="1012">
        <f>+landbouw!F8</f>
        <v>9689.5114426673772</v>
      </c>
      <c r="H24" s="1012">
        <f>+landbouw!G8</f>
        <v>0</v>
      </c>
      <c r="I24" s="1012">
        <f>+landbouw!H8</f>
        <v>0</v>
      </c>
      <c r="J24" s="1012">
        <f>+landbouw!I8</f>
        <v>0</v>
      </c>
      <c r="K24" s="1012">
        <f>+landbouw!J8</f>
        <v>381.63078658184213</v>
      </c>
      <c r="L24" s="1012">
        <f>+landbouw!K8</f>
        <v>0</v>
      </c>
      <c r="M24" s="1012">
        <f>+landbouw!L8</f>
        <v>0</v>
      </c>
      <c r="N24" s="1012">
        <f>+landbouw!M8</f>
        <v>0</v>
      </c>
      <c r="O24" s="1012">
        <f>+landbouw!N8</f>
        <v>0</v>
      </c>
      <c r="P24" s="1012">
        <f>+landbouw!O8</f>
        <v>0</v>
      </c>
      <c r="Q24" s="1013">
        <f>+landbouw!P8</f>
        <v>0</v>
      </c>
      <c r="R24" s="700">
        <f>SUM(C24:Q24)</f>
        <v>12895.294012751678</v>
      </c>
      <c r="S24" s="67"/>
    </row>
    <row r="25" spans="1:19" s="473" customFormat="1" ht="15" thickBot="1">
      <c r="A25" s="831" t="s">
        <v>848</v>
      </c>
      <c r="B25" s="1015"/>
      <c r="C25" s="1016">
        <f>IF(Onbekend_ele_kWh="---",0,Onbekend_ele_kWh)/1000+IF(REST_rest_ele_kWh="---",0,REST_rest_ele_kWh)/1000</f>
        <v>339.29</v>
      </c>
      <c r="D25" s="1016"/>
      <c r="E25" s="1016">
        <f>IF(onbekend_gas_kWh="---",0,onbekend_gas_kWh)/1000+IF(REST_rest_gas_kWh="---",0,REST_rest_gas_kWh)/1000</f>
        <v>195.15299999999999</v>
      </c>
      <c r="F25" s="1016"/>
      <c r="G25" s="1016"/>
      <c r="H25" s="1016"/>
      <c r="I25" s="1016"/>
      <c r="J25" s="1016"/>
      <c r="K25" s="1016"/>
      <c r="L25" s="1016"/>
      <c r="M25" s="1016"/>
      <c r="N25" s="1016"/>
      <c r="O25" s="1016"/>
      <c r="P25" s="1016"/>
      <c r="Q25" s="1017"/>
      <c r="R25" s="700">
        <f>SUM(C25:Q25)</f>
        <v>534.44299999999998</v>
      </c>
      <c r="S25" s="67"/>
    </row>
    <row r="26" spans="1:19" s="473" customFormat="1" ht="15.75" thickBot="1">
      <c r="A26" s="705" t="s">
        <v>849</v>
      </c>
      <c r="B26" s="817"/>
      <c r="C26" s="812">
        <f>SUM(C24:C25)</f>
        <v>2990.181</v>
      </c>
      <c r="D26" s="812">
        <f t="shared" ref="D26:R26" si="2">SUM(D24:D25)</f>
        <v>62.357142857142847</v>
      </c>
      <c r="E26" s="812">
        <f t="shared" si="2"/>
        <v>237.70033999999998</v>
      </c>
      <c r="F26" s="812">
        <f t="shared" si="2"/>
        <v>68.356300645315272</v>
      </c>
      <c r="G26" s="812">
        <f t="shared" si="2"/>
        <v>9689.5114426673772</v>
      </c>
      <c r="H26" s="812">
        <f t="shared" si="2"/>
        <v>0</v>
      </c>
      <c r="I26" s="812">
        <f t="shared" si="2"/>
        <v>0</v>
      </c>
      <c r="J26" s="812">
        <f t="shared" si="2"/>
        <v>0</v>
      </c>
      <c r="K26" s="812">
        <f t="shared" si="2"/>
        <v>381.63078658184213</v>
      </c>
      <c r="L26" s="812">
        <f t="shared" si="2"/>
        <v>0</v>
      </c>
      <c r="M26" s="812">
        <f t="shared" si="2"/>
        <v>0</v>
      </c>
      <c r="N26" s="812">
        <f t="shared" si="2"/>
        <v>0</v>
      </c>
      <c r="O26" s="812">
        <f t="shared" si="2"/>
        <v>0</v>
      </c>
      <c r="P26" s="812">
        <f t="shared" si="2"/>
        <v>0</v>
      </c>
      <c r="Q26" s="812">
        <f t="shared" si="2"/>
        <v>0</v>
      </c>
      <c r="R26" s="812">
        <f t="shared" si="2"/>
        <v>13429.737012751677</v>
      </c>
      <c r="S26" s="67"/>
    </row>
    <row r="27" spans="1:19" s="473" customFormat="1" ht="17.25" thickTop="1" thickBot="1">
      <c r="A27" s="706" t="s">
        <v>116</v>
      </c>
      <c r="B27" s="805"/>
      <c r="C27" s="707">
        <f ca="1">C22+C16+C26</f>
        <v>40988.370509453191</v>
      </c>
      <c r="D27" s="707">
        <f t="shared" ref="D27:R27" ca="1" si="3">D22+D16+D26</f>
        <v>62.357142857142847</v>
      </c>
      <c r="E27" s="707">
        <f t="shared" ca="1" si="3"/>
        <v>32058.371938418557</v>
      </c>
      <c r="F27" s="707">
        <f t="shared" si="3"/>
        <v>3864.884992957815</v>
      </c>
      <c r="G27" s="707">
        <f t="shared" ca="1" si="3"/>
        <v>69334.924804525042</v>
      </c>
      <c r="H27" s="707">
        <f t="shared" si="3"/>
        <v>82088.710354667186</v>
      </c>
      <c r="I27" s="707">
        <f t="shared" si="3"/>
        <v>17028.394939529189</v>
      </c>
      <c r="J27" s="707">
        <f t="shared" si="3"/>
        <v>0</v>
      </c>
      <c r="K27" s="707">
        <f t="shared" si="3"/>
        <v>381.93265502938561</v>
      </c>
      <c r="L27" s="707">
        <f t="shared" si="3"/>
        <v>0</v>
      </c>
      <c r="M27" s="707">
        <f t="shared" ca="1" si="3"/>
        <v>0</v>
      </c>
      <c r="N27" s="707">
        <f t="shared" si="3"/>
        <v>3095.5440852956081</v>
      </c>
      <c r="O27" s="707">
        <f t="shared" ca="1" si="3"/>
        <v>17561.515027388308</v>
      </c>
      <c r="P27" s="707">
        <f t="shared" si="3"/>
        <v>447.11333333333334</v>
      </c>
      <c r="Q27" s="707">
        <f t="shared" si="3"/>
        <v>781.73333333333346</v>
      </c>
      <c r="R27" s="707">
        <f t="shared" ca="1" si="3"/>
        <v>267693.85311678809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1590.4356500766287</v>
      </c>
      <c r="D40" s="1012">
        <f ca="1">tertiair!C20</f>
        <v>0</v>
      </c>
      <c r="E40" s="1012">
        <f ca="1">tertiair!D20</f>
        <v>1127.7079290400002</v>
      </c>
      <c r="F40" s="1012">
        <f>tertiair!E20</f>
        <v>36.366819099753293</v>
      </c>
      <c r="G40" s="1012">
        <f ca="1">tertiair!F20</f>
        <v>550.61212575580862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3305.1225239721907</v>
      </c>
    </row>
    <row r="41" spans="1:18">
      <c r="A41" s="822" t="s">
        <v>225</v>
      </c>
      <c r="B41" s="829"/>
      <c r="C41" s="1012">
        <f ca="1">huishoudens!B12</f>
        <v>4276.0888886105358</v>
      </c>
      <c r="D41" s="1012">
        <f ca="1">huishoudens!C12</f>
        <v>0</v>
      </c>
      <c r="E41" s="1012">
        <f>huishoudens!D12</f>
        <v>4902.4001376240003</v>
      </c>
      <c r="F41" s="1012">
        <f>huishoudens!E12</f>
        <v>626.02143408806273</v>
      </c>
      <c r="G41" s="1012">
        <f>huishoudens!F12</f>
        <v>14492.91205993453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24297.422520257129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1128.4984879377178</v>
      </c>
      <c r="D43" s="1012">
        <f ca="1">industrie!C22</f>
        <v>0</v>
      </c>
      <c r="E43" s="1012">
        <f>industrie!D22</f>
        <v>384.82669125999996</v>
      </c>
      <c r="F43" s="1012">
        <f>industrie!E22</f>
        <v>144.18288445311569</v>
      </c>
      <c r="G43" s="1012">
        <f>industrie!F22</f>
        <v>881.8011819256576</v>
      </c>
      <c r="H43" s="1012">
        <f>industrie!G22</f>
        <v>0</v>
      </c>
      <c r="I43" s="1012">
        <f>industrie!H22</f>
        <v>0</v>
      </c>
      <c r="J43" s="1012">
        <f>industrie!I22</f>
        <v>0</v>
      </c>
      <c r="K43" s="1012">
        <f>industrie!J22</f>
        <v>0.10686143043039893</v>
      </c>
      <c r="L43" s="1012">
        <f>industrie!K22</f>
        <v>0</v>
      </c>
      <c r="M43" s="1012">
        <f>industrie!L22</f>
        <v>0</v>
      </c>
      <c r="N43" s="1012">
        <f>industrie!M22</f>
        <v>0</v>
      </c>
      <c r="O43" s="1012">
        <f>industrie!N22</f>
        <v>0</v>
      </c>
      <c r="P43" s="1012">
        <f>industrie!O22</f>
        <v>0</v>
      </c>
      <c r="Q43" s="774">
        <f>industrie!P22</f>
        <v>0</v>
      </c>
      <c r="R43" s="849">
        <f t="shared" ca="1" si="4"/>
        <v>2539.4161070069213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6995.0230266248827</v>
      </c>
      <c r="D46" s="732">
        <f t="shared" ref="D46:Q46" ca="1" si="5">SUM(D39:D45)</f>
        <v>0</v>
      </c>
      <c r="E46" s="732">
        <f t="shared" ca="1" si="5"/>
        <v>6414.9347579240011</v>
      </c>
      <c r="F46" s="732">
        <f t="shared" si="5"/>
        <v>806.57113764093174</v>
      </c>
      <c r="G46" s="732">
        <f t="shared" ca="1" si="5"/>
        <v>15925.325367615995</v>
      </c>
      <c r="H46" s="732">
        <f t="shared" si="5"/>
        <v>0</v>
      </c>
      <c r="I46" s="732">
        <f t="shared" si="5"/>
        <v>0</v>
      </c>
      <c r="J46" s="732">
        <f t="shared" si="5"/>
        <v>0</v>
      </c>
      <c r="K46" s="732">
        <f t="shared" si="5"/>
        <v>0.10686143043039893</v>
      </c>
      <c r="L46" s="732">
        <f t="shared" si="5"/>
        <v>0</v>
      </c>
      <c r="M46" s="732">
        <f t="shared" ca="1" si="5"/>
        <v>0</v>
      </c>
      <c r="N46" s="732">
        <f t="shared" si="5"/>
        <v>0</v>
      </c>
      <c r="O46" s="732">
        <f t="shared" ca="1" si="5"/>
        <v>0</v>
      </c>
      <c r="P46" s="732">
        <f t="shared" si="5"/>
        <v>0</v>
      </c>
      <c r="Q46" s="732">
        <f t="shared" si="5"/>
        <v>0</v>
      </c>
      <c r="R46" s="732">
        <f ca="1">SUM(R39:R45)</f>
        <v>30141.961151236239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492.18527301940321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492.18527301940321</v>
      </c>
    </row>
    <row r="50" spans="1:18">
      <c r="A50" s="825" t="s">
        <v>307</v>
      </c>
      <c r="B50" s="835"/>
      <c r="C50" s="703">
        <f ca="1">transport!B18</f>
        <v>4.9641434560210413</v>
      </c>
      <c r="D50" s="703">
        <f>transport!C18</f>
        <v>0</v>
      </c>
      <c r="E50" s="703">
        <f>transport!D18</f>
        <v>12.840904956548385</v>
      </c>
      <c r="F50" s="703">
        <f>transport!E18</f>
        <v>55.240875514005758</v>
      </c>
      <c r="G50" s="703">
        <f>transport!F18</f>
        <v>0</v>
      </c>
      <c r="H50" s="703">
        <f>transport!G18</f>
        <v>21425.500391676738</v>
      </c>
      <c r="I50" s="703">
        <f>transport!H18</f>
        <v>4240.0703399427684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25738.616655546084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4.9641434560210413</v>
      </c>
      <c r="D52" s="732">
        <f t="shared" ref="D52:Q52" ca="1" si="6">SUM(D48:D51)</f>
        <v>0</v>
      </c>
      <c r="E52" s="732">
        <f t="shared" si="6"/>
        <v>12.840904956548385</v>
      </c>
      <c r="F52" s="732">
        <f t="shared" si="6"/>
        <v>55.240875514005758</v>
      </c>
      <c r="G52" s="732">
        <f t="shared" si="6"/>
        <v>0</v>
      </c>
      <c r="H52" s="732">
        <f t="shared" si="6"/>
        <v>21917.685664696142</v>
      </c>
      <c r="I52" s="732">
        <f t="shared" si="6"/>
        <v>4240.0703399427684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26230.801928565488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488.34439821577615</v>
      </c>
      <c r="D54" s="703">
        <f ca="1">+landbouw!C12</f>
        <v>0</v>
      </c>
      <c r="E54" s="703">
        <f>+landbouw!D12</f>
        <v>8.594562680000001</v>
      </c>
      <c r="F54" s="703">
        <f>+landbouw!E12</f>
        <v>15.516880246486567</v>
      </c>
      <c r="G54" s="703">
        <f>+landbouw!F12</f>
        <v>2587.0995551921897</v>
      </c>
      <c r="H54" s="703">
        <f>+landbouw!G12</f>
        <v>0</v>
      </c>
      <c r="I54" s="703">
        <f>+landbouw!H12</f>
        <v>0</v>
      </c>
      <c r="J54" s="703">
        <f>+landbouw!I12</f>
        <v>0</v>
      </c>
      <c r="K54" s="703">
        <f>+landbouw!J12</f>
        <v>135.0972984499721</v>
      </c>
      <c r="L54" s="703">
        <f>+landbouw!K12</f>
        <v>0</v>
      </c>
      <c r="M54" s="703">
        <f>+landbouw!L12</f>
        <v>0</v>
      </c>
      <c r="N54" s="703">
        <f>+landbouw!M12</f>
        <v>0</v>
      </c>
      <c r="O54" s="703">
        <f>+landbouw!N12</f>
        <v>0</v>
      </c>
      <c r="P54" s="703">
        <f>+landbouw!O12</f>
        <v>0</v>
      </c>
      <c r="Q54" s="704">
        <f>+landbouw!P12</f>
        <v>0</v>
      </c>
      <c r="R54" s="731">
        <f ca="1">SUM(C54:Q54)</f>
        <v>3234.6526947844245</v>
      </c>
    </row>
    <row r="55" spans="1:18" ht="15" thickBot="1">
      <c r="A55" s="825" t="s">
        <v>848</v>
      </c>
      <c r="B55" s="835"/>
      <c r="C55" s="703">
        <f ca="1">C25*'EF ele_warmte'!B12</f>
        <v>62.503652873932083</v>
      </c>
      <c r="D55" s="703"/>
      <c r="E55" s="703">
        <f>E25*EF_CO2_aardgas</f>
        <v>39.420906000000002</v>
      </c>
      <c r="F55" s="703"/>
      <c r="G55" s="703"/>
      <c r="H55" s="703"/>
      <c r="I55" s="703"/>
      <c r="J55" s="703"/>
      <c r="K55" s="703"/>
      <c r="L55" s="703"/>
      <c r="M55" s="703"/>
      <c r="N55" s="703"/>
      <c r="O55" s="703"/>
      <c r="P55" s="703"/>
      <c r="Q55" s="704"/>
      <c r="R55" s="731">
        <f ca="1">SUM(C55:Q55)</f>
        <v>101.92455887393209</v>
      </c>
    </row>
    <row r="56" spans="1:18" ht="15.75" thickBot="1">
      <c r="A56" s="823" t="s">
        <v>849</v>
      </c>
      <c r="B56" s="836"/>
      <c r="C56" s="732">
        <f ca="1">SUM(C54:C55)</f>
        <v>550.84805108970818</v>
      </c>
      <c r="D56" s="732">
        <f t="shared" ref="D56:Q56" ca="1" si="7">SUM(D54:D55)</f>
        <v>0</v>
      </c>
      <c r="E56" s="732">
        <f t="shared" si="7"/>
        <v>48.015468680000005</v>
      </c>
      <c r="F56" s="732">
        <f t="shared" si="7"/>
        <v>15.516880246486567</v>
      </c>
      <c r="G56" s="732">
        <f t="shared" si="7"/>
        <v>2587.0995551921897</v>
      </c>
      <c r="H56" s="732">
        <f t="shared" si="7"/>
        <v>0</v>
      </c>
      <c r="I56" s="732">
        <f t="shared" si="7"/>
        <v>0</v>
      </c>
      <c r="J56" s="732">
        <f t="shared" si="7"/>
        <v>0</v>
      </c>
      <c r="K56" s="732">
        <f t="shared" si="7"/>
        <v>135.0972984499721</v>
      </c>
      <c r="L56" s="732">
        <f t="shared" si="7"/>
        <v>0</v>
      </c>
      <c r="M56" s="732">
        <f t="shared" si="7"/>
        <v>0</v>
      </c>
      <c r="N56" s="732">
        <f t="shared" si="7"/>
        <v>0</v>
      </c>
      <c r="O56" s="732">
        <f t="shared" si="7"/>
        <v>0</v>
      </c>
      <c r="P56" s="732">
        <f t="shared" si="7"/>
        <v>0</v>
      </c>
      <c r="Q56" s="733">
        <f t="shared" si="7"/>
        <v>0</v>
      </c>
      <c r="R56" s="734">
        <f ca="1">SUM(R54:R55)</f>
        <v>3336.5772536583568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7550.8352211706115</v>
      </c>
      <c r="D61" s="740">
        <f t="shared" ref="D61:Q61" ca="1" si="8">D46+D52+D56</f>
        <v>0</v>
      </c>
      <c r="E61" s="740">
        <f t="shared" ca="1" si="8"/>
        <v>6475.7911315605488</v>
      </c>
      <c r="F61" s="740">
        <f t="shared" si="8"/>
        <v>877.32889340142412</v>
      </c>
      <c r="G61" s="740">
        <f t="shared" ca="1" si="8"/>
        <v>18512.424922808183</v>
      </c>
      <c r="H61" s="740">
        <f t="shared" si="8"/>
        <v>21917.685664696142</v>
      </c>
      <c r="I61" s="740">
        <f t="shared" si="8"/>
        <v>4240.0703399427684</v>
      </c>
      <c r="J61" s="740">
        <f t="shared" si="8"/>
        <v>0</v>
      </c>
      <c r="K61" s="740">
        <f t="shared" si="8"/>
        <v>135.2041598804025</v>
      </c>
      <c r="L61" s="740">
        <f t="shared" si="8"/>
        <v>0</v>
      </c>
      <c r="M61" s="740">
        <f t="shared" ca="1" si="8"/>
        <v>0</v>
      </c>
      <c r="N61" s="740">
        <f t="shared" si="8"/>
        <v>0</v>
      </c>
      <c r="O61" s="740">
        <f t="shared" ca="1" si="8"/>
        <v>0</v>
      </c>
      <c r="P61" s="740">
        <f t="shared" si="8"/>
        <v>0</v>
      </c>
      <c r="Q61" s="740">
        <f t="shared" si="8"/>
        <v>0</v>
      </c>
      <c r="R61" s="740">
        <f ca="1">R46+R52+R56</f>
        <v>59709.340333460081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0.18421896570465407</v>
      </c>
      <c r="D63" s="781">
        <f t="shared" ca="1" si="9"/>
        <v>0</v>
      </c>
      <c r="E63" s="1023">
        <f t="shared" ca="1" si="9"/>
        <v>0.20200000000000001</v>
      </c>
      <c r="F63" s="781">
        <f t="shared" si="9"/>
        <v>0.22700000000000004</v>
      </c>
      <c r="G63" s="781">
        <f t="shared" ca="1" si="9"/>
        <v>0.26699999999999996</v>
      </c>
      <c r="H63" s="781">
        <f t="shared" si="9"/>
        <v>0.26700000000000007</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6778.0453005364006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6821.6953005364003</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6778.0453005364006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6821.6953005364003</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72040</v>
      </c>
      <c r="C28" s="796">
        <v>3670</v>
      </c>
      <c r="D28" s="653" t="s">
        <v>890</v>
      </c>
      <c r="E28" s="652" t="s">
        <v>891</v>
      </c>
      <c r="F28" s="652" t="s">
        <v>892</v>
      </c>
      <c r="G28" s="652" t="s">
        <v>893</v>
      </c>
      <c r="H28" s="652" t="s">
        <v>894</v>
      </c>
      <c r="I28" s="652" t="s">
        <v>895</v>
      </c>
      <c r="J28" s="795">
        <v>41282</v>
      </c>
      <c r="K28" s="795">
        <v>41282</v>
      </c>
      <c r="L28" s="652" t="s">
        <v>896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23211.990536664413</v>
      </c>
      <c r="C4" s="477">
        <f>huishoudens!C8</f>
        <v>0</v>
      </c>
      <c r="D4" s="477">
        <f>huishoudens!D8</f>
        <v>24269.307612000001</v>
      </c>
      <c r="E4" s="477">
        <f>huishoudens!E8</f>
        <v>2757.8036743967523</v>
      </c>
      <c r="F4" s="477">
        <f>huishoudens!F8</f>
        <v>54280.569512863403</v>
      </c>
      <c r="G4" s="477">
        <f>huishoudens!G8</f>
        <v>0</v>
      </c>
      <c r="H4" s="477">
        <f>huishoudens!H8</f>
        <v>0</v>
      </c>
      <c r="I4" s="477">
        <f>huishoudens!I8</f>
        <v>0</v>
      </c>
      <c r="J4" s="477">
        <f>huishoudens!J8</f>
        <v>0</v>
      </c>
      <c r="K4" s="477">
        <f>huishoudens!K8</f>
        <v>0</v>
      </c>
      <c r="L4" s="477">
        <f>huishoudens!L8</f>
        <v>0</v>
      </c>
      <c r="M4" s="477">
        <f>huishoudens!M8</f>
        <v>0</v>
      </c>
      <c r="N4" s="477">
        <f>huishoudens!N8</f>
        <v>15934.769521335413</v>
      </c>
      <c r="O4" s="477">
        <f>huishoudens!O8</f>
        <v>445.55</v>
      </c>
      <c r="P4" s="478">
        <f>huishoudens!P8</f>
        <v>762.66666666666674</v>
      </c>
      <c r="Q4" s="479">
        <f>SUM(B4:P4)</f>
        <v>121662.65752392665</v>
      </c>
    </row>
    <row r="5" spans="1:17">
      <c r="A5" s="476" t="s">
        <v>156</v>
      </c>
      <c r="B5" s="477">
        <f ca="1">tertiair!B16</f>
        <v>7859.802999999999</v>
      </c>
      <c r="C5" s="477">
        <f ca="1">tertiair!C16</f>
        <v>0</v>
      </c>
      <c r="D5" s="477">
        <f ca="1">tertiair!D16</f>
        <v>5582.7125200000009</v>
      </c>
      <c r="E5" s="477">
        <f>tertiair!E16</f>
        <v>160.20625154076339</v>
      </c>
      <c r="F5" s="477">
        <f ca="1">tertiair!F16</f>
        <v>2062.2176994599572</v>
      </c>
      <c r="G5" s="477">
        <f>tertiair!G16</f>
        <v>0</v>
      </c>
      <c r="H5" s="477">
        <f>tertiair!H16</f>
        <v>0</v>
      </c>
      <c r="I5" s="477">
        <f>tertiair!I16</f>
        <v>0</v>
      </c>
      <c r="J5" s="477">
        <f>tertiair!J16</f>
        <v>0</v>
      </c>
      <c r="K5" s="477">
        <f>tertiair!K16</f>
        <v>0</v>
      </c>
      <c r="L5" s="477">
        <f ca="1">tertiair!L16</f>
        <v>0</v>
      </c>
      <c r="M5" s="477">
        <f>tertiair!M16</f>
        <v>0</v>
      </c>
      <c r="N5" s="477">
        <f ca="1">tertiair!N16</f>
        <v>560.6474634637957</v>
      </c>
      <c r="O5" s="477">
        <f>tertiair!O16</f>
        <v>1.5633333333333335</v>
      </c>
      <c r="P5" s="478">
        <f>tertiair!P16</f>
        <v>19.066666666666666</v>
      </c>
      <c r="Q5" s="476">
        <f t="shared" ref="Q5:Q14" ca="1" si="0">SUM(B5:P5)</f>
        <v>16246.216934464519</v>
      </c>
    </row>
    <row r="6" spans="1:17">
      <c r="A6" s="476" t="s">
        <v>194</v>
      </c>
      <c r="B6" s="477">
        <f>'openbare verlichting'!B8</f>
        <v>773.59500000000003</v>
      </c>
      <c r="C6" s="477"/>
      <c r="D6" s="477"/>
      <c r="E6" s="477"/>
      <c r="F6" s="477"/>
      <c r="G6" s="477"/>
      <c r="H6" s="477"/>
      <c r="I6" s="477"/>
      <c r="J6" s="477"/>
      <c r="K6" s="477"/>
      <c r="L6" s="477"/>
      <c r="M6" s="477"/>
      <c r="N6" s="477"/>
      <c r="O6" s="477"/>
      <c r="P6" s="478"/>
      <c r="Q6" s="476">
        <f t="shared" si="0"/>
        <v>773.59500000000003</v>
      </c>
    </row>
    <row r="7" spans="1:17">
      <c r="A7" s="476" t="s">
        <v>112</v>
      </c>
      <c r="B7" s="477">
        <f>landbouw!B8</f>
        <v>2650.8910000000001</v>
      </c>
      <c r="C7" s="477">
        <f>landbouw!C8</f>
        <v>62.357142857142847</v>
      </c>
      <c r="D7" s="477">
        <f>landbouw!D8</f>
        <v>42.547340000000005</v>
      </c>
      <c r="E7" s="477">
        <f>landbouw!E8</f>
        <v>68.356300645315272</v>
      </c>
      <c r="F7" s="477">
        <f>landbouw!F8</f>
        <v>9689.5114426673772</v>
      </c>
      <c r="G7" s="477">
        <f>landbouw!G8</f>
        <v>0</v>
      </c>
      <c r="H7" s="477">
        <f>landbouw!H8</f>
        <v>0</v>
      </c>
      <c r="I7" s="477">
        <f>landbouw!I8</f>
        <v>0</v>
      </c>
      <c r="J7" s="477">
        <f>landbouw!J8</f>
        <v>381.63078658184213</v>
      </c>
      <c r="K7" s="477">
        <f>landbouw!K8</f>
        <v>0</v>
      </c>
      <c r="L7" s="477">
        <f>landbouw!L8</f>
        <v>0</v>
      </c>
      <c r="M7" s="477">
        <f>landbouw!M8</f>
        <v>0</v>
      </c>
      <c r="N7" s="477">
        <f>landbouw!N8</f>
        <v>0</v>
      </c>
      <c r="O7" s="477">
        <f>landbouw!O8</f>
        <v>0</v>
      </c>
      <c r="P7" s="478">
        <f>landbouw!P8</f>
        <v>0</v>
      </c>
      <c r="Q7" s="476">
        <f t="shared" si="0"/>
        <v>12895.294012751678</v>
      </c>
    </row>
    <row r="8" spans="1:17">
      <c r="A8" s="476" t="s">
        <v>638</v>
      </c>
      <c r="B8" s="477">
        <f>industrie!B18</f>
        <v>6125.8539999999994</v>
      </c>
      <c r="C8" s="477">
        <f>industrie!C18</f>
        <v>0</v>
      </c>
      <c r="D8" s="477">
        <f>industrie!D18</f>
        <v>1905.0826299999997</v>
      </c>
      <c r="E8" s="477">
        <f>industrie!E18</f>
        <v>635.16689186394569</v>
      </c>
      <c r="F8" s="477">
        <f>industrie!F18</f>
        <v>3302.6261495342978</v>
      </c>
      <c r="G8" s="477">
        <f>industrie!G18</f>
        <v>0</v>
      </c>
      <c r="H8" s="477">
        <f>industrie!H18</f>
        <v>0</v>
      </c>
      <c r="I8" s="477">
        <f>industrie!I18</f>
        <v>0</v>
      </c>
      <c r="J8" s="477">
        <f>industrie!J18</f>
        <v>0.30186844754349984</v>
      </c>
      <c r="K8" s="477">
        <f>industrie!K18</f>
        <v>0</v>
      </c>
      <c r="L8" s="477">
        <f>industrie!L18</f>
        <v>0</v>
      </c>
      <c r="M8" s="477">
        <f>industrie!M18</f>
        <v>0</v>
      </c>
      <c r="N8" s="477">
        <f>industrie!N18</f>
        <v>1066.0980425890991</v>
      </c>
      <c r="O8" s="477">
        <f>industrie!O18</f>
        <v>0</v>
      </c>
      <c r="P8" s="478">
        <f>industrie!P18</f>
        <v>0</v>
      </c>
      <c r="Q8" s="476">
        <f t="shared" si="0"/>
        <v>13035.129582434885</v>
      </c>
    </row>
    <row r="9" spans="1:17" s="482" customFormat="1">
      <c r="A9" s="480" t="s">
        <v>564</v>
      </c>
      <c r="B9" s="481">
        <f>transport!B14</f>
        <v>26.946972788782887</v>
      </c>
      <c r="C9" s="481">
        <f>transport!C14</f>
        <v>0</v>
      </c>
      <c r="D9" s="481">
        <f>transport!D14</f>
        <v>63.568836418556359</v>
      </c>
      <c r="E9" s="481">
        <f>transport!E14</f>
        <v>243.35187451103857</v>
      </c>
      <c r="F9" s="481">
        <f>transport!F14</f>
        <v>0</v>
      </c>
      <c r="G9" s="481">
        <f>transport!G14</f>
        <v>80245.319819013996</v>
      </c>
      <c r="H9" s="481">
        <f>transport!H14</f>
        <v>17028.394939529189</v>
      </c>
      <c r="I9" s="481">
        <f>transport!I14</f>
        <v>0</v>
      </c>
      <c r="J9" s="481">
        <f>transport!J14</f>
        <v>0</v>
      </c>
      <c r="K9" s="481">
        <f>transport!K14</f>
        <v>0</v>
      </c>
      <c r="L9" s="481">
        <f>transport!L14</f>
        <v>0</v>
      </c>
      <c r="M9" s="481">
        <f>transport!M14</f>
        <v>3038.3662348799339</v>
      </c>
      <c r="N9" s="481">
        <f>transport!N14</f>
        <v>0</v>
      </c>
      <c r="O9" s="481">
        <f>transport!O14</f>
        <v>0</v>
      </c>
      <c r="P9" s="481">
        <f>transport!P14</f>
        <v>0</v>
      </c>
      <c r="Q9" s="480">
        <f>SUM(B9:P9)</f>
        <v>100645.9486771415</v>
      </c>
    </row>
    <row r="10" spans="1:17">
      <c r="A10" s="476" t="s">
        <v>554</v>
      </c>
      <c r="B10" s="477">
        <f>transport!B54</f>
        <v>0</v>
      </c>
      <c r="C10" s="477">
        <f>transport!C54</f>
        <v>0</v>
      </c>
      <c r="D10" s="477">
        <f>transport!D54</f>
        <v>0</v>
      </c>
      <c r="E10" s="477">
        <f>transport!E54</f>
        <v>0</v>
      </c>
      <c r="F10" s="477">
        <f>transport!F54</f>
        <v>0</v>
      </c>
      <c r="G10" s="477">
        <f>transport!G54</f>
        <v>1843.3905356531955</v>
      </c>
      <c r="H10" s="477">
        <f>transport!H54</f>
        <v>0</v>
      </c>
      <c r="I10" s="477">
        <f>transport!I54</f>
        <v>0</v>
      </c>
      <c r="J10" s="477">
        <f>transport!J54</f>
        <v>0</v>
      </c>
      <c r="K10" s="477">
        <f>transport!K54</f>
        <v>0</v>
      </c>
      <c r="L10" s="477">
        <f>transport!L54</f>
        <v>0</v>
      </c>
      <c r="M10" s="477">
        <f>transport!M54</f>
        <v>57.177850415674328</v>
      </c>
      <c r="N10" s="477">
        <f>transport!N54</f>
        <v>0</v>
      </c>
      <c r="O10" s="477">
        <f>transport!O54</f>
        <v>0</v>
      </c>
      <c r="P10" s="478">
        <f>transport!P54</f>
        <v>0</v>
      </c>
      <c r="Q10" s="476">
        <f t="shared" si="0"/>
        <v>1900.5683860688698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339.29</v>
      </c>
      <c r="C14" s="484"/>
      <c r="D14" s="484">
        <f>'SEAP template'!E25</f>
        <v>195.15299999999999</v>
      </c>
      <c r="E14" s="484"/>
      <c r="F14" s="484"/>
      <c r="G14" s="484"/>
      <c r="H14" s="484"/>
      <c r="I14" s="484"/>
      <c r="J14" s="484"/>
      <c r="K14" s="484"/>
      <c r="L14" s="484"/>
      <c r="M14" s="484"/>
      <c r="N14" s="484"/>
      <c r="O14" s="484"/>
      <c r="P14" s="485"/>
      <c r="Q14" s="476">
        <f t="shared" si="0"/>
        <v>534.44299999999998</v>
      </c>
    </row>
    <row r="15" spans="1:17" s="486" customFormat="1">
      <c r="A15" s="1038" t="s">
        <v>558</v>
      </c>
      <c r="B15" s="978">
        <f ca="1">SUM(B4:B14)</f>
        <v>40988.370509453198</v>
      </c>
      <c r="C15" s="978">
        <f t="shared" ref="C15:Q15" ca="1" si="1">SUM(C4:C14)</f>
        <v>62.357142857142847</v>
      </c>
      <c r="D15" s="978">
        <f t="shared" ca="1" si="1"/>
        <v>32058.371938418557</v>
      </c>
      <c r="E15" s="978">
        <f t="shared" si="1"/>
        <v>3864.884992957815</v>
      </c>
      <c r="F15" s="978">
        <f t="shared" ca="1" si="1"/>
        <v>69334.924804525028</v>
      </c>
      <c r="G15" s="978">
        <f t="shared" si="1"/>
        <v>82088.710354667186</v>
      </c>
      <c r="H15" s="978">
        <f t="shared" si="1"/>
        <v>17028.394939529189</v>
      </c>
      <c r="I15" s="978">
        <f t="shared" si="1"/>
        <v>0</v>
      </c>
      <c r="J15" s="978">
        <f t="shared" si="1"/>
        <v>381.93265502938561</v>
      </c>
      <c r="K15" s="978">
        <f t="shared" si="1"/>
        <v>0</v>
      </c>
      <c r="L15" s="978">
        <f t="shared" ca="1" si="1"/>
        <v>0</v>
      </c>
      <c r="M15" s="978">
        <f t="shared" si="1"/>
        <v>3095.5440852956081</v>
      </c>
      <c r="N15" s="978">
        <f t="shared" ca="1" si="1"/>
        <v>17561.515027388308</v>
      </c>
      <c r="O15" s="978">
        <f t="shared" si="1"/>
        <v>447.11333333333334</v>
      </c>
      <c r="P15" s="978">
        <f t="shared" si="1"/>
        <v>781.73333333333346</v>
      </c>
      <c r="Q15" s="978">
        <f t="shared" ca="1" si="1"/>
        <v>267693.85311678814</v>
      </c>
    </row>
    <row r="17" spans="1:17">
      <c r="A17" s="487" t="s">
        <v>559</v>
      </c>
      <c r="B17" s="786">
        <f ca="1">huishoudens!B10</f>
        <v>0.18421896570465407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4276.0888886105358</v>
      </c>
      <c r="C22" s="477">
        <f t="shared" ref="C22:C32" ca="1" si="3">C4*$C$17</f>
        <v>0</v>
      </c>
      <c r="D22" s="477">
        <f t="shared" ref="D22:D32" si="4">D4*$D$17</f>
        <v>4902.4001376240003</v>
      </c>
      <c r="E22" s="477">
        <f t="shared" ref="E22:E32" si="5">E4*$E$17</f>
        <v>626.02143408806273</v>
      </c>
      <c r="F22" s="477">
        <f t="shared" ref="F22:F32" si="6">F4*$F$17</f>
        <v>14492.91205993453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24297.422520257129</v>
      </c>
    </row>
    <row r="23" spans="1:17">
      <c r="A23" s="476" t="s">
        <v>156</v>
      </c>
      <c r="B23" s="477">
        <f t="shared" ca="1" si="2"/>
        <v>1447.9247793023369</v>
      </c>
      <c r="C23" s="477">
        <f t="shared" ca="1" si="3"/>
        <v>0</v>
      </c>
      <c r="D23" s="477">
        <f t="shared" ca="1" si="4"/>
        <v>1127.7079290400002</v>
      </c>
      <c r="E23" s="477">
        <f t="shared" si="5"/>
        <v>36.366819099753293</v>
      </c>
      <c r="F23" s="477">
        <f t="shared" ca="1" si="6"/>
        <v>550.61212575580862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3162.6116531978987</v>
      </c>
    </row>
    <row r="24" spans="1:17">
      <c r="A24" s="476" t="s">
        <v>194</v>
      </c>
      <c r="B24" s="477">
        <f t="shared" ca="1" si="2"/>
        <v>142.51087077429187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142.51087077429187</v>
      </c>
    </row>
    <row r="25" spans="1:17">
      <c r="A25" s="476" t="s">
        <v>112</v>
      </c>
      <c r="B25" s="477">
        <f t="shared" ca="1" si="2"/>
        <v>488.34439821577615</v>
      </c>
      <c r="C25" s="477">
        <f t="shared" ca="1" si="3"/>
        <v>0</v>
      </c>
      <c r="D25" s="477">
        <f t="shared" si="4"/>
        <v>8.594562680000001</v>
      </c>
      <c r="E25" s="477">
        <f t="shared" si="5"/>
        <v>15.516880246486567</v>
      </c>
      <c r="F25" s="477">
        <f t="shared" si="6"/>
        <v>2587.0995551921897</v>
      </c>
      <c r="G25" s="477">
        <f t="shared" si="7"/>
        <v>0</v>
      </c>
      <c r="H25" s="477">
        <f t="shared" si="8"/>
        <v>0</v>
      </c>
      <c r="I25" s="477">
        <f t="shared" si="9"/>
        <v>0</v>
      </c>
      <c r="J25" s="477">
        <f t="shared" si="10"/>
        <v>135.0972984499721</v>
      </c>
      <c r="K25" s="477">
        <f t="shared" si="11"/>
        <v>0</v>
      </c>
      <c r="L25" s="477">
        <f t="shared" si="12"/>
        <v>0</v>
      </c>
      <c r="M25" s="477">
        <f t="shared" si="13"/>
        <v>0</v>
      </c>
      <c r="N25" s="477">
        <f t="shared" si="14"/>
        <v>0</v>
      </c>
      <c r="O25" s="477">
        <f t="shared" si="15"/>
        <v>0</v>
      </c>
      <c r="P25" s="478">
        <f t="shared" si="16"/>
        <v>0</v>
      </c>
      <c r="Q25" s="476">
        <f t="shared" ca="1" si="17"/>
        <v>3234.6526947844245</v>
      </c>
    </row>
    <row r="26" spans="1:17">
      <c r="A26" s="476" t="s">
        <v>638</v>
      </c>
      <c r="B26" s="477">
        <f t="shared" ca="1" si="2"/>
        <v>1128.4984879377178</v>
      </c>
      <c r="C26" s="477">
        <f t="shared" ca="1" si="3"/>
        <v>0</v>
      </c>
      <c r="D26" s="477">
        <f t="shared" si="4"/>
        <v>384.82669125999996</v>
      </c>
      <c r="E26" s="477">
        <f t="shared" si="5"/>
        <v>144.18288445311569</v>
      </c>
      <c r="F26" s="477">
        <f t="shared" si="6"/>
        <v>881.8011819256576</v>
      </c>
      <c r="G26" s="477">
        <f t="shared" si="7"/>
        <v>0</v>
      </c>
      <c r="H26" s="477">
        <f t="shared" si="8"/>
        <v>0</v>
      </c>
      <c r="I26" s="477">
        <f t="shared" si="9"/>
        <v>0</v>
      </c>
      <c r="J26" s="477">
        <f t="shared" si="10"/>
        <v>0.10686143043039893</v>
      </c>
      <c r="K26" s="477">
        <f t="shared" si="11"/>
        <v>0</v>
      </c>
      <c r="L26" s="477">
        <f t="shared" si="12"/>
        <v>0</v>
      </c>
      <c r="M26" s="477">
        <f t="shared" si="13"/>
        <v>0</v>
      </c>
      <c r="N26" s="477">
        <f t="shared" si="14"/>
        <v>0</v>
      </c>
      <c r="O26" s="477">
        <f t="shared" si="15"/>
        <v>0</v>
      </c>
      <c r="P26" s="478">
        <f t="shared" si="16"/>
        <v>0</v>
      </c>
      <c r="Q26" s="476">
        <f t="shared" ca="1" si="17"/>
        <v>2539.4161070069213</v>
      </c>
    </row>
    <row r="27" spans="1:17" s="482" customFormat="1">
      <c r="A27" s="480" t="s">
        <v>564</v>
      </c>
      <c r="B27" s="780">
        <f t="shared" ca="1" si="2"/>
        <v>4.9641434560210413</v>
      </c>
      <c r="C27" s="481">
        <f t="shared" ca="1" si="3"/>
        <v>0</v>
      </c>
      <c r="D27" s="481">
        <f t="shared" si="4"/>
        <v>12.840904956548385</v>
      </c>
      <c r="E27" s="481">
        <f t="shared" si="5"/>
        <v>55.240875514005758</v>
      </c>
      <c r="F27" s="481">
        <f t="shared" si="6"/>
        <v>0</v>
      </c>
      <c r="G27" s="481">
        <f t="shared" si="7"/>
        <v>21425.500391676738</v>
      </c>
      <c r="H27" s="481">
        <f t="shared" si="8"/>
        <v>4240.0703399427684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25738.616655546084</v>
      </c>
    </row>
    <row r="28" spans="1:17">
      <c r="A28" s="476" t="s">
        <v>554</v>
      </c>
      <c r="B28" s="477">
        <f t="shared" ca="1" si="2"/>
        <v>0</v>
      </c>
      <c r="C28" s="477">
        <f t="shared" ca="1" si="3"/>
        <v>0</v>
      </c>
      <c r="D28" s="477">
        <f t="shared" si="4"/>
        <v>0</v>
      </c>
      <c r="E28" s="477">
        <f t="shared" si="5"/>
        <v>0</v>
      </c>
      <c r="F28" s="477">
        <f t="shared" si="6"/>
        <v>0</v>
      </c>
      <c r="G28" s="477">
        <f t="shared" si="7"/>
        <v>492.18527301940321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492.18527301940321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62.503652873932083</v>
      </c>
      <c r="C32" s="477">
        <f t="shared" ca="1" si="3"/>
        <v>0</v>
      </c>
      <c r="D32" s="477">
        <f t="shared" si="4"/>
        <v>39.420906000000002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101.92455887393209</v>
      </c>
    </row>
    <row r="33" spans="1:17" s="486" customFormat="1">
      <c r="A33" s="1038" t="s">
        <v>558</v>
      </c>
      <c r="B33" s="978">
        <f ca="1">SUM(B22:B32)</f>
        <v>7550.8352211706115</v>
      </c>
      <c r="C33" s="978">
        <f t="shared" ref="C33:Q33" ca="1" si="18">SUM(C22:C32)</f>
        <v>0</v>
      </c>
      <c r="D33" s="978">
        <f t="shared" ca="1" si="18"/>
        <v>6475.7911315605497</v>
      </c>
      <c r="E33" s="978">
        <f t="shared" si="18"/>
        <v>877.32889340142412</v>
      </c>
      <c r="F33" s="978">
        <f t="shared" ca="1" si="18"/>
        <v>18512.424922808183</v>
      </c>
      <c r="G33" s="978">
        <f t="shared" si="18"/>
        <v>21917.685664696142</v>
      </c>
      <c r="H33" s="978">
        <f t="shared" si="18"/>
        <v>4240.0703399427684</v>
      </c>
      <c r="I33" s="978">
        <f t="shared" si="18"/>
        <v>0</v>
      </c>
      <c r="J33" s="978">
        <f t="shared" si="18"/>
        <v>135.2041598804025</v>
      </c>
      <c r="K33" s="978">
        <f t="shared" si="18"/>
        <v>0</v>
      </c>
      <c r="L33" s="978">
        <f t="shared" ca="1" si="18"/>
        <v>0</v>
      </c>
      <c r="M33" s="978">
        <f t="shared" si="18"/>
        <v>0</v>
      </c>
      <c r="N33" s="978">
        <f t="shared" ca="1" si="18"/>
        <v>0</v>
      </c>
      <c r="O33" s="978">
        <f t="shared" si="18"/>
        <v>0</v>
      </c>
      <c r="P33" s="978">
        <f t="shared" si="18"/>
        <v>0</v>
      </c>
      <c r="Q33" s="978">
        <f t="shared" ca="1" si="18"/>
        <v>59709.340333460081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6778.0453005364006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6821.6953005364003</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0.18421896570465407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0.18421896570465407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2019-08-12T08:26:30Z</dcterms:modified>
</cp:coreProperties>
</file>