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J89" i="14" s="1"/>
  <c r="J19" i="59" s="1"/>
  <c r="I19" i="18"/>
  <c r="I89" i="14" s="1"/>
  <c r="I19" i="59" s="1"/>
  <c r="H19" i="18"/>
  <c r="M89" i="14" s="1"/>
  <c r="M19" i="59" s="1"/>
  <c r="G19" i="18"/>
  <c r="H89" i="14" s="1"/>
  <c r="H19" i="59" s="1"/>
  <c r="F19" i="18"/>
  <c r="E19"/>
  <c r="D19"/>
  <c r="E89" i="14" s="1"/>
  <c r="E19" i="59" s="1"/>
  <c r="C19" i="18"/>
  <c r="B19"/>
  <c r="N18"/>
  <c r="M18"/>
  <c r="K88" i="14" s="1"/>
  <c r="K18" i="59" s="1"/>
  <c r="L18" i="18"/>
  <c r="O88" i="14" s="1"/>
  <c r="K18" i="18"/>
  <c r="J18"/>
  <c r="J88" i="14" s="1"/>
  <c r="J18" i="59" s="1"/>
  <c r="I18" i="18"/>
  <c r="H18"/>
  <c r="G18"/>
  <c r="H88" i="14" s="1"/>
  <c r="F18" i="18"/>
  <c r="F20" s="1"/>
  <c r="E18"/>
  <c r="D18"/>
  <c r="D20" s="1"/>
  <c r="C18"/>
  <c r="B18"/>
  <c r="L9"/>
  <c r="K9"/>
  <c r="G9"/>
  <c r="F9"/>
  <c r="D9"/>
  <c r="D10" s="1"/>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E9" s="1"/>
  <c r="F77" i="14" s="1"/>
  <c r="F9" i="59" s="1"/>
  <c r="R89" i="18"/>
  <c r="Q89"/>
  <c r="P89"/>
  <c r="C9" s="1"/>
  <c r="D77" i="14" s="1"/>
  <c r="D9" i="59" s="1"/>
  <c r="O89" i="18"/>
  <c r="N89"/>
  <c r="B9" s="1"/>
  <c r="M89"/>
  <c r="W61"/>
  <c r="V61"/>
  <c r="N6" i="17" s="1"/>
  <c r="U61" i="18"/>
  <c r="T61"/>
  <c r="S61"/>
  <c r="R61"/>
  <c r="Q61"/>
  <c r="P61"/>
  <c r="O61"/>
  <c r="N61"/>
  <c r="M61"/>
  <c r="W60"/>
  <c r="V60"/>
  <c r="U60"/>
  <c r="T60"/>
  <c r="S60"/>
  <c r="R60"/>
  <c r="Q60"/>
  <c r="P60"/>
  <c r="O60"/>
  <c r="C13" i="15" s="1"/>
  <c r="N60" i="18"/>
  <c r="B13" i="15" s="1"/>
  <c r="M60" i="18"/>
  <c r="W59"/>
  <c r="V59"/>
  <c r="U59"/>
  <c r="T59"/>
  <c r="S59"/>
  <c r="R59"/>
  <c r="Q59"/>
  <c r="P59"/>
  <c r="O59"/>
  <c r="N59"/>
  <c r="M59"/>
  <c r="W58"/>
  <c r="V58"/>
  <c r="U58"/>
  <c r="T58"/>
  <c r="S58"/>
  <c r="R58"/>
  <c r="Q58"/>
  <c r="P58"/>
  <c r="O58"/>
  <c r="B98" s="1"/>
  <c r="N58"/>
  <c r="M58"/>
  <c r="G22"/>
  <c r="F22"/>
  <c r="E22"/>
  <c r="D22"/>
  <c r="C22"/>
  <c r="L20"/>
  <c r="K20"/>
  <c r="G20"/>
  <c r="B17"/>
  <c r="B20" s="1"/>
  <c r="G12"/>
  <c r="F12"/>
  <c r="E12"/>
  <c r="D12"/>
  <c r="C12"/>
  <c r="L10"/>
  <c r="K10"/>
  <c r="G10"/>
  <c r="F10"/>
  <c r="B8"/>
  <c r="B6"/>
  <c r="B74" i="14" s="1"/>
  <c r="B6" i="59" s="1"/>
  <c r="B5" i="18"/>
  <c r="B4"/>
  <c r="L6" i="17"/>
  <c r="F6"/>
  <c r="C6"/>
  <c r="D5"/>
  <c r="B19" i="6"/>
  <c r="B18"/>
  <c r="B5"/>
  <c r="B6"/>
  <c r="D14" i="48"/>
  <c r="P7"/>
  <c r="O7"/>
  <c r="O25" s="1"/>
  <c r="M7"/>
  <c r="K7"/>
  <c r="I7"/>
  <c r="H7"/>
  <c r="G7"/>
  <c r="P10"/>
  <c r="O10"/>
  <c r="O28" s="1"/>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M4"/>
  <c r="L4"/>
  <c r="K4"/>
  <c r="I4"/>
  <c r="H4"/>
  <c r="G4"/>
  <c r="P11"/>
  <c r="O11"/>
  <c r="N11"/>
  <c r="M11"/>
  <c r="L11"/>
  <c r="K11"/>
  <c r="J11"/>
  <c r="I11"/>
  <c r="H11"/>
  <c r="G11"/>
  <c r="F11"/>
  <c r="E11"/>
  <c r="D11"/>
  <c r="C11"/>
  <c r="B11"/>
  <c r="Q11" s="1"/>
  <c r="O32"/>
  <c r="O31"/>
  <c r="Q12"/>
  <c r="P29"/>
  <c r="O29"/>
  <c r="P28"/>
  <c r="O27"/>
  <c r="N89" i="14"/>
  <c r="N19" i="59" s="1"/>
  <c r="L89" i="14"/>
  <c r="L19" i="59" s="1"/>
  <c r="K89" i="14"/>
  <c r="K19" i="59" s="1"/>
  <c r="G89" i="14"/>
  <c r="G19" i="59" s="1"/>
  <c r="D89" i="14"/>
  <c r="D19" i="59" s="1"/>
  <c r="N88" i="14"/>
  <c r="N18" i="59" s="1"/>
  <c r="N20" s="1"/>
  <c r="M88" i="14"/>
  <c r="M18" i="59" s="1"/>
  <c r="L88" i="14"/>
  <c r="L18" i="59" s="1"/>
  <c r="I88" i="14"/>
  <c r="I18" i="59" s="1"/>
  <c r="F88" i="14"/>
  <c r="F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H77" i="14"/>
  <c r="H9" i="59" s="1"/>
  <c r="G77" i="14"/>
  <c r="G9" i="59" s="1"/>
  <c r="E77" i="14"/>
  <c r="E9" i="59" s="1"/>
  <c r="O76" i="14"/>
  <c r="O8" i="59" s="1"/>
  <c r="N76" i="14"/>
  <c r="N8" i="59" s="1"/>
  <c r="L76" i="14"/>
  <c r="K76"/>
  <c r="K8" i="59" s="1"/>
  <c r="H76" i="14"/>
  <c r="G76"/>
  <c r="G8" i="59" s="1"/>
  <c r="G10" s="1"/>
  <c r="E76" i="14"/>
  <c r="E8" i="59" s="1"/>
  <c r="E10" s="1"/>
  <c r="B75" i="14"/>
  <c r="B7" i="59" s="1"/>
  <c r="B73" i="14"/>
  <c r="B5" i="59" s="1"/>
  <c r="B72" i="14"/>
  <c r="B4" i="59" s="1"/>
  <c r="C64" i="14"/>
  <c r="C29"/>
  <c r="Q54"/>
  <c r="P54"/>
  <c r="P56" s="1"/>
  <c r="L54"/>
  <c r="J54"/>
  <c r="I54"/>
  <c r="H54"/>
  <c r="H56" s="1"/>
  <c r="Q24"/>
  <c r="Q26" s="1"/>
  <c r="P24"/>
  <c r="N24"/>
  <c r="L24"/>
  <c r="J24"/>
  <c r="I24"/>
  <c r="I26" s="1"/>
  <c r="H24"/>
  <c r="Q50"/>
  <c r="P50"/>
  <c r="O50"/>
  <c r="M50"/>
  <c r="L50"/>
  <c r="K50"/>
  <c r="J50"/>
  <c r="G50"/>
  <c r="D50"/>
  <c r="Q49"/>
  <c r="Q52" s="1"/>
  <c r="P49"/>
  <c r="Q20"/>
  <c r="P20"/>
  <c r="O20"/>
  <c r="M20"/>
  <c r="L20"/>
  <c r="K20"/>
  <c r="J20"/>
  <c r="G20"/>
  <c r="D20"/>
  <c r="Q19"/>
  <c r="P19"/>
  <c r="O19"/>
  <c r="O22" s="1"/>
  <c r="M19"/>
  <c r="M22" s="1"/>
  <c r="L19"/>
  <c r="K19"/>
  <c r="J19"/>
  <c r="I19"/>
  <c r="G19"/>
  <c r="G22" s="1"/>
  <c r="F19"/>
  <c r="E19"/>
  <c r="D19"/>
  <c r="Q48"/>
  <c r="P48"/>
  <c r="O48"/>
  <c r="M48"/>
  <c r="L48"/>
  <c r="K48"/>
  <c r="J48"/>
  <c r="G48"/>
  <c r="D48"/>
  <c r="Q18"/>
  <c r="Q22" s="1"/>
  <c r="P18"/>
  <c r="O18"/>
  <c r="M18"/>
  <c r="L18"/>
  <c r="L22" s="1"/>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R78"/>
  <c r="G78"/>
  <c r="K78"/>
  <c r="L56"/>
  <c r="J56"/>
  <c r="Q56"/>
  <c r="I56"/>
  <c r="P52"/>
  <c r="R44"/>
  <c r="E25"/>
  <c r="E55" s="1"/>
  <c r="C25"/>
  <c r="B14" i="48" s="1"/>
  <c r="P26" i="14"/>
  <c r="N26"/>
  <c r="L26"/>
  <c r="J26"/>
  <c r="H26"/>
  <c r="D22"/>
  <c r="P22"/>
  <c r="K22"/>
  <c r="R12"/>
  <c r="R9"/>
  <c r="H90" l="1"/>
  <c r="H18" i="59"/>
  <c r="O18"/>
  <c r="O20" s="1"/>
  <c r="O90" i="14"/>
  <c r="L78"/>
  <c r="L8" i="59"/>
  <c r="L10" s="1"/>
  <c r="K10"/>
  <c r="H20"/>
  <c r="C98" i="18"/>
  <c r="C101" s="1"/>
  <c r="D13" i="15"/>
  <c r="H78" i="14"/>
  <c r="H8" i="59"/>
  <c r="H10"/>
  <c r="B10" i="18"/>
  <c r="K90" i="14"/>
  <c r="E88"/>
  <c r="E18" i="59" s="1"/>
  <c r="E20" s="1"/>
  <c r="P31" i="48"/>
  <c r="O78" i="14"/>
  <c r="O9" i="59"/>
  <c r="K20"/>
  <c r="P32" i="48"/>
  <c r="R25" i="14"/>
  <c r="O10" i="59"/>
  <c r="F13" i="15"/>
  <c r="L90" i="14"/>
  <c r="N10" i="59"/>
  <c r="L20"/>
  <c r="O19" i="18"/>
  <c r="L13" i="15"/>
  <c r="N13"/>
  <c r="Q77" i="14"/>
  <c r="P9" i="59" s="1"/>
  <c r="O9" i="18"/>
  <c r="O18"/>
  <c r="G88" i="14"/>
  <c r="F89"/>
  <c r="H101" i="18"/>
  <c r="I102"/>
  <c r="H17" s="1"/>
  <c r="E102"/>
  <c r="E17" s="1"/>
  <c r="H102"/>
  <c r="D102"/>
  <c r="G102"/>
  <c r="C102"/>
  <c r="F102"/>
  <c r="B102"/>
  <c r="C17" s="1"/>
  <c r="B77" i="14"/>
  <c r="B9" i="59" s="1"/>
  <c r="Q14" i="48"/>
  <c r="O24"/>
  <c r="O30"/>
  <c r="P24"/>
  <c r="P30"/>
  <c r="C77" i="14"/>
  <c r="C9" i="59" s="1"/>
  <c r="E78" i="14"/>
  <c r="E90"/>
  <c r="N78"/>
  <c r="G90" l="1"/>
  <c r="G18" i="59"/>
  <c r="G20" s="1"/>
  <c r="C89" i="14"/>
  <c r="C19" i="59" s="1"/>
  <c r="F19"/>
  <c r="F101" i="18"/>
  <c r="B101"/>
  <c r="C8" s="1"/>
  <c r="C10" s="1"/>
  <c r="Q88" i="14"/>
  <c r="P18" i="59" s="1"/>
  <c r="I101" i="18"/>
  <c r="H8" s="1"/>
  <c r="B88" i="14"/>
  <c r="B18" i="59" s="1"/>
  <c r="E101" i="18"/>
  <c r="E8" s="1"/>
  <c r="C88" i="14"/>
  <c r="C18" i="59" s="1"/>
  <c r="G101" i="18"/>
  <c r="I8" s="1"/>
  <c r="O8" s="1"/>
  <c r="O10" s="1"/>
  <c r="D101"/>
  <c r="B89" i="14"/>
  <c r="B19" i="59" s="1"/>
  <c r="Q89" i="14"/>
  <c r="P19" i="59" s="1"/>
  <c r="C20" i="18"/>
  <c r="D87" i="14"/>
  <c r="D17" i="59" s="1"/>
  <c r="D20" s="1"/>
  <c r="D76" i="14"/>
  <c r="D8" i="59" s="1"/>
  <c r="D10" s="1"/>
  <c r="J17" i="18"/>
  <c r="J8"/>
  <c r="F87" i="14"/>
  <c r="E20" i="18"/>
  <c r="E10"/>
  <c r="F76" i="14"/>
  <c r="F8" i="59" s="1"/>
  <c r="F10" s="1"/>
  <c r="I17" i="18"/>
  <c r="O17" s="1"/>
  <c r="O20" s="1"/>
  <c r="H20"/>
  <c r="M87" i="14"/>
  <c r="M76"/>
  <c r="H10" i="18"/>
  <c r="H14" i="15"/>
  <c r="H16" s="1"/>
  <c r="G14"/>
  <c r="G16" s="1"/>
  <c r="H5" i="48" l="1"/>
  <c r="I10" i="14"/>
  <c r="I16" s="1"/>
  <c r="M90"/>
  <c r="M17" i="59"/>
  <c r="M20" s="1"/>
  <c r="M78" i="14"/>
  <c r="M8" i="59"/>
  <c r="M10" s="1"/>
  <c r="F90" i="14"/>
  <c r="F17" i="59"/>
  <c r="F20" s="1"/>
  <c r="G5" i="48"/>
  <c r="H10" i="14"/>
  <c r="H16" s="1"/>
  <c r="I76"/>
  <c r="I8" i="59" s="1"/>
  <c r="I10" s="1"/>
  <c r="I10" i="18"/>
  <c r="Q87" i="14"/>
  <c r="D90"/>
  <c r="F78"/>
  <c r="J87"/>
  <c r="J20" i="18"/>
  <c r="J10"/>
  <c r="J76" i="14"/>
  <c r="I87"/>
  <c r="I17" i="59" s="1"/>
  <c r="I20" s="1"/>
  <c r="I20" i="18"/>
  <c r="Q76" i="14"/>
  <c r="D78"/>
  <c r="B24" i="44"/>
  <c r="B23"/>
  <c r="J90" i="14" l="1"/>
  <c r="J17" i="59"/>
  <c r="J20" s="1"/>
  <c r="J78" i="14"/>
  <c r="J8" i="59"/>
  <c r="J10" s="1"/>
  <c r="Q78" i="14"/>
  <c r="B9" i="6" s="1"/>
  <c r="P8" i="59"/>
  <c r="P10" s="1"/>
  <c r="Q90" i="14"/>
  <c r="B17" i="6" s="1"/>
  <c r="P17" i="59"/>
  <c r="P20" s="1"/>
  <c r="B87" i="14"/>
  <c r="I90"/>
  <c r="C87"/>
  <c r="C76"/>
  <c r="B76"/>
  <c r="I78"/>
  <c r="A31" i="23"/>
  <c r="A32"/>
  <c r="A33"/>
  <c r="B78" i="14" l="1"/>
  <c r="B4" i="6" s="1"/>
  <c r="B8" i="59"/>
  <c r="B10" s="1"/>
  <c r="C90" i="14"/>
  <c r="C17" i="59"/>
  <c r="C20" s="1"/>
  <c r="B90" i="14"/>
  <c r="B17" i="59"/>
  <c r="B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D4"/>
  <c r="D22" s="1"/>
  <c r="E11" i="14"/>
  <c r="C4" i="48"/>
  <c r="D11" i="14"/>
  <c r="F32" i="48"/>
  <c r="F31"/>
  <c r="F29"/>
  <c r="F28"/>
  <c r="F27"/>
  <c r="F30"/>
  <c r="F24"/>
  <c r="N32"/>
  <c r="N29"/>
  <c r="N31"/>
  <c r="N28"/>
  <c r="N27"/>
  <c r="N24"/>
  <c r="N30"/>
  <c r="L10" i="14"/>
  <c r="L16" s="1"/>
  <c r="L27" s="1"/>
  <c r="K5" i="48"/>
  <c r="D31"/>
  <c r="D28"/>
  <c r="D32"/>
  <c r="D30"/>
  <c r="D29"/>
  <c r="D24"/>
  <c r="L31"/>
  <c r="L28"/>
  <c r="L32"/>
  <c r="L30"/>
  <c r="L27"/>
  <c r="L29"/>
  <c r="L22"/>
  <c r="L24"/>
  <c r="P5"/>
  <c r="P23" s="1"/>
  <c r="Q10" i="14"/>
  <c r="N46"/>
  <c r="J27" i="48"/>
  <c r="J28"/>
  <c r="J32"/>
  <c r="J24"/>
  <c r="J31"/>
  <c r="J29"/>
  <c r="J30"/>
  <c r="I27"/>
  <c r="I32"/>
  <c r="I31"/>
  <c r="I26"/>
  <c r="I29"/>
  <c r="I25"/>
  <c r="I22"/>
  <c r="I30"/>
  <c r="I28"/>
  <c r="I24"/>
  <c r="H32"/>
  <c r="H29"/>
  <c r="H28"/>
  <c r="H26"/>
  <c r="H30"/>
  <c r="H22"/>
  <c r="H25"/>
  <c r="H24"/>
  <c r="H23"/>
  <c r="G25"/>
  <c r="G32"/>
  <c r="G29"/>
  <c r="G24"/>
  <c r="G26"/>
  <c r="G22"/>
  <c r="G30"/>
  <c r="G23"/>
  <c r="B4"/>
  <c r="C11" i="14"/>
  <c r="B10" i="48"/>
  <c r="C19" i="14"/>
  <c r="E29" i="48"/>
  <c r="E32"/>
  <c r="E24"/>
  <c r="E31"/>
  <c r="E28"/>
  <c r="E30"/>
  <c r="M25"/>
  <c r="M29"/>
  <c r="M22"/>
  <c r="M32"/>
  <c r="M26"/>
  <c r="M30"/>
  <c r="M24"/>
  <c r="M23"/>
  <c r="K29"/>
  <c r="K26"/>
  <c r="K28"/>
  <c r="K32"/>
  <c r="K25"/>
  <c r="K24"/>
  <c r="K22"/>
  <c r="K30"/>
  <c r="K31"/>
  <c r="K27"/>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J7" i="48"/>
  <c r="J25" s="1"/>
  <c r="K24" i="14"/>
  <c r="K26" s="1"/>
  <c r="C22"/>
  <c r="I5" i="48"/>
  <c r="J10" i="14"/>
  <c r="J16" s="1"/>
  <c r="J27" s="1"/>
  <c r="P15" i="48"/>
  <c r="P22"/>
  <c r="P33" s="1"/>
  <c r="M12" i="22"/>
  <c r="M13" i="48"/>
  <c r="M31" s="1"/>
  <c r="N18" i="14"/>
  <c r="H18"/>
  <c r="G13" i="48"/>
  <c r="H13"/>
  <c r="H31" s="1"/>
  <c r="I18" i="14"/>
  <c r="O22" i="48"/>
  <c r="P8"/>
  <c r="P26" s="1"/>
  <c r="Q13" i="14"/>
  <c r="Q16" s="1"/>
  <c r="Q27" s="1"/>
  <c r="Q63" s="1"/>
  <c r="F20"/>
  <c r="F22" s="1"/>
  <c r="E9" i="48"/>
  <c r="E27" s="1"/>
  <c r="E20" i="14"/>
  <c r="E22" s="1"/>
  <c r="D9" i="48"/>
  <c r="D27" s="1"/>
  <c r="P10" i="14"/>
  <c r="O5" i="48"/>
  <c r="O23" s="1"/>
  <c r="C20" i="14"/>
  <c r="B9" i="48"/>
  <c r="K23"/>
  <c r="K15"/>
  <c r="J46" i="14"/>
  <c r="J61" s="1"/>
  <c r="K33" i="48"/>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H20" i="14"/>
  <c r="R20" s="1"/>
  <c r="G9" i="48"/>
  <c r="N4"/>
  <c r="N22" s="1"/>
  <c r="O11" i="14"/>
  <c r="R18"/>
  <c r="N52"/>
  <c r="N61" s="1"/>
  <c r="J4" i="48"/>
  <c r="K11" i="14"/>
  <c r="E7" i="48"/>
  <c r="E25" s="1"/>
  <c r="F24" i="14"/>
  <c r="F26" s="1"/>
  <c r="G31" i="48"/>
  <c r="Q13"/>
  <c r="I23"/>
  <c r="I33" s="1"/>
  <c r="I15"/>
  <c r="N20" i="14"/>
  <c r="M9" i="48"/>
  <c r="O22" i="16"/>
  <c r="P43" i="14" s="1"/>
  <c r="P46" s="1"/>
  <c r="P61" s="1"/>
  <c r="P63" s="1"/>
  <c r="O8" i="48"/>
  <c r="P13" i="14"/>
  <c r="J63"/>
  <c r="I20"/>
  <c r="H9" i="48"/>
  <c r="M10"/>
  <c r="M28" s="1"/>
  <c r="N19" i="14"/>
  <c r="N22" s="1"/>
  <c r="N27" s="1"/>
  <c r="I22"/>
  <c r="I27" s="1"/>
  <c r="P16"/>
  <c r="P27" s="1"/>
  <c r="G10" i="48"/>
  <c r="H19" i="14"/>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M27" i="48"/>
  <c r="M33" s="1"/>
  <c r="M15"/>
  <c r="R11" i="14"/>
  <c r="O26" i="48"/>
  <c r="O33" s="1"/>
  <c r="O15"/>
  <c r="E22"/>
  <c r="Q4"/>
  <c r="Q9"/>
  <c r="J5"/>
  <c r="J23" s="1"/>
  <c r="K10" i="14"/>
  <c r="N63"/>
  <c r="J20" i="15"/>
  <c r="K40" i="14" s="1"/>
  <c r="R19"/>
  <c r="R22" s="1"/>
  <c r="G27" i="48"/>
  <c r="G33" s="1"/>
  <c r="G15"/>
  <c r="G28"/>
  <c r="Q10"/>
  <c r="E5"/>
  <c r="E23" s="1"/>
  <c r="F10" i="14"/>
  <c r="H27" i="48"/>
  <c r="H33" s="1"/>
  <c r="H15"/>
  <c r="J22"/>
  <c r="H22" i="14"/>
  <c r="H27" s="1"/>
  <c r="Q7" i="48"/>
  <c r="E20" i="15"/>
  <c r="F40" i="14" s="1"/>
  <c r="J18" i="16"/>
  <c r="E18"/>
  <c r="F18"/>
  <c r="F22" s="1"/>
  <c r="G43" i="14" s="1"/>
  <c r="N18" i="16"/>
  <c r="G18" i="22"/>
  <c r="H50" i="14" s="1"/>
  <c r="E22" i="16"/>
  <c r="F43" i="14" s="1"/>
  <c r="H18" i="22"/>
  <c r="I50" i="14" s="1"/>
  <c r="I52" s="1"/>
  <c r="I61" s="1"/>
  <c r="I63" s="1"/>
  <c r="J22" i="16" l="1"/>
  <c r="K43" i="14" s="1"/>
  <c r="K46" s="1"/>
  <c r="K61" s="1"/>
  <c r="J8" i="48"/>
  <c r="K13" i="14"/>
  <c r="K16" s="1"/>
  <c r="K27" s="1"/>
  <c r="F46"/>
  <c r="F61" s="1"/>
  <c r="F63" s="1"/>
  <c r="F16"/>
  <c r="F27" s="1"/>
  <c r="F13"/>
  <c r="E8" i="48"/>
  <c r="N8"/>
  <c r="N26" s="1"/>
  <c r="O13" i="14"/>
  <c r="N22" i="16"/>
  <c r="O43" i="14" s="1"/>
  <c r="G13"/>
  <c r="F8" i="48"/>
  <c r="K63" i="14" l="1"/>
  <c r="J26" i="48"/>
  <c r="J33" s="1"/>
  <c r="J15"/>
  <c r="R13" i="14"/>
  <c r="E26" i="48"/>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<sst xmlns="http://schemas.openxmlformats.org/spreadsheetml/2006/main" count="2419" uniqueCount="905">
  <si>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</si>
  <si>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</si>
  <si>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</si>
  <si>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</si>
  <si>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</si>
  <si>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</si>
  <si>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</si>
  <si>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</si>
  <si>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</si>
  <si>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</si>
  <si>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</si>
  <si>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</si>
  <si>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</si>
  <si>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</si>
  <si>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</si>
  <si>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</si>
  <si>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</si>
  <si>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</si>
  <si>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</si>
  <si>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</si>
  <si>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</si>
  <si>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</si>
  <si>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</si>
  <si>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</si>
  <si>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</si>
  <si>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</si>
  <si>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</si>
  <si>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</si>
  <si>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</si>
  <si>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</si>
  <si>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</si>
  <si>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</si>
  <si>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</si>
  <si>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</si>
  <si>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</si>
  <si>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</si>
  <si>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</si>
  <si>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</si>
  <si>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</si>
  <si>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</si>
  <si>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</si>
  <si>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</si>
  <si>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</si>
  <si>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</si>
  <si>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</si>
  <si>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</si>
  <si>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</si>
  <si>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</si>
  <si>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</si>
  <si>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</si>
  <si>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</si>
  <si>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</si>
  <si>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</si>
  <si>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</si>
  <si>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</si>
  <si>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</si>
  <si>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</si>
  <si>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</si>
  <si>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</si>
  <si>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</si>
  <si>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</si>
  <si>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</si>
  <si>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</si>
  <si>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</si>
  <si>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</si>
  <si>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</si>
  <si>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</si>
  <si>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</si>
  <si>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</si>
  <si>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</si>
  <si>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</si>
  <si>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</si>
  <si>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</si>
  <si>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</si>
  <si>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</si>
  <si>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</si>
  <si>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</si>
  <si>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</si>
  <si>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</si>
  <si>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</si>
  <si>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</si>
  <si>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</si>
  <si>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</si>
  <si>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</si>
  <si>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</si>
  <si>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</si>
  <si>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</si>
  <si>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</si>
  <si>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</si>
  <si>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</si>
  <si>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</si>
  <si>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</si>
  <si>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</si>
  <si>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</si>
  <si>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</si>
  <si>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</si>
  <si>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</si>
  <si>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</si>
  <si>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</si>
  <si>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</si>
  <si>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</si>
  <si>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</si>
  <si>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</si>
  <si>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</si>
  <si>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</si>
  <si>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</si>
  <si>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</si>
  <si>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</si>
  <si>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</si>
  <si>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</si>
  <si>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</si>
  <si>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</si>
  <si>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</si>
  <si>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</si>
  <si>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</si>
  <si>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</si>
  <si>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</si>
  <si>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</si>
  <si>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</si>
  <si>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</si>
  <si>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</si>
  <si>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</si>
  <si>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</si>
  <si>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</si>
  <si>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</si>
  <si>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</si>
  <si>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</si>
  <si>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</si>
  <si>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</si>
  <si>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</si>
  <si>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</si>
  <si>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</si>
  <si>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</si>
  <si>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</si>
  <si>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</si>
  <si>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</si>
  <si>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</si>
  <si>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</si>
  <si>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</si>
  <si>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</si>
  <si>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</si>
  <si>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</si>
  <si>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</si>
  <si>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</si>
  <si>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</si>
  <si>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</si>
  <si>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</si>
  <si>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</si>
  <si>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</si>
  <si>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</si>
  <si>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</si>
  <si>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</si>
  <si>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</si>
  <si>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</si>
  <si>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</si>
  <si>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</si>
  <si>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</si>
  <si>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</si>
  <si>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</si>
  <si>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</si>
  <si>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</si>
  <si>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</si>
  <si>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</si>
  <si>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</si>
  <si>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</si>
  <si>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</si>
  <si>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</si>
  <si>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</si>
  <si>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</si>
  <si>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</si>
  <si>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</si>
  <si>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</si>
  <si>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</si>
  <si>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</si>
  <si>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</si>
  <si>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</si>
  <si>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</si>
  <si>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</si>
  <si>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</si>
  <si>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</si>
  <si>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</si>
  <si>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</si>
  <si>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</si>
  <si>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</si>
  <si>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</si>
  <si>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</si>
  <si>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</si>
  <si>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</si>
  <si>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</si>
  <si>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</si>
  <si>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</si>
  <si>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</si>
  <si>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</si>
  <si>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</si>
  <si>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</si>
  <si>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</si>
  <si>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</si>
  <si>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</si>
  <si>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</si>
  <si>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</si>
  <si>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</si>
  <si>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</si>
  <si>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</si>
  <si>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</si>
  <si>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</si>
  <si>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</si>
  <si>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</si>
  <si>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</si>
  <si>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</si>
  <si>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</si>
  <si>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</si>
  <si>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</si>
  <si>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</si>
  <si>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</si>
  <si>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</si>
  <si>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</si>
  <si>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</si>
  <si>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</si>
  <si>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</si>
  <si>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</si>
  <si>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</si>
  <si>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</si>
  <si>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</si>
  <si>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</si>
  <si>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</si>
  <si>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</si>
  <si>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</si>
  <si>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</si>
  <si>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</si>
  <si>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</si>
  <si>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</si>
  <si>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</si>
  <si>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</si>
  <si>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</si>
  <si>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</si>
  <si>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</si>
  <si>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</si>
  <si>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</si>
  <si>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</si>
  <si>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</si>
  <si>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</si>
  <si>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</si>
  <si>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</si>
  <si>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</si>
  <si>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</si>
  <si>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</si>
  <si>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</si>
  <si>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</si>
  <si>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</si>
  <si>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</si>
  <si>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</si>
  <si>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</si>
  <si>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</si>
  <si>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</si>
  <si>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</si>
  <si>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</si>
  <si>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</si>
  <si>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</si>
  <si>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</si>
  <si>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</si>
  <si>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</si>
  <si>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</si>
  <si>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</si>
  <si>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</si>
  <si>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</si>
  <si>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</si>
  <si>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</si>
  <si>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</si>
  <si>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</si>
  <si>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</si>
  <si>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</si>
  <si>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</si>
  <si>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</si>
  <si>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</si>
  <si>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</si>
  <si>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</si>
  <si>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</si>
  <si>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</si>
  <si>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</si>
  <si>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</si>
  <si>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</si>
  <si>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</si>
  <si>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</si>
  <si>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</si>
  <si>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</si>
  <si>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</si>
  <si>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</si>
  <si>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</si>
  <si>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</si>
  <si>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</si>
  <si>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</si>
  <si>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</si>
  <si>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</si>
  <si>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</si>
  <si>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</si>
  <si>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</si>
  <si>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</si>
  <si>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</si>
  <si>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</si>
  <si>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</si>
  <si>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</si>
  <si>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</si>
  <si>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</si>
  <si>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</si>
  <si>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</si>
  <si>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</si>
  <si>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</si>
  <si>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</si>
  <si>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</si>
  <si>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</si>
  <si>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</si>
  <si>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</si>
  <si>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</si>
  <si>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</si>
  <si>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</si>
  <si>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</si>
  <si>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</si>
  <si>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</si>
  <si>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</si>
  <si>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</si>
  <si>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</si>
  <si>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</si>
  <si>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</si>
  <si>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</si>
  <si>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</si>
  <si>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</si>
  <si>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</si>
  <si>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</si>
  <si>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</si>
  <si>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</si>
  <si>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</si>
  <si>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</si>
  <si>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</si>
  <si>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</si>
  <si>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</si>
  <si>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</si>
  <si>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</si>
  <si>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</si>
  <si>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</si>
  <si>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</si>
  <si>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</si>
  <si>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</si>
  <si>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</si>
  <si>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</si>
  <si>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</si>
  <si>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</si>
  <si>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</si>
  <si>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</si>
  <si>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</si>
  <si>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</si>
  <si>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</si>
  <si>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</si>
  <si>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</si>
  <si>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</si>
  <si>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</si>
  <si>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</si>
  <si>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</si>
  <si>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</si>
  <si>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</si>
  <si>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</si>
  <si>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</si>
  <si>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</si>
  <si>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</si>
  <si>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</si>
  <si>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</si>
  <si>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</si>
  <si>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</si>
  <si>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</si>
  <si>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</si>
  <si>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</si>
  <si>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</si>
  <si>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</si>
  <si>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</si>
  <si>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</si>
  <si>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</si>
  <si>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</si>
  <si>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</si>
  <si>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</si>
  <si>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</si>
  <si>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</si>
  <si>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</si>
  <si>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</si>
  <si>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</si>
  <si>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</si>
  <si>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</si>
  <si>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</si>
  <si>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</si>
  <si>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</si>
  <si>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</si>
  <si>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</si>
  <si>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</si>
  <si>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</si>
  <si>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</si>
  <si>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</si>
  <si>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</si>
  <si>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</si>
  <si>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</si>
  <si>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</si>
  <si>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</si>
  <si>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</si>
  <si>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</si>
  <si>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</si>
  <si>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</si>
  <si>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</si>
  <si>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</si>
  <si>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</si>
  <si>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</si>
  <si>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</si>
  <si>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</si>
  <si>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</si>
  <si>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</si>
  <si>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</si>
  <si>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</si>
  <si>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</si>
  <si>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</si>
  <si>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</si>
  <si>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</si>
  <si>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</si>
  <si>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</si>
  <si>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</si>
  <si>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</si>
  <si>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</si>
  <si>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</si>
  <si>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</si>
  <si>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</si>
  <si>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</si>
  <si>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</si>
  <si>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</si>
  <si>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</si>
  <si>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</si>
  <si>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</si>
  <si>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</si>
  <si>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</si>
  <si>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</si>
  <si>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</si>
  <si>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</si>
  <si>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</si>
  <si>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</si>
  <si>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</si>
  <si>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</si>
  <si>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</si>
  <si>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</si>
  <si>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</si>
  <si>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</si>
  <si>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</si>
  <si>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</si>
  <si>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</si>
  <si>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</si>
  <si>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</si>
  <si>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</si>
  <si>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</si>
  <si>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</si>
  <si>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</si>
  <si>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</si>
  <si>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</si>
  <si>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</si>
  <si>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</si>
  <si>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</si>
  <si>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</si>
  <si>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</si>
  <si>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</si>
  <si>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</si>
  <si>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</si>
  <si>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</si>
  <si>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</si>
  <si>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</si>
  <si>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</si>
  <si>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</si>
  <si>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</si>
  <si>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</si>
  <si>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</si>
  <si>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</si>
  <si>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</si>
  <si>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</si>
  <si>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</si>
  <si>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</si>
  <si>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</si>
  <si>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</si>
  <si>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</si>
  <si>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</si>
  <si>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</si>
  <si>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</si>
  <si>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</si>
  <si>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</si>
  <si>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</si>
  <si>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</si>
  <si>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</si>
  <si>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</si>
  <si>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</si>
  <si>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</si>
  <si>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</si>
  <si>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</si>
  <si>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</si>
  <si>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</si>
  <si>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</si>
  <si>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</si>
  <si>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</si>
  <si>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</si>
  <si>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</si>
  <si>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</si>
  <si>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</si>
  <si>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</si>
  <si>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</si>
  <si>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</si>
  <si>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</si>
  <si>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</si>
  <si>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</si>
  <si>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</si>
  <si>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</si>
  <si>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</si>
  <si>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</si>
  <si>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</si>
  <si>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</si>
  <si>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</si>
  <si>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</si>
  <si>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</si>
  <si>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</si>
  <si>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</si>
  <si>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</si>
  <si>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</si>
  <si>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</si>
  <si>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</si>
  <si>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</si>
  <si>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</si>
  <si>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</si>
  <si>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</si>
  <si>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</si>
  <si>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</si>
  <si>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</si>
  <si>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</si>
  <si>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</si>
  <si>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</si>
  <si>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</si>
  <si>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</si>
  <si>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</si>
  <si>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</si>
  <si>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</si>
  <si>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</si>
  <si>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</si>
  <si>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</si>
  <si>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</si>
  <si>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</si>
  <si>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</si>
  <si>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</si>
  <si>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</si>
  <si>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</si>
  <si>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</si>
  <si>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</si>
  <si>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</si>
  <si>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</si>
  <si>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</si>
  <si>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</si>
  <si>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</si>
  <si>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</si>
  <si>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</si>
  <si>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</si>
  <si>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</si>
  <si>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</si>
  <si>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</si>
  <si>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</si>
  <si>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</si>
  <si>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</si>
  <si>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</si>
  <si>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</si>
  <si>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</si>
  <si>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</si>
  <si>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</si>
  <si>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</si>
  <si>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</si>
  <si>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</si>
  <si>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</si>
  <si>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</si>
  <si>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</si>
  <si>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</si>
  <si>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</si>
  <si>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</si>
  <si>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</si>
  <si>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</si>
  <si>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</si>
  <si>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</si>
  <si>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</si>
  <si>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</si>
  <si>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</si>
  <si>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</si>
  <si>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</si>
  <si>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</si>
  <si>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</si>
  <si>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</si>
  <si>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</si>
  <si>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</si>
  <si>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</si>
  <si>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</si>
  <si>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</si>
  <si>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</si>
  <si>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</si>
  <si>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</si>
  <si>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</si>
  <si>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</si>
  <si>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</si>
  <si>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</si>
  <si>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</si>
  <si>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</si>
  <si>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</si>
  <si>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</si>
  <si>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</si>
  <si>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</si>
  <si>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</si>
  <si>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</si>
  <si>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</si>
  <si>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</si>
  <si>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</si>
  <si>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</si>
  <si>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</si>
  <si>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</si>
  <si>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</si>
  <si>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</si>
  <si>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</si>
  <si>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</si>
  <si>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</si>
  <si>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</si>
  <si>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</si>
  <si>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</si>
  <si>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</si>
  <si>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</si>
  <si>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</si>
  <si>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</si>
  <si>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</si>
  <si>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</si>
  <si>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</si>
  <si>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</si>
  <si>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</si>
  <si>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</si>
  <si>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</si>
  <si>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</si>
  <si>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</si>
  <si>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</si>
  <si>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</si>
  <si>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</si>
  <si>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</si>
  <si>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</si>
  <si>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</si>
  <si>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</si>
  <si>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</si>
  <si>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</si>
  <si>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</si>
  <si>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</si>
  <si>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</si>
  <si>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</si>
  <si>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</si>
  <si>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</si>
  <si>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</si>
  <si>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</si>
  <si>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</si>
  <si>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</si>
  <si>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</si>
  <si>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</si>
  <si>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</si>
  <si>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</si>
  <si>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</si>
  <si>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</si>
  <si>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</si>
  <si>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</si>
  <si>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</si>
  <si>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</si>
  <si>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</si>
  <si>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</si>
  <si>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</si>
  <si>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</si>
  <si>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</si>
  <si>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</si>
  <si>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</si>
  <si>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</si>
  <si>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</si>
  <si>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</si>
  <si>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</si>
  <si>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</si>
  <si>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</si>
  <si>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</si>
  <si>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</si>
  <si>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</si>
  <si>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</si>
  <si>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</si>
  <si>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</si>
  <si>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</si>
  <si>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</si>
  <si>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</si>
  <si>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</si>
  <si>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</si>
  <si>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</si>
  <si>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</si>
  <si>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</si>
  <si>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</si>
  <si>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</si>
  <si>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</si>
  <si>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</si>
  <si>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</si>
  <si>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</si>
  <si>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</si>
  <si>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</si>
  <si>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</si>
  <si>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</si>
  <si>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</si>
  <si>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</si>
  <si>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</si>
  <si>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</si>
  <si>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</si>
  <si>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</si>
  <si>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</si>
  <si>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</si>
  <si>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</si>
  <si>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</si>
  <si>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</si>
  <si>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</si>
  <si>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</si>
  <si>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</si>
  <si>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</si>
  <si>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</si>
  <si>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</si>
  <si>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</si>
  <si>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</si>
  <si>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</si>
  <si>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</si>
  <si>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</si>
  <si>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</si>
  <si>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</si>
  <si>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</si>
  <si>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</si>
  <si>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</si>
  <si>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</si>
  <si>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</si>
  <si>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</si>
  <si>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</si>
  <si>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</si>
  <si>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</si>
  <si>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</si>
  <si>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</si>
  <si>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</si>
  <si>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</si>
  <si>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</si>
  <si>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</si>
  <si>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</si>
  <si>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</si>
  <si>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</si>
  <si>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</si>
  <si>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</si>
  <si>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</si>
  <si>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</si>
  <si>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</si>
  <si>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</si>
  <si>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</si>
  <si>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</si>
  <si>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</si>
  <si>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</si>
  <si>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</si>
  <si>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</si>
  <si>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</si>
  <si>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</si>
  <si>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</si>
  <si>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</si>
  <si>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</si>
  <si>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</si>
  <si>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</si>
  <si>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</si>
  <si>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</si>
  <si>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</si>
  <si>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</si>
  <si>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</si>
  <si>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</si>
  <si>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</si>
  <si>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</si>
  <si>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</si>
  <si>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</si>
  <si>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</si>
  <si>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</si>
  <si>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</si>
  <si>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</si>
  <si>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</si>
  <si>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</si>
  <si>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</si>
  <si>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</si>
  <si>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</si>
  <si>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</si>
  <si>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</si>
  <si>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</si>
  <si>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</si>
  <si>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</si>
  <si>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</si>
  <si>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</si>
  <si>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</si>
  <si>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</si>
  <si>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</si>
  <si>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</si>
  <si>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</si>
  <si>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</si>
  <si>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</si>
  <si>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</si>
  <si>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</si>
  <si>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</si>
  <si>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</si>
  <si>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</si>
  <si>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</si>
  <si>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</si>
  <si>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</si>
  <si>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</si>
  <si>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</si>
  <si>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</si>
  <si>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</si>
  <si>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</si>
  <si>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</si>
  <si>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</si>
  <si>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</si>
  <si>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</si>
  <si>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</si>
  <si>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</si>
  <si>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</si>
  <si>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</si>
  <si>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</si>
  <si>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</si>
  <si>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</si>
  <si>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</si>
  <si>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</si>
  <si>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</si>
  <si>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</si>
  <si>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</si>
  <si>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</si>
  <si>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</si>
  <si>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</si>
  <si>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</si>
  <si>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</si>
  <si>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</si>
  <si>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</si>
  <si>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</si>
  <si>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</si>
  <si>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</si>
  <si>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</si>
  <si>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</si>
  <si>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</si>
  <si>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</si>
  <si>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</si>
  <si>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</si>
  <si>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</si>
  <si>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</si>
  <si>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</si>
  <si>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</si>
  <si>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</si>
  <si>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</si>
  <si>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</si>
  <si>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</si>
  <si>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</si>
  <si>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</si>
  <si>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</si>
  <si>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</si>
  <si>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</si>
  <si>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</si>
  <si>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</si>
  <si>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</si>
  <si>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</si>
  <si>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</si>
  <si>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</si>
  <si>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</si>
  <si>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</si>
  <si>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</si>
  <si>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</si>
  <si>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</si>
  <si>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</si>
  <si>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</si>
  <si>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</si>
  <si>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</si>
  <si>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</si>
  <si>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</si>
  <si>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</si>
  <si>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</si>
  <si>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</si>
  <si>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</si>
  <si>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</si>
  <si>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</si>
  <si>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</si>
  <si>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</si>
  <si>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</si>
  <si>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</si>
  <si>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</si>
  <si>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</si>
  <si>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72039</t>
  </si>
  <si>
    <t>HOUTHALEN-HELCHTEREN</t>
  </si>
  <si>
    <t>Paarden&amp;pony's 200 - 600 kg</t>
  </si>
  <si>
    <t>Paarden&amp;pony's &lt; 200 kg</t>
  </si>
  <si>
    <t>referentietaak LNE (2017); Jaarverslag De Lijn (2015)</t>
  </si>
  <si>
    <t>op basis van VEA (maart 2018) en Inventaris Hernieuwbare Energiebronnen (juni 2018)</t>
  </si>
  <si>
    <t>VEA (januari 2017)</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</si>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</sst>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248902.96154157288</c:v>
                </c:pt>
                <c:pt idx="1">
                  <c:v>121338.05112779446</c:v>
                </c:pt>
                <c:pt idx="2">
                  <c:v>1630.0340000000001</c:v>
                </c:pt>
                <c:pt idx="3">
                  <c:v>21512.649071419561</c:v>
                </c:pt>
                <c:pt idx="4">
                  <c:v>75465.936398076854</c:v>
                </c:pt>
                <c:pt idx="5">
                  <c:v>217629.49479797317</c:v>
                </c:pt>
                <c:pt idx="6">
                  <c:v>4066.2304447408669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248902.96154157288</c:v>
                </c:pt>
                <c:pt idx="1">
                  <c:v>121338.05112779446</c:v>
                </c:pt>
                <c:pt idx="2">
                  <c:v>1630.0340000000001</c:v>
                </c:pt>
                <c:pt idx="3">
                  <c:v>21512.649071419561</c:v>
                </c:pt>
                <c:pt idx="4">
                  <c:v>75465.936398076854</c:v>
                </c:pt>
                <c:pt idx="5">
                  <c:v>217629.49479797317</c:v>
                </c:pt>
                <c:pt idx="6">
                  <c:v>4066.2304447408669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47741.778148253354</c:v>
                </c:pt>
                <c:pt idx="2">
                  <c:v>22237.542131702856</c:v>
                </c:pt>
                <c:pt idx="3">
                  <c:v>249.75029340849701</c:v>
                </c:pt>
                <c:pt idx="4">
                  <c:v>747.66373099614407</c:v>
                </c:pt>
                <c:pt idx="5">
                  <c:v>13198.317640989098</c:v>
                </c:pt>
                <c:pt idx="6">
                  <c:v>55675.652029869911</c:v>
                </c:pt>
                <c:pt idx="7">
                  <c:v>1053.021167917118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78639616"/>
      </c:barChart>
      <c:catAx>
        <c:axId val="149879808"/>
        <c:scaling>
          <c:orientation val="minMax"/>
        </c:scaling>
        <c:axPos val="b"/>
        <c:numFmt formatCode="General" sourceLinked="0"/>
        <c:tickLblPos val="nextTo"/>
        <c:crossAx val="178639616"/>
        <c:crosses val="autoZero"/>
        <c:auto val="1"/>
        <c:lblAlgn val="ctr"/>
        <c:lblOffset val="100"/>
      </c:catAx>
      <c:valAx>
        <c:axId val="178639616"/>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47741.778148253354</c:v>
                </c:pt>
                <c:pt idx="2">
                  <c:v>22237.542131702856</c:v>
                </c:pt>
                <c:pt idx="3">
                  <c:v>249.75029340849701</c:v>
                </c:pt>
                <c:pt idx="4">
                  <c:v>747.66373099614407</c:v>
                </c:pt>
                <c:pt idx="5">
                  <c:v>13198.317640989098</c:v>
                </c:pt>
                <c:pt idx="6">
                  <c:v>55675.652029869911</c:v>
                </c:pt>
                <c:pt idx="7">
                  <c:v>1053.021167917118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0.15321784294591217</v>
      </c>
      <c r="C17" s="524">
        <f ca="1">'EF ele_warmte'!B22</f>
        <v>1.0595728737354817E-2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0.15321784294591217</v>
      </c>
      <c r="C29" s="525">
        <f ca="1">'EF ele_warmte'!B22</f>
        <v>1.0595728737354817E-2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11693</v>
      </c>
      <c r="C9" s="342">
        <v>11709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2720.28</v>
      </c>
    </row>
    <row r="15" spans="1:6">
      <c r="A15" s="348" t="s">
        <v>184</v>
      </c>
      <c r="B15" s="334">
        <v>1205</v>
      </c>
    </row>
    <row r="16" spans="1:6">
      <c r="A16" s="348" t="s">
        <v>6</v>
      </c>
      <c r="B16" s="334">
        <v>358</v>
      </c>
    </row>
    <row r="17" spans="1:6">
      <c r="A17" s="348" t="s">
        <v>7</v>
      </c>
      <c r="B17" s="334">
        <v>23</v>
      </c>
    </row>
    <row r="18" spans="1:6">
      <c r="A18" s="348" t="s">
        <v>8</v>
      </c>
      <c r="B18" s="334">
        <v>211</v>
      </c>
    </row>
    <row r="19" spans="1:6">
      <c r="A19" s="348" t="s">
        <v>9</v>
      </c>
      <c r="B19" s="334">
        <v>185</v>
      </c>
    </row>
    <row r="20" spans="1:6">
      <c r="A20" s="348" t="s">
        <v>10</v>
      </c>
      <c r="B20" s="334">
        <v>75</v>
      </c>
    </row>
    <row r="21" spans="1:6">
      <c r="A21" s="348" t="s">
        <v>11</v>
      </c>
      <c r="B21" s="334">
        <v>4671</v>
      </c>
    </row>
    <row r="22" spans="1:6">
      <c r="A22" s="348" t="s">
        <v>12</v>
      </c>
      <c r="B22" s="334">
        <v>2853</v>
      </c>
    </row>
    <row r="23" spans="1:6">
      <c r="A23" s="348" t="s">
        <v>13</v>
      </c>
      <c r="B23" s="334">
        <v>26</v>
      </c>
    </row>
    <row r="24" spans="1:6">
      <c r="A24" s="348" t="s">
        <v>14</v>
      </c>
      <c r="B24" s="334">
        <v>0</v>
      </c>
    </row>
    <row r="25" spans="1:6">
      <c r="A25" s="348" t="s">
        <v>15</v>
      </c>
      <c r="B25" s="334">
        <v>0</v>
      </c>
    </row>
    <row r="26" spans="1:6">
      <c r="A26" s="348" t="s">
        <v>16</v>
      </c>
      <c r="B26" s="334">
        <v>1180</v>
      </c>
    </row>
    <row r="27" spans="1:6">
      <c r="A27" s="348" t="s">
        <v>17</v>
      </c>
      <c r="B27" s="334">
        <v>25</v>
      </c>
    </row>
    <row r="28" spans="1:6" s="356" customFormat="1">
      <c r="A28" s="355" t="s">
        <v>18</v>
      </c>
      <c r="B28" s="355">
        <v>30313</v>
      </c>
    </row>
    <row r="29" spans="1:6">
      <c r="A29" s="355" t="s">
        <v>884</v>
      </c>
      <c r="B29" s="355">
        <v>72</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4587</v>
      </c>
    </row>
    <row r="37" spans="1:6">
      <c r="A37" s="348" t="s">
        <v>25</v>
      </c>
      <c r="B37" s="348" t="s">
        <v>28</v>
      </c>
      <c r="C37" s="334">
        <v>0</v>
      </c>
      <c r="D37" s="334">
        <v>0</v>
      </c>
      <c r="E37" s="334">
        <v>4</v>
      </c>
      <c r="F37" s="334">
        <v>189139</v>
      </c>
    </row>
    <row r="38" spans="1:6">
      <c r="A38" s="348" t="s">
        <v>25</v>
      </c>
      <c r="B38" s="348" t="s">
        <v>29</v>
      </c>
      <c r="C38" s="334">
        <v>0</v>
      </c>
      <c r="D38" s="334">
        <v>160163</v>
      </c>
      <c r="E38" s="334">
        <v>0</v>
      </c>
      <c r="F38" s="334">
        <v>28686</v>
      </c>
    </row>
    <row r="39" spans="1:6">
      <c r="A39" s="348" t="s">
        <v>30</v>
      </c>
      <c r="B39" s="348" t="s">
        <v>31</v>
      </c>
      <c r="C39" s="334">
        <v>6185</v>
      </c>
      <c r="D39" s="334">
        <v>91622977</v>
      </c>
      <c r="E39" s="334">
        <v>11725</v>
      </c>
      <c r="F39" s="334">
        <v>38921485</v>
      </c>
    </row>
    <row r="40" spans="1:6">
      <c r="A40" s="348" t="s">
        <v>30</v>
      </c>
      <c r="B40" s="348" t="s">
        <v>29</v>
      </c>
      <c r="C40" s="334">
        <v>0</v>
      </c>
      <c r="D40" s="334">
        <v>0</v>
      </c>
      <c r="E40" s="334">
        <v>0</v>
      </c>
      <c r="F40" s="334">
        <v>0</v>
      </c>
    </row>
    <row r="41" spans="1:6">
      <c r="A41" s="348" t="s">
        <v>32</v>
      </c>
      <c r="B41" s="348" t="s">
        <v>33</v>
      </c>
      <c r="C41" s="334">
        <v>105</v>
      </c>
      <c r="D41" s="334">
        <v>11369482</v>
      </c>
      <c r="E41" s="334">
        <v>192</v>
      </c>
      <c r="F41" s="334">
        <v>6099524</v>
      </c>
    </row>
    <row r="42" spans="1:6">
      <c r="A42" s="348" t="s">
        <v>32</v>
      </c>
      <c r="B42" s="348" t="s">
        <v>34</v>
      </c>
      <c r="C42" s="334">
        <v>0</v>
      </c>
      <c r="D42" s="334">
        <v>0</v>
      </c>
      <c r="E42" s="334">
        <v>6</v>
      </c>
      <c r="F42" s="334">
        <v>3438005</v>
      </c>
    </row>
    <row r="43" spans="1:6">
      <c r="A43" s="348" t="s">
        <v>32</v>
      </c>
      <c r="B43" s="348" t="s">
        <v>35</v>
      </c>
      <c r="C43" s="334">
        <v>0</v>
      </c>
      <c r="D43" s="334">
        <v>0</v>
      </c>
      <c r="E43" s="334">
        <v>0</v>
      </c>
      <c r="F43" s="334">
        <v>0</v>
      </c>
    </row>
    <row r="44" spans="1:6">
      <c r="A44" s="348" t="s">
        <v>32</v>
      </c>
      <c r="B44" s="348" t="s">
        <v>36</v>
      </c>
      <c r="C44" s="334">
        <v>26</v>
      </c>
      <c r="D44" s="334">
        <v>12380851</v>
      </c>
      <c r="E44" s="334">
        <v>34</v>
      </c>
      <c r="F44" s="334">
        <v>11482841</v>
      </c>
    </row>
    <row r="45" spans="1:6">
      <c r="A45" s="348" t="s">
        <v>32</v>
      </c>
      <c r="B45" s="348" t="s">
        <v>37</v>
      </c>
      <c r="C45" s="334">
        <v>6</v>
      </c>
      <c r="D45" s="334">
        <v>4621305</v>
      </c>
      <c r="E45" s="334">
        <v>13</v>
      </c>
      <c r="F45" s="334">
        <v>3997034</v>
      </c>
    </row>
    <row r="46" spans="1:6">
      <c r="A46" s="348" t="s">
        <v>32</v>
      </c>
      <c r="B46" s="348" t="s">
        <v>38</v>
      </c>
      <c r="C46" s="334">
        <v>0</v>
      </c>
      <c r="D46" s="334">
        <v>0</v>
      </c>
      <c r="E46" s="334">
        <v>0</v>
      </c>
      <c r="F46" s="334">
        <v>0</v>
      </c>
    </row>
    <row r="47" spans="1:6">
      <c r="A47" s="348" t="s">
        <v>32</v>
      </c>
      <c r="B47" s="348" t="s">
        <v>39</v>
      </c>
      <c r="C47" s="334">
        <v>8</v>
      </c>
      <c r="D47" s="334">
        <v>347580</v>
      </c>
      <c r="E47" s="334">
        <v>8</v>
      </c>
      <c r="F47" s="334">
        <v>1979481</v>
      </c>
    </row>
    <row r="48" spans="1:6">
      <c r="A48" s="348" t="s">
        <v>32</v>
      </c>
      <c r="B48" s="348" t="s">
        <v>29</v>
      </c>
      <c r="C48" s="334">
        <v>0</v>
      </c>
      <c r="D48" s="334">
        <v>1511732</v>
      </c>
      <c r="E48" s="334">
        <v>0</v>
      </c>
      <c r="F48" s="334">
        <v>0</v>
      </c>
    </row>
    <row r="49" spans="1:6">
      <c r="A49" s="348" t="s">
        <v>32</v>
      </c>
      <c r="B49" s="348" t="s">
        <v>40</v>
      </c>
      <c r="C49" s="334">
        <v>5</v>
      </c>
      <c r="D49" s="334">
        <v>712614</v>
      </c>
      <c r="E49" s="334">
        <v>3</v>
      </c>
      <c r="F49" s="334">
        <v>204243</v>
      </c>
    </row>
    <row r="50" spans="1:6">
      <c r="A50" s="348" t="s">
        <v>32</v>
      </c>
      <c r="B50" s="348" t="s">
        <v>41</v>
      </c>
      <c r="C50" s="334">
        <v>5</v>
      </c>
      <c r="D50" s="334">
        <v>395418</v>
      </c>
      <c r="E50" s="334">
        <v>11</v>
      </c>
      <c r="F50" s="334">
        <v>549956</v>
      </c>
    </row>
    <row r="51" spans="1:6">
      <c r="A51" s="348" t="s">
        <v>42</v>
      </c>
      <c r="B51" s="348" t="s">
        <v>43</v>
      </c>
      <c r="C51" s="334">
        <v>3</v>
      </c>
      <c r="D51" s="334">
        <v>102841</v>
      </c>
      <c r="E51" s="334">
        <v>22</v>
      </c>
      <c r="F51" s="334">
        <v>442321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150</v>
      </c>
      <c r="F54" s="334">
        <v>1630034</v>
      </c>
    </row>
    <row r="55" spans="1:6">
      <c r="A55" s="348" t="s">
        <v>46</v>
      </c>
      <c r="B55" s="348" t="s">
        <v>29</v>
      </c>
      <c r="C55" s="334">
        <v>0</v>
      </c>
      <c r="D55" s="334">
        <v>0</v>
      </c>
      <c r="E55" s="334">
        <v>0</v>
      </c>
      <c r="F55" s="334">
        <v>0</v>
      </c>
    </row>
    <row r="56" spans="1:6">
      <c r="A56" s="348" t="s">
        <v>48</v>
      </c>
      <c r="B56" s="348" t="s">
        <v>29</v>
      </c>
      <c r="C56" s="334">
        <v>77</v>
      </c>
      <c r="D56" s="334">
        <v>1756859</v>
      </c>
      <c r="E56" s="334">
        <v>197</v>
      </c>
      <c r="F56" s="334">
        <v>887135</v>
      </c>
    </row>
    <row r="57" spans="1:6">
      <c r="A57" s="348" t="s">
        <v>49</v>
      </c>
      <c r="B57" s="348" t="s">
        <v>50</v>
      </c>
      <c r="C57" s="334">
        <v>76</v>
      </c>
      <c r="D57" s="334">
        <v>17411812</v>
      </c>
      <c r="E57" s="334">
        <v>133</v>
      </c>
      <c r="F57" s="334">
        <v>19287194</v>
      </c>
    </row>
    <row r="58" spans="1:6">
      <c r="A58" s="348" t="s">
        <v>49</v>
      </c>
      <c r="B58" s="348" t="s">
        <v>51</v>
      </c>
      <c r="C58" s="334">
        <v>15</v>
      </c>
      <c r="D58" s="334">
        <v>748304</v>
      </c>
      <c r="E58" s="334">
        <v>73</v>
      </c>
      <c r="F58" s="334">
        <v>1530831</v>
      </c>
    </row>
    <row r="59" spans="1:6">
      <c r="A59" s="348" t="s">
        <v>49</v>
      </c>
      <c r="B59" s="348" t="s">
        <v>52</v>
      </c>
      <c r="C59" s="334">
        <v>164</v>
      </c>
      <c r="D59" s="334">
        <v>7775447</v>
      </c>
      <c r="E59" s="334">
        <v>324</v>
      </c>
      <c r="F59" s="334">
        <v>13027472</v>
      </c>
    </row>
    <row r="60" spans="1:6">
      <c r="A60" s="348" t="s">
        <v>49</v>
      </c>
      <c r="B60" s="348" t="s">
        <v>53</v>
      </c>
      <c r="C60" s="334">
        <v>63</v>
      </c>
      <c r="D60" s="334">
        <v>8759640</v>
      </c>
      <c r="E60" s="334">
        <v>128</v>
      </c>
      <c r="F60" s="334">
        <v>5794518</v>
      </c>
    </row>
    <row r="61" spans="1:6">
      <c r="A61" s="348" t="s">
        <v>49</v>
      </c>
      <c r="B61" s="348" t="s">
        <v>54</v>
      </c>
      <c r="C61" s="334">
        <v>181</v>
      </c>
      <c r="D61" s="334">
        <v>11577704</v>
      </c>
      <c r="E61" s="334">
        <v>464</v>
      </c>
      <c r="F61" s="334">
        <v>7698235</v>
      </c>
    </row>
    <row r="62" spans="1:6">
      <c r="A62" s="348" t="s">
        <v>49</v>
      </c>
      <c r="B62" s="348" t="s">
        <v>55</v>
      </c>
      <c r="C62" s="334">
        <v>27</v>
      </c>
      <c r="D62" s="334">
        <v>4397464</v>
      </c>
      <c r="E62" s="334">
        <v>31</v>
      </c>
      <c r="F62" s="334">
        <v>1069679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5715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346451</v>
      </c>
      <c r="E68" s="334">
        <v>14</v>
      </c>
      <c r="F68" s="334">
        <v>401622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144150569</v>
      </c>
      <c r="E73" s="475">
        <v>172020333.71947557</v>
      </c>
    </row>
    <row r="74" spans="1:6">
      <c r="A74" s="348" t="s">
        <v>64</v>
      </c>
      <c r="B74" s="348" t="s">
        <v>667</v>
      </c>
      <c r="C74" s="1294" t="s">
        <v>669</v>
      </c>
      <c r="D74" s="475">
        <v>11707865.968909888</v>
      </c>
      <c r="E74" s="475">
        <v>13025749.361394526</v>
      </c>
    </row>
    <row r="75" spans="1:6">
      <c r="A75" s="348" t="s">
        <v>65</v>
      </c>
      <c r="B75" s="348" t="s">
        <v>666</v>
      </c>
      <c r="C75" s="1294" t="s">
        <v>670</v>
      </c>
      <c r="D75" s="475">
        <v>50884828</v>
      </c>
      <c r="E75" s="475">
        <v>60559428.11947035</v>
      </c>
    </row>
    <row r="76" spans="1:6">
      <c r="A76" s="348" t="s">
        <v>65</v>
      </c>
      <c r="B76" s="348" t="s">
        <v>667</v>
      </c>
      <c r="C76" s="1294" t="s">
        <v>671</v>
      </c>
      <c r="D76" s="475">
        <v>716271.96890988748</v>
      </c>
      <c r="E76" s="475">
        <v>736577.93508504762</v>
      </c>
    </row>
    <row r="77" spans="1:6">
      <c r="A77" s="348" t="s">
        <v>66</v>
      </c>
      <c r="B77" s="348" t="s">
        <v>666</v>
      </c>
      <c r="C77" s="1294" t="s">
        <v>672</v>
      </c>
      <c r="D77" s="475">
        <v>46451024</v>
      </c>
      <c r="E77" s="475">
        <v>51640286.141877636</v>
      </c>
    </row>
    <row r="78" spans="1:6">
      <c r="A78" s="341" t="s">
        <v>66</v>
      </c>
      <c r="B78" s="341" t="s">
        <v>667</v>
      </c>
      <c r="C78" s="341" t="s">
        <v>673</v>
      </c>
      <c r="D78" s="1295">
        <v>8181865</v>
      </c>
      <c r="E78" s="1295">
        <v>8519025.1542662494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1092134.062180225</v>
      </c>
      <c r="C83" s="475">
        <v>1092134.062180225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8219.2220600657183</v>
      </c>
    </row>
    <row r="92" spans="1:6">
      <c r="A92" s="341" t="s">
        <v>69</v>
      </c>
      <c r="B92" s="342">
        <v>7326.7190589743295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378</v>
      </c>
    </row>
    <row r="130" spans="1:6">
      <c r="A130" s="348" t="s">
        <v>295</v>
      </c>
      <c r="B130" s="334">
        <v>1</v>
      </c>
    </row>
    <row r="131" spans="1:6">
      <c r="A131" s="348" t="s">
        <v>296</v>
      </c>
      <c r="B131" s="334">
        <v>4</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141278.29883914124</v>
      </c>
      <c r="C3" s="43" t="s">
        <v>170</v>
      </c>
      <c r="D3" s="43"/>
      <c r="E3" s="154"/>
      <c r="F3" s="43"/>
      <c r="G3" s="43"/>
      <c r="H3" s="43"/>
      <c r="I3" s="43"/>
      <c r="J3" s="43"/>
      <c r="K3" s="96"/>
    </row>
    <row r="4" spans="1:11">
      <c r="A4" s="383" t="s">
        <v>171</v>
      </c>
      <c r="B4" s="49">
        <f>IF(ISERROR('SEAP template'!B78+'SEAP template'!C78),0,'SEAP template'!B78+'SEAP template'!C78)</f>
        <v>44008.44111904005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149.71764705882356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0.15321784294591217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20185.714285714286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1.0595728737354817E-2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0.15321784294591217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249.75029340849701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38921.485000000001</v>
      </c>
      <c r="C5" s="17">
        <f>IF(ISERROR('Eigen informatie GS &amp; warmtenet'!B57),0,'Eigen informatie GS &amp; warmtenet'!B57)</f>
        <v>0</v>
      </c>
      <c r="D5" s="30">
        <f>(SUM(HH_hh_gas_kWh,HH_rest_gas_kWh)/1000)*0.902</f>
        <v>82643.925254000002</v>
      </c>
      <c r="E5" s="17">
        <f>B46*B57</f>
        <v>4441.725063562837</v>
      </c>
      <c r="F5" s="17">
        <f>B51*B62</f>
        <v>85455.566317708552</v>
      </c>
      <c r="G5" s="18"/>
      <c r="H5" s="17"/>
      <c r="I5" s="17"/>
      <c r="J5" s="17">
        <f>B50*B61+C50*C61</f>
        <v>0</v>
      </c>
      <c r="K5" s="17"/>
      <c r="L5" s="17"/>
      <c r="M5" s="17"/>
      <c r="N5" s="17">
        <f>B48*B59+C48*C59</f>
        <v>27594.857846235736</v>
      </c>
      <c r="O5" s="17">
        <f>B69*B70*B71</f>
        <v>634.71333333333337</v>
      </c>
      <c r="P5" s="17">
        <f>B77*B78*B79/1000-B77*B78*B79/1000/B80</f>
        <v>991.4666666666667</v>
      </c>
    </row>
    <row r="6" spans="1:16">
      <c r="A6" s="16" t="s">
        <v>624</v>
      </c>
      <c r="B6" s="788">
        <f>kWh_PV_kleiner_dan_10kW</f>
        <v>8219.2220600657183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47140.707060065717</v>
      </c>
      <c r="C8" s="21">
        <f>C5</f>
        <v>0</v>
      </c>
      <c r="D8" s="21">
        <f>D5</f>
        <v>82643.925254000002</v>
      </c>
      <c r="E8" s="21">
        <f>E5</f>
        <v>4441.725063562837</v>
      </c>
      <c r="F8" s="21">
        <f>F5</f>
        <v>85455.566317708552</v>
      </c>
      <c r="G8" s="21"/>
      <c r="H8" s="21"/>
      <c r="I8" s="21"/>
      <c r="J8" s="21">
        <f>J5</f>
        <v>0</v>
      </c>
      <c r="K8" s="21"/>
      <c r="L8" s="21">
        <f>L5</f>
        <v>0</v>
      </c>
      <c r="M8" s="21">
        <f>M5</f>
        <v>0</v>
      </c>
      <c r="N8" s="21">
        <f>N5</f>
        <v>27594.857846235736</v>
      </c>
      <c r="O8" s="21">
        <f>O5</f>
        <v>634.71333333333337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0.15321784294591217</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7222.797450688402</v>
      </c>
      <c r="C12" s="23">
        <f ca="1">C10*C8</f>
        <v>0</v>
      </c>
      <c r="D12" s="23">
        <f>D8*D10</f>
        <v>16694.072901308002</v>
      </c>
      <c r="E12" s="23">
        <f>E10*E8</f>
        <v>1008.2715894287641</v>
      </c>
      <c r="F12" s="23">
        <f>F10*F8</f>
        <v>22816.636206828185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11693</v>
      </c>
      <c r="C28" s="36"/>
      <c r="D28" s="228"/>
    </row>
    <row r="29" spans="1:7" s="15" customFormat="1">
      <c r="A29" s="230" t="s">
        <v>699</v>
      </c>
      <c r="B29" s="37">
        <f>SUM(HH_hh_gas_aantal,HH_rest_gas_aantal)</f>
        <v>6185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6185</v>
      </c>
      <c r="C32" s="167">
        <f>IF(ISERROR(B32/SUM($B$32,$B$34,$B$35,$B$36,$B$38,$B$39)*100),0,B32/SUM($B$32,$B$34,$B$35,$B$36,$B$38,$B$39)*100)</f>
        <v>53.131174297740749</v>
      </c>
      <c r="D32" s="233"/>
      <c r="G32" s="15"/>
    </row>
    <row r="33" spans="1:7">
      <c r="A33" s="171" t="s">
        <v>72</v>
      </c>
      <c r="B33" s="34" t="s">
        <v>111</v>
      </c>
      <c r="C33" s="167"/>
      <c r="D33" s="233"/>
      <c r="G33" s="15"/>
    </row>
    <row r="34" spans="1:7">
      <c r="A34" s="171" t="s">
        <v>73</v>
      </c>
      <c r="B34" s="33">
        <f>IF((($B$28-$B$32-$B$39-$B$77-$B$38)*C20/100)&lt;0,0,($B$28-$B$32-$B$39-$B$77-$B$38)*C20/100)</f>
        <v>196.38107255520504</v>
      </c>
      <c r="C34" s="167">
        <f>IF(ISERROR(B34/SUM($B$32,$B$34,$B$35,$B$36,$B$38,$B$39)*100),0,B34/SUM($B$32,$B$34,$B$35,$B$36,$B$38,$B$39)*100)</f>
        <v>1.6869776870990898</v>
      </c>
      <c r="D34" s="233"/>
      <c r="G34" s="15"/>
    </row>
    <row r="35" spans="1:7">
      <c r="A35" s="171" t="s">
        <v>74</v>
      </c>
      <c r="B35" s="33">
        <f>IF((($B$28-$B$32-$B$39-$B$77-$B$38)*C21/100)&lt;0,0,($B$28-$B$32-$B$39-$B$77-$B$38)*C21/100)</f>
        <v>1319.4353312302837</v>
      </c>
      <c r="C35" s="167">
        <f>IF(ISERROR(B35/SUM($B$32,$B$34,$B$35,$B$36,$B$38,$B$39)*100),0,B35/SUM($B$32,$B$34,$B$35,$B$36,$B$38,$B$39)*100)</f>
        <v>11.334381335197008</v>
      </c>
      <c r="D35" s="233"/>
      <c r="G35" s="15"/>
    </row>
    <row r="36" spans="1:7">
      <c r="A36" s="171" t="s">
        <v>75</v>
      </c>
      <c r="B36" s="33">
        <f>IF((($B$28-$B$32-$B$39-$B$77-$B$38)*C22/100)&lt;0,0,($B$28-$B$32-$B$39-$B$77-$B$38)*C22/100)</f>
        <v>429.58359621451098</v>
      </c>
      <c r="C36" s="167">
        <f>IF(ISERROR(B36/SUM($B$32,$B$34,$B$35,$B$36,$B$38,$B$39)*100),0,B36/SUM($B$32,$B$34,$B$35,$B$36,$B$38,$B$39)*100)</f>
        <v>3.6902636905292585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3510.6</v>
      </c>
      <c r="C39" s="167">
        <f>IF(ISERROR(B39/SUM($B$32,$B$34,$B$35,$B$36,$B$38,$B$39)*100),0,B39/SUM($B$32,$B$34,$B$35,$B$36,$B$38,$B$39)*100)</f>
        <v>30.157202989433895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6185</v>
      </c>
      <c r="C44" s="34" t="s">
        <v>111</v>
      </c>
      <c r="D44" s="174"/>
    </row>
    <row r="45" spans="1:7">
      <c r="A45" s="171" t="s">
        <v>72</v>
      </c>
      <c r="B45" s="33" t="str">
        <f t="shared" si="0"/>
        <v>-</v>
      </c>
      <c r="C45" s="34" t="s">
        <v>111</v>
      </c>
      <c r="D45" s="174"/>
    </row>
    <row r="46" spans="1:7">
      <c r="A46" s="171" t="s">
        <v>73</v>
      </c>
      <c r="B46" s="33">
        <f t="shared" si="0"/>
        <v>196.38107255520504</v>
      </c>
      <c r="C46" s="34" t="s">
        <v>111</v>
      </c>
      <c r="D46" s="174"/>
    </row>
    <row r="47" spans="1:7">
      <c r="A47" s="171" t="s">
        <v>74</v>
      </c>
      <c r="B47" s="33">
        <f t="shared" si="0"/>
        <v>1319.4353312302837</v>
      </c>
      <c r="C47" s="34" t="s">
        <v>111</v>
      </c>
      <c r="D47" s="174"/>
    </row>
    <row r="48" spans="1:7">
      <c r="A48" s="171" t="s">
        <v>75</v>
      </c>
      <c r="B48" s="33">
        <f t="shared" si="0"/>
        <v>429.58359621451098</v>
      </c>
      <c r="C48" s="33">
        <f>B48*10</f>
        <v>4295.83596214511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3510.6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48407.929000000004</v>
      </c>
      <c r="C5" s="17">
        <f>IF(ISERROR('Eigen informatie GS &amp; warmtenet'!B58),0,'Eigen informatie GS &amp; warmtenet'!B58)</f>
        <v>0</v>
      </c>
      <c r="D5" s="30">
        <f>SUM(D6:D12)</f>
        <v>45704.674642000005</v>
      </c>
      <c r="E5" s="17">
        <f>SUM(E6:E12)</f>
        <v>734.79278923550589</v>
      </c>
      <c r="F5" s="17">
        <f>SUM(F6:F12)</f>
        <v>12080.32469655895</v>
      </c>
      <c r="G5" s="18"/>
      <c r="H5" s="17"/>
      <c r="I5" s="17"/>
      <c r="J5" s="17">
        <f>SUM(J6:J12)</f>
        <v>0</v>
      </c>
      <c r="K5" s="17"/>
      <c r="L5" s="17"/>
      <c r="M5" s="17"/>
      <c r="N5" s="17">
        <f>SUM(N6:N12)</f>
        <v>15244.160074681338</v>
      </c>
      <c r="O5" s="17">
        <f>B38*B39*B40</f>
        <v>1.5633333333333335</v>
      </c>
      <c r="P5" s="17">
        <f>B46*B47*B48/1000-B46*B47*B48/1000/B49</f>
        <v>76.266666666666666</v>
      </c>
      <c r="R5" s="32"/>
    </row>
    <row r="6" spans="1:18">
      <c r="A6" s="32" t="s">
        <v>54</v>
      </c>
      <c r="B6" s="37">
        <f>B26</f>
        <v>7698.2349999999997</v>
      </c>
      <c r="C6" s="33"/>
      <c r="D6" s="37">
        <f>IF(ISERROR(TER_kantoor_gas_kWh/1000),0,TER_kantoor_gas_kWh/1000)*0.902</f>
        <v>10443.089008000001</v>
      </c>
      <c r="E6" s="33">
        <f>$C$26*'E Balans VL '!I12/100/3.6*1000000</f>
        <v>100.77937900046855</v>
      </c>
      <c r="F6" s="33">
        <f>$C$26*('E Balans VL '!L12+'E Balans VL '!N12)/100/3.6*1000000</f>
        <v>1962.9703744111146</v>
      </c>
      <c r="G6" s="34"/>
      <c r="H6" s="33"/>
      <c r="I6" s="33"/>
      <c r="J6" s="33">
        <f>$C$26*('E Balans VL '!D12+'E Balans VL '!E12)/100/3.6*1000000</f>
        <v>0</v>
      </c>
      <c r="K6" s="33"/>
      <c r="L6" s="33"/>
      <c r="M6" s="33"/>
      <c r="N6" s="33">
        <f>$C$26*'E Balans VL '!Y12/100/3.6*1000000</f>
        <v>7.724158394023406</v>
      </c>
      <c r="O6" s="33"/>
      <c r="P6" s="33"/>
      <c r="R6" s="32"/>
    </row>
    <row r="7" spans="1:18">
      <c r="A7" s="32" t="s">
        <v>53</v>
      </c>
      <c r="B7" s="37">
        <f t="shared" ref="B7:B12" si="0">B27</f>
        <v>5794.518</v>
      </c>
      <c r="C7" s="33"/>
      <c r="D7" s="37">
        <f>IF(ISERROR(TER_horeca_gas_kWh/1000),0,TER_horeca_gas_kWh/1000)*0.902</f>
        <v>7901.1952799999999</v>
      </c>
      <c r="E7" s="33">
        <f>$C$27*'E Balans VL '!I9/100/3.6*1000000</f>
        <v>191.7632989293954</v>
      </c>
      <c r="F7" s="33">
        <f>$C$27*('E Balans VL '!L9+'E Balans VL '!N9)/100/3.6*1000000</f>
        <v>2491.6205327170946</v>
      </c>
      <c r="G7" s="34"/>
      <c r="H7" s="33"/>
      <c r="I7" s="33"/>
      <c r="J7" s="33">
        <f>$C$27*('E Balans VL '!D9+'E Balans VL '!E9)/100/3.6*1000000</f>
        <v>0</v>
      </c>
      <c r="K7" s="33"/>
      <c r="L7" s="33"/>
      <c r="M7" s="33"/>
      <c r="N7" s="33">
        <f>$C$27*'E Balans VL '!Y9/100/3.6*1000000</f>
        <v>1.3948246282355763</v>
      </c>
      <c r="O7" s="33"/>
      <c r="P7" s="33"/>
      <c r="R7" s="32"/>
    </row>
    <row r="8" spans="1:18">
      <c r="A8" s="6" t="s">
        <v>52</v>
      </c>
      <c r="B8" s="37">
        <f t="shared" si="0"/>
        <v>13027.472</v>
      </c>
      <c r="C8" s="33"/>
      <c r="D8" s="37">
        <f>IF(ISERROR(TER_handel_gas_kWh/1000),0,TER_handel_gas_kWh/1000)*0.902</f>
        <v>7013.4531940000006</v>
      </c>
      <c r="E8" s="33">
        <f>$C$28*'E Balans VL '!I13/100/3.6*1000000</f>
        <v>411.1669217047006</v>
      </c>
      <c r="F8" s="33">
        <f>$C$28*('E Balans VL '!L13+'E Balans VL '!N13)/100/3.6*1000000</f>
        <v>2554.9166587395334</v>
      </c>
      <c r="G8" s="34"/>
      <c r="H8" s="33"/>
      <c r="I8" s="33"/>
      <c r="J8" s="33">
        <f>$C$28*('E Balans VL '!D13+'E Balans VL '!E13)/100/3.6*1000000</f>
        <v>0</v>
      </c>
      <c r="K8" s="33"/>
      <c r="L8" s="33"/>
      <c r="M8" s="33"/>
      <c r="N8" s="33">
        <f>$C$28*'E Balans VL '!Y13/100/3.6*1000000</f>
        <v>15.461080011361478</v>
      </c>
      <c r="O8" s="33"/>
      <c r="P8" s="33"/>
      <c r="R8" s="32"/>
    </row>
    <row r="9" spans="1:18">
      <c r="A9" s="32" t="s">
        <v>51</v>
      </c>
      <c r="B9" s="37">
        <f t="shared" si="0"/>
        <v>1530.8309999999999</v>
      </c>
      <c r="C9" s="33"/>
      <c r="D9" s="37">
        <f>IF(ISERROR(TER_gezond_gas_kWh/1000),0,TER_gezond_gas_kWh/1000)*0.902</f>
        <v>674.97020799999996</v>
      </c>
      <c r="E9" s="33">
        <f>$C$29*'E Balans VL '!I10/100/3.6*1000000</f>
        <v>0.19599115146724377</v>
      </c>
      <c r="F9" s="33">
        <f>$C$29*('E Balans VL '!L10+'E Balans VL '!N10)/100/3.6*1000000</f>
        <v>318.93626030732491</v>
      </c>
      <c r="G9" s="34"/>
      <c r="H9" s="33"/>
      <c r="I9" s="33"/>
      <c r="J9" s="33">
        <f>$C$29*('E Balans VL '!D10+'E Balans VL '!E10)/100/3.6*1000000</f>
        <v>0</v>
      </c>
      <c r="K9" s="33"/>
      <c r="L9" s="33"/>
      <c r="M9" s="33"/>
      <c r="N9" s="33">
        <f>$C$29*'E Balans VL '!Y10/100/3.6*1000000</f>
        <v>17.980333660854779</v>
      </c>
      <c r="O9" s="33"/>
      <c r="P9" s="33"/>
      <c r="R9" s="32"/>
    </row>
    <row r="10" spans="1:18">
      <c r="A10" s="32" t="s">
        <v>50</v>
      </c>
      <c r="B10" s="37">
        <f t="shared" si="0"/>
        <v>19287.194</v>
      </c>
      <c r="C10" s="33"/>
      <c r="D10" s="37">
        <f>IF(ISERROR(TER_ander_gas_kWh/1000),0,TER_ander_gas_kWh/1000)*0.902</f>
        <v>15705.454424000001</v>
      </c>
      <c r="E10" s="33">
        <f>$C$30*'E Balans VL '!I14/100/3.6*1000000</f>
        <v>29.003404091683649</v>
      </c>
      <c r="F10" s="33">
        <f>$C$30*('E Balans VL '!L14+'E Balans VL '!N14)/100/3.6*1000000</f>
        <v>4257.9907202743889</v>
      </c>
      <c r="G10" s="34"/>
      <c r="H10" s="33"/>
      <c r="I10" s="33"/>
      <c r="J10" s="33">
        <f>$C$30*('E Balans VL '!D14+'E Balans VL '!E14)/100/3.6*1000000</f>
        <v>0</v>
      </c>
      <c r="K10" s="33"/>
      <c r="L10" s="33"/>
      <c r="M10" s="33"/>
      <c r="N10" s="33">
        <f>$C$30*'E Balans VL '!Y14/100/3.6*1000000</f>
        <v>15199.60685121751</v>
      </c>
      <c r="O10" s="33"/>
      <c r="P10" s="33"/>
      <c r="R10" s="32"/>
    </row>
    <row r="11" spans="1:18">
      <c r="A11" s="32" t="s">
        <v>55</v>
      </c>
      <c r="B11" s="37">
        <f t="shared" si="0"/>
        <v>1069.6790000000001</v>
      </c>
      <c r="C11" s="33"/>
      <c r="D11" s="37">
        <f>IF(ISERROR(TER_onderwijs_gas_kWh/1000),0,TER_onderwijs_gas_kWh/1000)*0.902</f>
        <v>3966.5125280000002</v>
      </c>
      <c r="E11" s="33">
        <f>$C$31*'E Balans VL '!I11/100/3.6*1000000</f>
        <v>1.8837943577903513</v>
      </c>
      <c r="F11" s="33">
        <f>$C$31*('E Balans VL '!L11+'E Balans VL '!N11)/100/3.6*1000000</f>
        <v>493.89015010949208</v>
      </c>
      <c r="G11" s="34"/>
      <c r="H11" s="33"/>
      <c r="I11" s="33"/>
      <c r="J11" s="33">
        <f>$C$31*('E Balans VL '!D11+'E Balans VL '!E11)/100/3.6*1000000</f>
        <v>0</v>
      </c>
      <c r="K11" s="33"/>
      <c r="L11" s="33"/>
      <c r="M11" s="33"/>
      <c r="N11" s="33">
        <f>$C$31*'E Balans VL '!Y11/100/3.6*1000000</f>
        <v>1.9928267693541828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14332.5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-40950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62740.429000000004</v>
      </c>
      <c r="C16" s="21">
        <f t="shared" ca="1" si="1"/>
        <v>0</v>
      </c>
      <c r="D16" s="21">
        <f t="shared" ca="1" si="1"/>
        <v>45704.674642000005</v>
      </c>
      <c r="E16" s="21">
        <f t="shared" si="1"/>
        <v>734.79278923550589</v>
      </c>
      <c r="F16" s="21">
        <f t="shared" ca="1" si="1"/>
        <v>12080.32469655895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0.15321784294591217</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9612.9531968811534</v>
      </c>
      <c r="C20" s="23">
        <f t="shared" ref="C20:P20" ca="1" si="2">C16*C18</f>
        <v>0</v>
      </c>
      <c r="D20" s="23">
        <f t="shared" ca="1" si="2"/>
        <v>9232.344277684002</v>
      </c>
      <c r="E20" s="23">
        <f t="shared" si="2"/>
        <v>166.79796315645984</v>
      </c>
      <c r="F20" s="23">
        <f t="shared" ca="1" si="2"/>
        <v>3225.4466939812396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7698.2349999999997</v>
      </c>
      <c r="C26" s="39">
        <f>IF(ISERROR(B26*3.6/1000000/'E Balans VL '!Z12*100),0,B26*3.6/1000000/'E Balans VL '!Z12*100)</f>
        <v>0.16490217422589265</v>
      </c>
      <c r="D26" s="237" t="s">
        <v>660</v>
      </c>
      <c r="F26" s="6"/>
    </row>
    <row r="27" spans="1:18">
      <c r="A27" s="231" t="s">
        <v>53</v>
      </c>
      <c r="B27" s="33">
        <f>IF(ISERROR(TER_horeca_ele_kWh/1000),0,TER_horeca_ele_kWh/1000)</f>
        <v>5794.518</v>
      </c>
      <c r="C27" s="39">
        <f>IF(ISERROR(B27*3.6/1000000/'E Balans VL '!Z9*100),0,B27*3.6/1000000/'E Balans VL '!Z9*100)</f>
        <v>0.46498992796102001</v>
      </c>
      <c r="D27" s="237" t="s">
        <v>660</v>
      </c>
      <c r="F27" s="6"/>
    </row>
    <row r="28" spans="1:18">
      <c r="A28" s="171" t="s">
        <v>52</v>
      </c>
      <c r="B28" s="33">
        <f>IF(ISERROR(TER_handel_ele_kWh/1000),0,TER_handel_ele_kWh/1000)</f>
        <v>13027.472</v>
      </c>
      <c r="C28" s="39">
        <f>IF(ISERROR(B28*3.6/1000000/'E Balans VL '!Z13*100),0,B28*3.6/1000000/'E Balans VL '!Z13*100)</f>
        <v>0.38423570140105029</v>
      </c>
      <c r="D28" s="237" t="s">
        <v>660</v>
      </c>
      <c r="F28" s="6"/>
    </row>
    <row r="29" spans="1:18">
      <c r="A29" s="231" t="s">
        <v>51</v>
      </c>
      <c r="B29" s="33">
        <f>IF(ISERROR(TER_gezond_ele_kWh/1000),0,TER_gezond_ele_kWh/1000)</f>
        <v>1530.8309999999999</v>
      </c>
      <c r="C29" s="39">
        <f>IF(ISERROR(B29*3.6/1000000/'E Balans VL '!Z10*100),0,B29*3.6/1000000/'E Balans VL '!Z10*100)</f>
        <v>0.16345170768178571</v>
      </c>
      <c r="D29" s="237" t="s">
        <v>660</v>
      </c>
      <c r="F29" s="6"/>
    </row>
    <row r="30" spans="1:18">
      <c r="A30" s="231" t="s">
        <v>50</v>
      </c>
      <c r="B30" s="33">
        <f>IF(ISERROR(TER_ander_ele_kWh/1000),0,TER_ander_ele_kWh/1000)</f>
        <v>19287.194</v>
      </c>
      <c r="C30" s="39">
        <f>IF(ISERROR(B30*3.6/1000000/'E Balans VL '!Z14*100),0,B30*3.6/1000000/'E Balans VL '!Z14*100)</f>
        <v>1.4568375005758287</v>
      </c>
      <c r="D30" s="237" t="s">
        <v>660</v>
      </c>
      <c r="F30" s="6"/>
    </row>
    <row r="31" spans="1:18">
      <c r="A31" s="231" t="s">
        <v>55</v>
      </c>
      <c r="B31" s="33">
        <f>IF(ISERROR(TER_onderwijs_ele_kWh/1000),0,TER_onderwijs_ele_kWh/1000)</f>
        <v>1069.6790000000001</v>
      </c>
      <c r="C31" s="39">
        <f>IF(ISERROR(B31*3.6/1000000/'E Balans VL '!Z11*100),0,B31*3.6/1000000/'E Balans VL '!Z11*100)</f>
        <v>0.21600389874366316</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27751.083999999999</v>
      </c>
      <c r="C5" s="17">
        <f>IF(ISERROR('Eigen informatie GS &amp; warmtenet'!B59),0,'Eigen informatie GS &amp; warmtenet'!B59)</f>
        <v>0</v>
      </c>
      <c r="D5" s="30">
        <f>SUM(D6:D15)</f>
        <v>28267.761763999995</v>
      </c>
      <c r="E5" s="17">
        <f>SUM(E6:E15)</f>
        <v>2085.8476666217248</v>
      </c>
      <c r="F5" s="17">
        <f>SUM(F6:F15)</f>
        <v>11130.182466396504</v>
      </c>
      <c r="G5" s="18"/>
      <c r="H5" s="17"/>
      <c r="I5" s="17"/>
      <c r="J5" s="17">
        <f>SUM(J6:J15)</f>
        <v>137.17231355858755</v>
      </c>
      <c r="K5" s="17"/>
      <c r="L5" s="17"/>
      <c r="M5" s="17"/>
      <c r="N5" s="17">
        <f>SUM(N6:N15)</f>
        <v>6363.8881875000325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11482.841</v>
      </c>
      <c r="C8" s="33"/>
      <c r="D8" s="37">
        <f>IF( ISERROR(IND_metaal_Gas_kWH/1000),0,IND_metaal_Gas_kWH/1000)*0.902</f>
        <v>11167.527602</v>
      </c>
      <c r="E8" s="33">
        <f>C30*'E Balans VL '!I18/100/3.6*1000000</f>
        <v>413.18735712884126</v>
      </c>
      <c r="F8" s="33">
        <f>C30*'E Balans VL '!L18/100/3.6*1000000+C30*'E Balans VL '!N18/100/3.6*1000000</f>
        <v>5014.1844310433517</v>
      </c>
      <c r="G8" s="34"/>
      <c r="H8" s="33"/>
      <c r="I8" s="33"/>
      <c r="J8" s="40">
        <f>C30*'E Balans VL '!D18/100/3.6*1000000+C30*'E Balans VL '!E18/100/3.6*1000000</f>
        <v>0</v>
      </c>
      <c r="K8" s="33"/>
      <c r="L8" s="33"/>
      <c r="M8" s="33"/>
      <c r="N8" s="33">
        <f>C30*'E Balans VL '!Y18/100/3.6*1000000</f>
        <v>575.51218750269368</v>
      </c>
      <c r="O8" s="33"/>
      <c r="P8" s="33"/>
      <c r="R8" s="32"/>
    </row>
    <row r="9" spans="1:18">
      <c r="A9" s="6" t="s">
        <v>33</v>
      </c>
      <c r="B9" s="37">
        <f t="shared" si="0"/>
        <v>6099.5240000000003</v>
      </c>
      <c r="C9" s="33"/>
      <c r="D9" s="37">
        <f>IF( ISERROR(IND_andere_gas_kWh/1000),0,IND_andere_gas_kWh/1000)*0.902</f>
        <v>10255.272763999999</v>
      </c>
      <c r="E9" s="33">
        <f>C31*'E Balans VL '!I19/100/3.6*1000000</f>
        <v>1556.4605192041067</v>
      </c>
      <c r="F9" s="33">
        <f>C31*'E Balans VL '!L19/100/3.6*1000000+C31*'E Balans VL '!N19/100/3.6*1000000</f>
        <v>5251.2317059528414</v>
      </c>
      <c r="G9" s="34"/>
      <c r="H9" s="33"/>
      <c r="I9" s="33"/>
      <c r="J9" s="40">
        <f>C31*'E Balans VL '!D19/100/3.6*1000000+C31*'E Balans VL '!E19/100/3.6*1000000</f>
        <v>0</v>
      </c>
      <c r="K9" s="33"/>
      <c r="L9" s="33"/>
      <c r="M9" s="33"/>
      <c r="N9" s="33">
        <f>C31*'E Balans VL '!Y19/100/3.6*1000000</f>
        <v>1907.5300416811092</v>
      </c>
      <c r="O9" s="33"/>
      <c r="P9" s="33"/>
      <c r="R9" s="32"/>
    </row>
    <row r="10" spans="1:18">
      <c r="A10" s="6" t="s">
        <v>41</v>
      </c>
      <c r="B10" s="37">
        <f t="shared" si="0"/>
        <v>549.95600000000002</v>
      </c>
      <c r="C10" s="33"/>
      <c r="D10" s="37">
        <f>IF( ISERROR(IND_voed_gas_kWh/1000),0,IND_voed_gas_kWh/1000)*0.902</f>
        <v>356.667036</v>
      </c>
      <c r="E10" s="33">
        <f>C32*'E Balans VL '!I20/100/3.6*1000000</f>
        <v>13.980636671471389</v>
      </c>
      <c r="F10" s="33">
        <f>C32*'E Balans VL '!L20/100/3.6*1000000+C32*'E Balans VL '!N20/100/3.6*1000000</f>
        <v>124.44678724848079</v>
      </c>
      <c r="G10" s="34"/>
      <c r="H10" s="33"/>
      <c r="I10" s="33"/>
      <c r="J10" s="40">
        <f>C32*'E Balans VL '!D20/100/3.6*1000000+C32*'E Balans VL '!E20/100/3.6*1000000</f>
        <v>0</v>
      </c>
      <c r="K10" s="33"/>
      <c r="L10" s="33"/>
      <c r="M10" s="33"/>
      <c r="N10" s="33">
        <f>C32*'E Balans VL '!Y20/100/3.6*1000000</f>
        <v>206.24840714373252</v>
      </c>
      <c r="O10" s="33"/>
      <c r="P10" s="33"/>
      <c r="R10" s="32"/>
    </row>
    <row r="11" spans="1:18">
      <c r="A11" s="6" t="s">
        <v>40</v>
      </c>
      <c r="B11" s="37">
        <f t="shared" si="0"/>
        <v>204.24299999999999</v>
      </c>
      <c r="C11" s="33"/>
      <c r="D11" s="37">
        <f>IF( ISERROR(IND_textiel_gas_kWh/1000),0,IND_textiel_gas_kWh/1000)*0.902</f>
        <v>642.777828</v>
      </c>
      <c r="E11" s="33">
        <f>C33*'E Balans VL '!I21/100/3.6*1000000</f>
        <v>0.56070196060969046</v>
      </c>
      <c r="F11" s="33">
        <f>C33*'E Balans VL '!L21/100/3.6*1000000+C33*'E Balans VL '!N21/100/3.6*1000000</f>
        <v>10.828112669739776</v>
      </c>
      <c r="G11" s="34"/>
      <c r="H11" s="33"/>
      <c r="I11" s="33"/>
      <c r="J11" s="40">
        <f>C33*'E Balans VL '!D21/100/3.6*1000000+C33*'E Balans VL '!E21/100/3.6*1000000</f>
        <v>0</v>
      </c>
      <c r="K11" s="33"/>
      <c r="L11" s="33"/>
      <c r="M11" s="33"/>
      <c r="N11" s="33">
        <f>C33*'E Balans VL '!Y21/100/3.6*1000000</f>
        <v>0.41049463133605024</v>
      </c>
      <c r="O11" s="33"/>
      <c r="P11" s="33"/>
      <c r="R11" s="32"/>
    </row>
    <row r="12" spans="1:18">
      <c r="A12" s="6" t="s">
        <v>37</v>
      </c>
      <c r="B12" s="37">
        <f t="shared" si="0"/>
        <v>3997.0340000000001</v>
      </c>
      <c r="C12" s="33"/>
      <c r="D12" s="37">
        <f>IF( ISERROR(IND_min_gas_kWh/1000),0,IND_min_gas_kWh/1000)*0.902</f>
        <v>4168.4171100000003</v>
      </c>
      <c r="E12" s="33">
        <f>C34*'E Balans VL '!I22/100/3.6*1000000</f>
        <v>84.926955044595218</v>
      </c>
      <c r="F12" s="33">
        <f>C34*'E Balans VL '!L22/100/3.6*1000000+C34*'E Balans VL '!N22/100/3.6*1000000</f>
        <v>652.1501602179178</v>
      </c>
      <c r="G12" s="34"/>
      <c r="H12" s="33"/>
      <c r="I12" s="33"/>
      <c r="J12" s="40">
        <f>C34*'E Balans VL '!D22/100/3.6*1000000+C34*'E Balans VL '!E22/100/3.6*1000000</f>
        <v>4.6569176152591645</v>
      </c>
      <c r="K12" s="33"/>
      <c r="L12" s="33"/>
      <c r="M12" s="33"/>
      <c r="N12" s="33">
        <f>C34*'E Balans VL '!Y22/100/3.6*1000000</f>
        <v>0</v>
      </c>
      <c r="O12" s="33"/>
      <c r="P12" s="33"/>
      <c r="R12" s="32"/>
    </row>
    <row r="13" spans="1:18">
      <c r="A13" s="6" t="s">
        <v>39</v>
      </c>
      <c r="B13" s="37">
        <f t="shared" si="0"/>
        <v>1979.481</v>
      </c>
      <c r="C13" s="33"/>
      <c r="D13" s="37">
        <f>IF( ISERROR(IND_papier_gas_kWh/1000),0,IND_papier_gas_kWh/1000)*0.902</f>
        <v>313.51715999999999</v>
      </c>
      <c r="E13" s="33">
        <f>C35*'E Balans VL '!I23/100/3.6*1000000</f>
        <v>8.4894181427748592</v>
      </c>
      <c r="F13" s="33">
        <f>C35*'E Balans VL '!L23/100/3.6*1000000+C35*'E Balans VL '!N23/100/3.6*1000000</f>
        <v>49.750501447901918</v>
      </c>
      <c r="G13" s="34"/>
      <c r="H13" s="33"/>
      <c r="I13" s="33"/>
      <c r="J13" s="40">
        <f>C35*'E Balans VL '!D23/100/3.6*1000000+C35*'E Balans VL '!E23/100/3.6*1000000</f>
        <v>132.51539594332837</v>
      </c>
      <c r="K13" s="33"/>
      <c r="L13" s="33"/>
      <c r="M13" s="33"/>
      <c r="N13" s="33">
        <f>C35*'E Balans VL '!Y23/100/3.6*1000000</f>
        <v>3603.1261585415905</v>
      </c>
      <c r="O13" s="33"/>
      <c r="P13" s="33"/>
      <c r="R13" s="32"/>
    </row>
    <row r="14" spans="1:18">
      <c r="A14" s="6" t="s">
        <v>34</v>
      </c>
      <c r="B14" s="37">
        <f t="shared" si="0"/>
        <v>3438.0050000000001</v>
      </c>
      <c r="C14" s="33"/>
      <c r="D14" s="37">
        <f>IF( ISERROR(IND_chemie_gas_kWh/1000),0,IND_chemie_gas_kWh/1000)*0.902</f>
        <v>0</v>
      </c>
      <c r="E14" s="33">
        <f>C36*'E Balans VL '!I24/100/3.6*1000000</f>
        <v>8.2420784693254507</v>
      </c>
      <c r="F14" s="33">
        <f>C36*'E Balans VL '!L24/100/3.6*1000000+C36*'E Balans VL '!N24/100/3.6*1000000</f>
        <v>27.590767816270354</v>
      </c>
      <c r="G14" s="34"/>
      <c r="H14" s="33"/>
      <c r="I14" s="33"/>
      <c r="J14" s="40">
        <f>C36*'E Balans VL '!D24/100/3.6*1000000+C36*'E Balans VL '!E24/100/3.6*1000000</f>
        <v>0</v>
      </c>
      <c r="K14" s="33"/>
      <c r="L14" s="33"/>
      <c r="M14" s="33"/>
      <c r="N14" s="33">
        <f>C36*'E Balans VL '!Y24/100/3.6*1000000</f>
        <v>71.060897999570088</v>
      </c>
      <c r="O14" s="33"/>
      <c r="P14" s="33"/>
      <c r="R14" s="32"/>
    </row>
    <row r="15" spans="1:18">
      <c r="A15" s="6" t="s">
        <v>270</v>
      </c>
      <c r="B15" s="37">
        <f t="shared" si="0"/>
        <v>0</v>
      </c>
      <c r="C15" s="33"/>
      <c r="D15" s="37">
        <f>IF( ISERROR(IND_rest_gas_kWh/1000),0,IND_rest_gas_kWh/1000)*0.902</f>
        <v>1363.5822640000001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28381.083999999999</v>
      </c>
      <c r="C18" s="21">
        <f>C5+C16</f>
        <v>900.00000000000023</v>
      </c>
      <c r="D18" s="21">
        <f>MAX((D5+D16),0)</f>
        <v>26467.761763999995</v>
      </c>
      <c r="E18" s="21">
        <f>MAX((E5+E16),0)</f>
        <v>2085.8476666217248</v>
      </c>
      <c r="F18" s="21">
        <f>MAX((F5+F16),0)</f>
        <v>11130.182466396504</v>
      </c>
      <c r="G18" s="21"/>
      <c r="H18" s="21"/>
      <c r="I18" s="21"/>
      <c r="J18" s="21">
        <f>MAX((J5+J16),0)</f>
        <v>137.17231355858755</v>
      </c>
      <c r="K18" s="21"/>
      <c r="L18" s="21">
        <f>MAX((L5+L16),0)</f>
        <v>0</v>
      </c>
      <c r="M18" s="21"/>
      <c r="N18" s="21">
        <f>MAX((N5+N16),0)</f>
        <v>6363.8881875000325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0.15321784294591217</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4348.4884709467406</v>
      </c>
      <c r="C22" s="23">
        <f ca="1">C18*C20</f>
        <v>9.5361558636193369</v>
      </c>
      <c r="D22" s="23">
        <f>D18*D20</f>
        <v>5346.4878763279994</v>
      </c>
      <c r="E22" s="23">
        <f>E18*E20</f>
        <v>473.48742032313152</v>
      </c>
      <c r="F22" s="23">
        <f>F18*F20</f>
        <v>2971.7587185278667</v>
      </c>
      <c r="G22" s="23"/>
      <c r="H22" s="23"/>
      <c r="I22" s="23"/>
      <c r="J22" s="23">
        <f>J18*J20</f>
        <v>48.558998999739991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11482.841</v>
      </c>
      <c r="C30" s="39">
        <f>IF(ISERROR(B30*3.6/1000000/'E Balans VL '!Z18*100),0,B30*3.6/1000000/'E Balans VL '!Z18*100)</f>
        <v>2.4329678222773157</v>
      </c>
      <c r="D30" s="237" t="s">
        <v>660</v>
      </c>
    </row>
    <row r="31" spans="1:18">
      <c r="A31" s="6" t="s">
        <v>33</v>
      </c>
      <c r="B31" s="37">
        <f>IF( ISERROR(IND_ander_ele_kWh/1000),0,IND_ander_ele_kWh/1000)</f>
        <v>6099.5240000000003</v>
      </c>
      <c r="C31" s="39">
        <f>IF(ISERROR(B31*3.6/1000000/'E Balans VL '!Z19*100),0,B31*3.6/1000000/'E Balans VL '!Z19*100)</f>
        <v>0.25674281513649422</v>
      </c>
      <c r="D31" s="237" t="s">
        <v>660</v>
      </c>
    </row>
    <row r="32" spans="1:18">
      <c r="A32" s="171" t="s">
        <v>41</v>
      </c>
      <c r="B32" s="37">
        <f>IF( ISERROR(IND_voed_ele_kWh/1000),0,IND_voed_ele_kWh/1000)</f>
        <v>549.95600000000002</v>
      </c>
      <c r="C32" s="39">
        <f>IF(ISERROR(B32*3.6/1000000/'E Balans VL '!Z20*100),0,B32*3.6/1000000/'E Balans VL '!Z20*100)</f>
        <v>9.1876372124189254E-2</v>
      </c>
      <c r="D32" s="237" t="s">
        <v>660</v>
      </c>
    </row>
    <row r="33" spans="1:5">
      <c r="A33" s="171" t="s">
        <v>40</v>
      </c>
      <c r="B33" s="37">
        <f>IF( ISERROR(IND_textiel_ele_kWh/1000),0,IND_textiel_ele_kWh/1000)</f>
        <v>204.24299999999999</v>
      </c>
      <c r="C33" s="39">
        <f>IF(ISERROR(B33*3.6/1000000/'E Balans VL '!Z21*100),0,B33*3.6/1000000/'E Balans VL '!Z21*100)</f>
        <v>1.1924317540626006E-2</v>
      </c>
      <c r="D33" s="237" t="s">
        <v>660</v>
      </c>
    </row>
    <row r="34" spans="1:5">
      <c r="A34" s="171" t="s">
        <v>37</v>
      </c>
      <c r="B34" s="37">
        <f>IF( ISERROR(IND_min_ele_kWh/1000),0,IND_min_ele_kWh/1000)</f>
        <v>3997.0340000000001</v>
      </c>
      <c r="C34" s="39">
        <f>IF(ISERROR(B34*3.6/1000000/'E Balans VL '!Z22*100),0,B34*3.6/1000000/'E Balans VL '!Z22*100)</f>
        <v>0.50664561544069742</v>
      </c>
      <c r="D34" s="237" t="s">
        <v>660</v>
      </c>
    </row>
    <row r="35" spans="1:5">
      <c r="A35" s="171" t="s">
        <v>39</v>
      </c>
      <c r="B35" s="37">
        <f>IF( ISERROR(IND_papier_ele_kWh/1000),0,IND_papier_ele_kWh/1000)</f>
        <v>1979.481</v>
      </c>
      <c r="C35" s="39">
        <f>IF(ISERROR(B35*3.6/1000000/'E Balans VL '!Z22*100),0,B35*3.6/1000000/'E Balans VL '!Z22*100)</f>
        <v>0.25090989205950387</v>
      </c>
      <c r="D35" s="237" t="s">
        <v>660</v>
      </c>
    </row>
    <row r="36" spans="1:5">
      <c r="A36" s="171" t="s">
        <v>34</v>
      </c>
      <c r="B36" s="37">
        <f>IF( ISERROR(IND_chemie_ele_kWh/1000),0,IND_chemie_ele_kWh/1000)</f>
        <v>3438.0050000000001</v>
      </c>
      <c r="C36" s="39">
        <f>IF(ISERROR(B36*3.6/1000000/'E Balans VL '!Z24*100),0,B36*3.6/1000000/'E Balans VL '!Z24*100)</f>
        <v>0.11166651326781618</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442.32100000000003</v>
      </c>
      <c r="C5" s="17">
        <f>'Eigen informatie GS &amp; warmtenet'!B60</f>
        <v>0</v>
      </c>
      <c r="D5" s="30">
        <f>IF(ISERROR(SUM(LB_lb_gas_kWh,LB_rest_gas_kWh)/1000),0,SUM(LB_lb_gas_kWh,LB_rest_gas_kWh)/1000)*0.902</f>
        <v>92.762581999999995</v>
      </c>
      <c r="E5" s="17">
        <f>B17*'E Balans VL '!I25/3.6*1000000/100</f>
        <v>11.405760273710426</v>
      </c>
      <c r="F5" s="17">
        <f>B17*('E Balans VL '!L25/3.6*1000000+'E Balans VL '!N25/3.6*1000000)/100</f>
        <v>1616.7674909425086</v>
      </c>
      <c r="G5" s="18"/>
      <c r="H5" s="17"/>
      <c r="I5" s="17"/>
      <c r="J5" s="17">
        <f>('E Balans VL '!D25+'E Balans VL '!E25)/3.6*1000000*landbouw!B17/100</f>
        <v>63.677952489056331</v>
      </c>
      <c r="K5" s="17"/>
      <c r="L5" s="17">
        <f>L6*(-1)</f>
        <v>0</v>
      </c>
      <c r="M5" s="17"/>
      <c r="N5" s="17">
        <f>N6*(-1)</f>
        <v>38571.428571428572</v>
      </c>
      <c r="O5" s="17"/>
      <c r="P5" s="17"/>
      <c r="R5" s="32"/>
    </row>
    <row r="6" spans="1:18">
      <c r="A6" s="16" t="s">
        <v>491</v>
      </c>
      <c r="B6" s="17" t="s">
        <v>211</v>
      </c>
      <c r="C6" s="17">
        <f>'lokale energieproductie'!O92+'lokale energieproductie'!O61</f>
        <v>19285.714285714286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442.32100000000003</v>
      </c>
      <c r="C8" s="21">
        <f>C5+C6</f>
        <v>19285.714285714286</v>
      </c>
      <c r="D8" s="21">
        <f>MAX((D5+D6),0)</f>
        <v>92.762581999999995</v>
      </c>
      <c r="E8" s="21">
        <f>MAX((E5+E6),0)</f>
        <v>11.405760273710426</v>
      </c>
      <c r="F8" s="21">
        <f>MAX((F5+F6),0)</f>
        <v>1616.7674909425086</v>
      </c>
      <c r="G8" s="21"/>
      <c r="H8" s="21"/>
      <c r="I8" s="21"/>
      <c r="J8" s="21">
        <f>MAX((J5+J6),0)</f>
        <v>63.677952489056331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0.15321784294591217</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67.771469509678823</v>
      </c>
      <c r="C12" s="23">
        <f ca="1">C8*C10</f>
        <v>204.34619707755718</v>
      </c>
      <c r="D12" s="23">
        <f>D8*D10</f>
        <v>18.738041564</v>
      </c>
      <c r="E12" s="23">
        <f>E8*E10</f>
        <v>2.5891075821322667</v>
      </c>
      <c r="F12" s="23">
        <f>F8*F10</f>
        <v>431.67692008164983</v>
      </c>
      <c r="G12" s="23"/>
      <c r="H12" s="23"/>
      <c r="I12" s="23"/>
      <c r="J12" s="23">
        <f>J8*J10</f>
        <v>22.541995181125941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6.2370190868607935E-2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102.11139109202261</v>
      </c>
      <c r="C26" s="247">
        <f>B26*'GWP N2O_CH4'!B5</f>
        <v>2144.3392129324748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42.394921681292509</v>
      </c>
      <c r="C27" s="247">
        <f>B27*'GWP N2O_CH4'!B5</f>
        <v>890.29335530714263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2.1352099035176484</v>
      </c>
      <c r="C28" s="247">
        <f>B28*'GWP N2O_CH4'!B4</f>
        <v>661.91507009047098</v>
      </c>
      <c r="D28" s="50"/>
    </row>
    <row r="29" spans="1:4">
      <c r="A29" s="41" t="s">
        <v>277</v>
      </c>
      <c r="B29" s="247">
        <f>B34*'ha_N2O bodem landbouw'!B4</f>
        <v>17.945906457735425</v>
      </c>
      <c r="C29" s="247">
        <f>B29*'GWP N2O_CH4'!B4</f>
        <v>5563.2310018979815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4.0388041619156215E-3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2.0371960467187436E-4</v>
      </c>
      <c r="C5" s="463" t="s">
        <v>211</v>
      </c>
      <c r="D5" s="448">
        <f>SUM(D6:D11)</f>
        <v>4.7417409846457141E-4</v>
      </c>
      <c r="E5" s="448">
        <f>SUM(E6:E11)</f>
        <v>1.9002970243685738E-3</v>
      </c>
      <c r="F5" s="461" t="s">
        <v>211</v>
      </c>
      <c r="G5" s="448">
        <f>SUM(G6:G11)</f>
        <v>0.62910775292863363</v>
      </c>
      <c r="H5" s="448">
        <f>SUM(H6:H11)</f>
        <v>0.12812133817177251</v>
      </c>
      <c r="I5" s="463" t="s">
        <v>211</v>
      </c>
      <c r="J5" s="463" t="s">
        <v>211</v>
      </c>
      <c r="K5" s="463" t="s">
        <v>211</v>
      </c>
      <c r="L5" s="463" t="s">
        <v>211</v>
      </c>
      <c r="M5" s="448">
        <f>SUM(M6:M11)</f>
        <v>2.3658899444792138E-2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1.2160641086276958E-4</v>
      </c>
      <c r="C6" s="449"/>
      <c r="D6" s="892">
        <f>vkm_2011_GW_PW*SUMIFS(TableVerdeelsleutelVkm[CNG],TableVerdeelsleutelVkm[Voertuigtype],"Lichte voertuigen")*SUMIFS(TableECFTransport[EnergieConsumptieFactor (PJ per km)],TableECFTransport[Index],CONCATENATE($A6,"_CNG_CNG"))</f>
        <v>2.4163406850720974E-4</v>
      </c>
      <c r="E6" s="892">
        <f>vkm_2011_GW_PW*SUMIFS(TableVerdeelsleutelVkm[LPG],TableVerdeelsleutelVkm[Voertuigtype],"Lichte voertuigen")*SUMIFS(TableECFTransport[EnergieConsumptieFactor (PJ per km)],TableECFTransport[Index],CONCATENATE($A6,"_LPG_LPG"))</f>
        <v>9.5091667889605895E-4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0.22609535838764441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6.5417611745141588E-2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9.0838133363500464E-3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0.11218708617906518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3.6241220739816665E-5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3.534843430726884E-3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4.2926790670173216E-5</v>
      </c>
      <c r="C8" s="449"/>
      <c r="D8" s="451">
        <f>vkm_2011_NGW_PW*SUMIFS(TableVerdeelsleutelVkm[CNG],TableVerdeelsleutelVkm[Voertuigtype],"Lichte voertuigen")*SUMIFS(TableECFTransport[EnergieConsumptieFactor (PJ per km)],TableECFTransport[Index],CONCATENATE($A8,"_CNG_CNG"))</f>
        <v>1.5102860545987895E-4</v>
      </c>
      <c r="E8" s="451">
        <f>vkm_2011_NGW_PW*SUMIFS(TableVerdeelsleutelVkm[LPG],TableVerdeelsleutelVkm[Voertuigtype],"Lichte voertuigen")*SUMIFS(TableECFTransport[EnergieConsumptieFactor (PJ per km)],TableECFTransport[Index],CONCATENATE($A8,"_LPG_LPG"))</f>
        <v>5.4967032350613425E-4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0.12204226361372063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3.9647220495091735E-2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5.0333305474452765E-3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8.7605382170666216E-3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2.6764187068403361E-6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2.7602654769059309E-4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3.918640313893156E-5</v>
      </c>
      <c r="C10" s="449"/>
      <c r="D10" s="451">
        <f>vkm_2011_SW_PW*SUMIFS(TableVerdeelsleutelVkm[CNG],TableVerdeelsleutelVkm[Voertuigtype],"Lichte voertuigen")*SUMIFS(TableECFTransport[EnergieConsumptieFactor (PJ per km)],TableECFTransport[Index],CONCATENATE($A10,"_CNG_CNG"))</f>
        <v>8.1511424497482724E-5</v>
      </c>
      <c r="E10" s="451">
        <f>vkm_2011_SW_PW*SUMIFS(TableVerdeelsleutelVkm[LPG],TableVerdeelsleutelVkm[Voertuigtype],"Lichte voertuigen")*SUMIFS(TableECFTransport[EnergieConsumptieFactor (PJ per km)],TableECFTransport[Index],CONCATENATE($A10,"_LPG_LPG"))</f>
        <v>3.9971002196638054E-4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8.5133645358761431E-2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2.2991522588157252E-2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3.3711959632924896E-3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7.4888861172375407E-2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2.6065703935300548E-5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2.3596896192868474E-3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56.588779075520648</v>
      </c>
      <c r="C14" s="21"/>
      <c r="D14" s="21">
        <f t="shared" ref="D14:M14" si="0">((D5)*10^9/3600)+D12</f>
        <v>131.71502735126984</v>
      </c>
      <c r="E14" s="21">
        <f t="shared" si="0"/>
        <v>527.86028454682605</v>
      </c>
      <c r="F14" s="21"/>
      <c r="G14" s="21">
        <f t="shared" si="0"/>
        <v>174752.15359128715</v>
      </c>
      <c r="H14" s="21">
        <f t="shared" si="0"/>
        <v>35589.260603270144</v>
      </c>
      <c r="I14" s="21"/>
      <c r="J14" s="21"/>
      <c r="K14" s="21"/>
      <c r="L14" s="21"/>
      <c r="M14" s="21">
        <f t="shared" si="0"/>
        <v>6571.9165124422598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0.15321784294591217</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8.6704106648940442</v>
      </c>
      <c r="C18" s="23"/>
      <c r="D18" s="23">
        <f t="shared" ref="D18:M18" si="1">D14*D16</f>
        <v>26.60643552495651</v>
      </c>
      <c r="E18" s="23">
        <f t="shared" si="1"/>
        <v>119.82428459212952</v>
      </c>
      <c r="F18" s="23"/>
      <c r="G18" s="23">
        <f t="shared" si="1"/>
        <v>46658.825008873668</v>
      </c>
      <c r="H18" s="23">
        <f t="shared" si="1"/>
        <v>8861.7258902142657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1.4198038219107208E-2</v>
      </c>
      <c r="H50" s="321">
        <f t="shared" si="2"/>
        <v>0</v>
      </c>
      <c r="I50" s="321">
        <f t="shared" si="2"/>
        <v>0</v>
      </c>
      <c r="J50" s="321">
        <f t="shared" si="2"/>
        <v>0</v>
      </c>
      <c r="K50" s="321">
        <f t="shared" si="2"/>
        <v>0</v>
      </c>
      <c r="L50" s="321">
        <f t="shared" si="2"/>
        <v>0</v>
      </c>
      <c r="M50" s="321">
        <f t="shared" si="2"/>
        <v>4.4039138195991519E-4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1.4198038219107208E-2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4.4039138195991519E-4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3943.8995053075573</v>
      </c>
      <c r="H54" s="21">
        <f t="shared" si="3"/>
        <v>0</v>
      </c>
      <c r="I54" s="21">
        <f t="shared" si="3"/>
        <v>0</v>
      </c>
      <c r="J54" s="21">
        <f t="shared" si="3"/>
        <v>0</v>
      </c>
      <c r="K54" s="21">
        <f t="shared" si="3"/>
        <v>0</v>
      </c>
      <c r="L54" s="21">
        <f t="shared" si="3"/>
        <v>0</v>
      </c>
      <c r="M54" s="21">
        <f t="shared" si="3"/>
        <v>122.33093943330977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0.15321784294591217</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1053.021167917118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64370.463000000003</v>
      </c>
      <c r="D10" s="1012">
        <f ca="1">tertiair!C16</f>
        <v>0</v>
      </c>
      <c r="E10" s="1012">
        <f ca="1">tertiair!D16</f>
        <v>45704.674642000005</v>
      </c>
      <c r="F10" s="1012">
        <f>tertiair!E16</f>
        <v>734.79278923550589</v>
      </c>
      <c r="G10" s="1012">
        <f ca="1">tertiair!F16</f>
        <v>12080.32469655895</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1.5633333333333335</v>
      </c>
      <c r="Q10" s="1013">
        <f>tertiair!P16</f>
        <v>76.266666666666666</v>
      </c>
      <c r="R10" s="700">
        <f ca="1">SUM(C10:Q10)</f>
        <v>122968.08512779447</v>
      </c>
      <c r="S10" s="67"/>
    </row>
    <row r="11" spans="1:19" s="473" customFormat="1">
      <c r="A11" s="809" t="s">
        <v>225</v>
      </c>
      <c r="B11" s="814"/>
      <c r="C11" s="1012">
        <f>huishoudens!B8</f>
        <v>47140.707060065717</v>
      </c>
      <c r="D11" s="1012">
        <f>huishoudens!C8</f>
        <v>0</v>
      </c>
      <c r="E11" s="1012">
        <f>huishoudens!D8</f>
        <v>82643.925254000002</v>
      </c>
      <c r="F11" s="1012">
        <f>huishoudens!E8</f>
        <v>4441.725063562837</v>
      </c>
      <c r="G11" s="1012">
        <f>huishoudens!F8</f>
        <v>85455.566317708552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27594.857846235736</v>
      </c>
      <c r="P11" s="1012">
        <f>huishoudens!O8</f>
        <v>634.71333333333337</v>
      </c>
      <c r="Q11" s="1013">
        <f>huishoudens!P8</f>
        <v>991.4666666666667</v>
      </c>
      <c r="R11" s="700">
        <f>SUM(C11:Q11)</f>
        <v>248902.96154157288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28381.083999999999</v>
      </c>
      <c r="D13" s="1012">
        <f>industrie!C18</f>
        <v>900.00000000000023</v>
      </c>
      <c r="E13" s="1012">
        <f>industrie!D18</f>
        <v>26467.761763999995</v>
      </c>
      <c r="F13" s="1012">
        <f>industrie!E18</f>
        <v>2085.8476666217248</v>
      </c>
      <c r="G13" s="1012">
        <f>industrie!F18</f>
        <v>11130.182466396504</v>
      </c>
      <c r="H13" s="1012">
        <f>industrie!G18</f>
        <v>0</v>
      </c>
      <c r="I13" s="1012">
        <f>industrie!H18</f>
        <v>0</v>
      </c>
      <c r="J13" s="1012">
        <f>industrie!I18</f>
        <v>0</v>
      </c>
      <c r="K13" s="1012">
        <f>industrie!J18</f>
        <v>137.17231355858755</v>
      </c>
      <c r="L13" s="1012">
        <f>industrie!K18</f>
        <v>0</v>
      </c>
      <c r="M13" s="1012">
        <f>industrie!L18</f>
        <v>0</v>
      </c>
      <c r="N13" s="1012">
        <f>industrie!M18</f>
        <v>0</v>
      </c>
      <c r="O13" s="1012">
        <f>industrie!N18</f>
        <v>6363.8881875000325</v>
      </c>
      <c r="P13" s="1012">
        <f>industrie!O18</f>
        <v>0</v>
      </c>
      <c r="Q13" s="1013">
        <f>industrie!P18</f>
        <v>0</v>
      </c>
      <c r="R13" s="700">
        <f>SUM(C13:Q13)</f>
        <v>75465.936398076854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139892.25406006572</v>
      </c>
      <c r="D16" s="732">
        <f t="shared" ref="D16:R16" ca="1" si="0">SUM(D9:D15)</f>
        <v>900.00000000000023</v>
      </c>
      <c r="E16" s="732">
        <f t="shared" ca="1" si="0"/>
        <v>154816.36166</v>
      </c>
      <c r="F16" s="732">
        <f t="shared" si="0"/>
        <v>7262.3655194200674</v>
      </c>
      <c r="G16" s="732">
        <f t="shared" ca="1" si="0"/>
        <v>108666.07348066401</v>
      </c>
      <c r="H16" s="732">
        <f t="shared" si="0"/>
        <v>0</v>
      </c>
      <c r="I16" s="732">
        <f t="shared" si="0"/>
        <v>0</v>
      </c>
      <c r="J16" s="732">
        <f t="shared" si="0"/>
        <v>0</v>
      </c>
      <c r="K16" s="732">
        <f t="shared" si="0"/>
        <v>137.17231355858755</v>
      </c>
      <c r="L16" s="732">
        <f t="shared" si="0"/>
        <v>0</v>
      </c>
      <c r="M16" s="732">
        <f t="shared" ca="1" si="0"/>
        <v>0</v>
      </c>
      <c r="N16" s="732">
        <f t="shared" si="0"/>
        <v>0</v>
      </c>
      <c r="O16" s="732">
        <f t="shared" ca="1" si="0"/>
        <v>33958.74603373577</v>
      </c>
      <c r="P16" s="732">
        <f t="shared" si="0"/>
        <v>636.27666666666676</v>
      </c>
      <c r="Q16" s="732">
        <f t="shared" si="0"/>
        <v>1067.7333333333333</v>
      </c>
      <c r="R16" s="732">
        <f t="shared" ca="1" si="0"/>
        <v>447336.98306744418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3943.8995053075573</v>
      </c>
      <c r="I19" s="1012">
        <f>transport!H54</f>
        <v>0</v>
      </c>
      <c r="J19" s="1012">
        <f>transport!I54</f>
        <v>0</v>
      </c>
      <c r="K19" s="1012">
        <f>transport!J54</f>
        <v>0</v>
      </c>
      <c r="L19" s="1012">
        <f>transport!K54</f>
        <v>0</v>
      </c>
      <c r="M19" s="1012">
        <f>transport!L54</f>
        <v>0</v>
      </c>
      <c r="N19" s="1012">
        <f>transport!M54</f>
        <v>122.33093943330977</v>
      </c>
      <c r="O19" s="1012">
        <f>transport!N54</f>
        <v>0</v>
      </c>
      <c r="P19" s="1012">
        <f>transport!O54</f>
        <v>0</v>
      </c>
      <c r="Q19" s="1013">
        <f>transport!P54</f>
        <v>0</v>
      </c>
      <c r="R19" s="700">
        <f>SUM(C19:Q19)</f>
        <v>4066.2304447408669</v>
      </c>
      <c r="S19" s="67"/>
    </row>
    <row r="20" spans="1:19" s="473" customFormat="1">
      <c r="A20" s="809" t="s">
        <v>307</v>
      </c>
      <c r="B20" s="814"/>
      <c r="C20" s="1012">
        <f>transport!B14</f>
        <v>56.588779075520648</v>
      </c>
      <c r="D20" s="1012">
        <f>transport!C14</f>
        <v>0</v>
      </c>
      <c r="E20" s="1012">
        <f>transport!D14</f>
        <v>131.71502735126984</v>
      </c>
      <c r="F20" s="1012">
        <f>transport!E14</f>
        <v>527.86028454682605</v>
      </c>
      <c r="G20" s="1012">
        <f>transport!F14</f>
        <v>0</v>
      </c>
      <c r="H20" s="1012">
        <f>transport!G14</f>
        <v>174752.15359128715</v>
      </c>
      <c r="I20" s="1012">
        <f>transport!H14</f>
        <v>35589.260603270144</v>
      </c>
      <c r="J20" s="1012">
        <f>transport!I14</f>
        <v>0</v>
      </c>
      <c r="K20" s="1012">
        <f>transport!J14</f>
        <v>0</v>
      </c>
      <c r="L20" s="1012">
        <f>transport!K14</f>
        <v>0</v>
      </c>
      <c r="M20" s="1012">
        <f>transport!L14</f>
        <v>0</v>
      </c>
      <c r="N20" s="1012">
        <f>transport!M14</f>
        <v>6571.9165124422598</v>
      </c>
      <c r="O20" s="1012">
        <f>transport!N14</f>
        <v>0</v>
      </c>
      <c r="P20" s="1012">
        <f>transport!O14</f>
        <v>0</v>
      </c>
      <c r="Q20" s="1013">
        <f>transport!P14</f>
        <v>0</v>
      </c>
      <c r="R20" s="700">
        <f>SUM(C20:Q20)</f>
        <v>217629.49479797317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56.588779075520648</v>
      </c>
      <c r="D22" s="812">
        <f t="shared" ref="D22:R22" si="1">SUM(D18:D21)</f>
        <v>0</v>
      </c>
      <c r="E22" s="812">
        <f t="shared" si="1"/>
        <v>131.71502735126984</v>
      </c>
      <c r="F22" s="812">
        <f t="shared" si="1"/>
        <v>527.86028454682605</v>
      </c>
      <c r="G22" s="812">
        <f t="shared" si="1"/>
        <v>0</v>
      </c>
      <c r="H22" s="812">
        <f t="shared" si="1"/>
        <v>178696.0530965947</v>
      </c>
      <c r="I22" s="812">
        <f t="shared" si="1"/>
        <v>35589.260603270144</v>
      </c>
      <c r="J22" s="812">
        <f t="shared" si="1"/>
        <v>0</v>
      </c>
      <c r="K22" s="812">
        <f t="shared" si="1"/>
        <v>0</v>
      </c>
      <c r="L22" s="812">
        <f t="shared" si="1"/>
        <v>0</v>
      </c>
      <c r="M22" s="812">
        <f t="shared" si="1"/>
        <v>0</v>
      </c>
      <c r="N22" s="812">
        <f t="shared" si="1"/>
        <v>6694.2474518755698</v>
      </c>
      <c r="O22" s="812">
        <f t="shared" si="1"/>
        <v>0</v>
      </c>
      <c r="P22" s="812">
        <f t="shared" si="1"/>
        <v>0</v>
      </c>
      <c r="Q22" s="812">
        <f t="shared" si="1"/>
        <v>0</v>
      </c>
      <c r="R22" s="812">
        <f t="shared" si="1"/>
        <v>221695.72524271402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442.32100000000003</v>
      </c>
      <c r="D24" s="1012">
        <f>+landbouw!C8</f>
        <v>19285.714285714286</v>
      </c>
      <c r="E24" s="1012">
        <f>+landbouw!D8</f>
        <v>92.762581999999995</v>
      </c>
      <c r="F24" s="1012">
        <f>+landbouw!E8</f>
        <v>11.405760273710426</v>
      </c>
      <c r="G24" s="1012">
        <f>+landbouw!F8</f>
        <v>1616.7674909425086</v>
      </c>
      <c r="H24" s="1012">
        <f>+landbouw!G8</f>
        <v>0</v>
      </c>
      <c r="I24" s="1012">
        <f>+landbouw!H8</f>
        <v>0</v>
      </c>
      <c r="J24" s="1012">
        <f>+landbouw!I8</f>
        <v>0</v>
      </c>
      <c r="K24" s="1012">
        <f>+landbouw!J8</f>
        <v>63.677952489056331</v>
      </c>
      <c r="L24" s="1012">
        <f>+landbouw!K8</f>
        <v>0</v>
      </c>
      <c r="M24" s="1012">
        <f>+landbouw!L8</f>
        <v>0</v>
      </c>
      <c r="N24" s="1012">
        <f>+landbouw!M8</f>
        <v>0</v>
      </c>
      <c r="O24" s="1012">
        <f>+landbouw!N8</f>
        <v>0</v>
      </c>
      <c r="P24" s="1012">
        <f>+landbouw!O8</f>
        <v>0</v>
      </c>
      <c r="Q24" s="1013">
        <f>+landbouw!P8</f>
        <v>0</v>
      </c>
      <c r="R24" s="700">
        <f>SUM(C24:Q24)</f>
        <v>21512.649071419561</v>
      </c>
      <c r="S24" s="67"/>
    </row>
    <row r="25" spans="1:19" s="473" customFormat="1" ht="15" thickBot="1">
      <c r="A25" s="831" t="s">
        <v>848</v>
      </c>
      <c r="B25" s="1015"/>
      <c r="C25" s="1016">
        <f>IF(Onbekend_ele_kWh="---",0,Onbekend_ele_kWh)/1000+IF(REST_rest_ele_kWh="---",0,REST_rest_ele_kWh)/1000</f>
        <v>887.13499999999999</v>
      </c>
      <c r="D25" s="1016"/>
      <c r="E25" s="1016">
        <f>IF(onbekend_gas_kWh="---",0,onbekend_gas_kWh)/1000+IF(REST_rest_gas_kWh="---",0,REST_rest_gas_kWh)/1000</f>
        <v>1756.8589999999999</v>
      </c>
      <c r="F25" s="1016"/>
      <c r="G25" s="1016"/>
      <c r="H25" s="1016"/>
      <c r="I25" s="1016"/>
      <c r="J25" s="1016"/>
      <c r="K25" s="1016"/>
      <c r="L25" s="1016"/>
      <c r="M25" s="1016"/>
      <c r="N25" s="1016"/>
      <c r="O25" s="1016"/>
      <c r="P25" s="1016"/>
      <c r="Q25" s="1017"/>
      <c r="R25" s="700">
        <f>SUM(C25:Q25)</f>
        <v>2643.9939999999997</v>
      </c>
      <c r="S25" s="67"/>
    </row>
    <row r="26" spans="1:19" s="473" customFormat="1" ht="15.75" thickBot="1">
      <c r="A26" s="705" t="s">
        <v>849</v>
      </c>
      <c r="B26" s="817"/>
      <c r="C26" s="812">
        <f>SUM(C24:C25)</f>
        <v>1329.4560000000001</v>
      </c>
      <c r="D26" s="812">
        <f t="shared" ref="D26:R26" si="2">SUM(D24:D25)</f>
        <v>19285.714285714286</v>
      </c>
      <c r="E26" s="812">
        <f t="shared" si="2"/>
        <v>1849.621582</v>
      </c>
      <c r="F26" s="812">
        <f t="shared" si="2"/>
        <v>11.405760273710426</v>
      </c>
      <c r="G26" s="812">
        <f t="shared" si="2"/>
        <v>1616.7674909425086</v>
      </c>
      <c r="H26" s="812">
        <f t="shared" si="2"/>
        <v>0</v>
      </c>
      <c r="I26" s="812">
        <f t="shared" si="2"/>
        <v>0</v>
      </c>
      <c r="J26" s="812">
        <f t="shared" si="2"/>
        <v>0</v>
      </c>
      <c r="K26" s="812">
        <f t="shared" si="2"/>
        <v>63.677952489056331</v>
      </c>
      <c r="L26" s="812">
        <f t="shared" si="2"/>
        <v>0</v>
      </c>
      <c r="M26" s="812">
        <f t="shared" si="2"/>
        <v>0</v>
      </c>
      <c r="N26" s="812">
        <f t="shared" si="2"/>
        <v>0</v>
      </c>
      <c r="O26" s="812">
        <f t="shared" si="2"/>
        <v>0</v>
      </c>
      <c r="P26" s="812">
        <f t="shared" si="2"/>
        <v>0</v>
      </c>
      <c r="Q26" s="812">
        <f t="shared" si="2"/>
        <v>0</v>
      </c>
      <c r="R26" s="812">
        <f t="shared" si="2"/>
        <v>24156.643071419559</v>
      </c>
      <c r="S26" s="67"/>
    </row>
    <row r="27" spans="1:19" s="473" customFormat="1" ht="17.25" thickTop="1" thickBot="1">
      <c r="A27" s="706" t="s">
        <v>116</v>
      </c>
      <c r="B27" s="805"/>
      <c r="C27" s="707">
        <f ca="1">C22+C16+C26</f>
        <v>141278.29883914124</v>
      </c>
      <c r="D27" s="707">
        <f t="shared" ref="D27:R27" ca="1" si="3">D22+D16+D26</f>
        <v>20185.714285714286</v>
      </c>
      <c r="E27" s="707">
        <f t="shared" ca="1" si="3"/>
        <v>156797.69826935127</v>
      </c>
      <c r="F27" s="707">
        <f t="shared" si="3"/>
        <v>7801.6315642406034</v>
      </c>
      <c r="G27" s="707">
        <f t="shared" ca="1" si="3"/>
        <v>110282.84097160652</v>
      </c>
      <c r="H27" s="707">
        <f t="shared" si="3"/>
        <v>178696.0530965947</v>
      </c>
      <c r="I27" s="707">
        <f t="shared" si="3"/>
        <v>35589.260603270144</v>
      </c>
      <c r="J27" s="707">
        <f t="shared" si="3"/>
        <v>0</v>
      </c>
      <c r="K27" s="707">
        <f t="shared" si="3"/>
        <v>200.85026604764388</v>
      </c>
      <c r="L27" s="707">
        <f t="shared" si="3"/>
        <v>0</v>
      </c>
      <c r="M27" s="707">
        <f t="shared" ca="1" si="3"/>
        <v>0</v>
      </c>
      <c r="N27" s="707">
        <f t="shared" si="3"/>
        <v>6694.2474518755698</v>
      </c>
      <c r="O27" s="707">
        <f t="shared" ca="1" si="3"/>
        <v>33958.74603373577</v>
      </c>
      <c r="P27" s="707">
        <f t="shared" si="3"/>
        <v>636.27666666666676</v>
      </c>
      <c r="Q27" s="707">
        <f t="shared" si="3"/>
        <v>1067.7333333333333</v>
      </c>
      <c r="R27" s="707">
        <f t="shared" ca="1" si="3"/>
        <v>693189.35138157778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9862.7034902896503</v>
      </c>
      <c r="D40" s="1012">
        <f ca="1">tertiair!C20</f>
        <v>0</v>
      </c>
      <c r="E40" s="1012">
        <f ca="1">tertiair!D20</f>
        <v>9232.344277684002</v>
      </c>
      <c r="F40" s="1012">
        <f>tertiair!E20</f>
        <v>166.79796315645984</v>
      </c>
      <c r="G40" s="1012">
        <f ca="1">tertiair!F20</f>
        <v>3225.4466939812396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22487.292425111351</v>
      </c>
    </row>
    <row r="41" spans="1:18">
      <c r="A41" s="822" t="s">
        <v>225</v>
      </c>
      <c r="B41" s="829"/>
      <c r="C41" s="1012">
        <f ca="1">huishoudens!B12</f>
        <v>7222.797450688402</v>
      </c>
      <c r="D41" s="1012">
        <f ca="1">huishoudens!C12</f>
        <v>0</v>
      </c>
      <c r="E41" s="1012">
        <f>huishoudens!D12</f>
        <v>16694.072901308002</v>
      </c>
      <c r="F41" s="1012">
        <f>huishoudens!E12</f>
        <v>1008.2715894287641</v>
      </c>
      <c r="G41" s="1012">
        <f>huishoudens!F12</f>
        <v>22816.636206828185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47741.778148253354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4348.4884709467406</v>
      </c>
      <c r="D43" s="1012">
        <f ca="1">industrie!C22</f>
        <v>9.5361558636193369</v>
      </c>
      <c r="E43" s="1012">
        <f>industrie!D22</f>
        <v>5346.4878763279994</v>
      </c>
      <c r="F43" s="1012">
        <f>industrie!E22</f>
        <v>473.48742032313152</v>
      </c>
      <c r="G43" s="1012">
        <f>industrie!F22</f>
        <v>2971.7587185278667</v>
      </c>
      <c r="H43" s="1012">
        <f>industrie!G22</f>
        <v>0</v>
      </c>
      <c r="I43" s="1012">
        <f>industrie!H22</f>
        <v>0</v>
      </c>
      <c r="J43" s="1012">
        <f>industrie!I22</f>
        <v>0</v>
      </c>
      <c r="K43" s="1012">
        <f>industrie!J22</f>
        <v>48.558998999739991</v>
      </c>
      <c r="L43" s="1012">
        <f>industrie!K22</f>
        <v>0</v>
      </c>
      <c r="M43" s="1012">
        <f>industrie!L22</f>
        <v>0</v>
      </c>
      <c r="N43" s="1012">
        <f>industrie!M22</f>
        <v>0</v>
      </c>
      <c r="O43" s="1012">
        <f>industrie!N22</f>
        <v>0</v>
      </c>
      <c r="P43" s="1012">
        <f>industrie!O22</f>
        <v>0</v>
      </c>
      <c r="Q43" s="774">
        <f>industrie!P22</f>
        <v>0</v>
      </c>
      <c r="R43" s="849">
        <f t="shared" ca="1" si="4"/>
        <v>13198.317640989098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21433.989411924795</v>
      </c>
      <c r="D46" s="732">
        <f t="shared" ref="D46:Q46" ca="1" si="5">SUM(D39:D45)</f>
        <v>9.5361558636193369</v>
      </c>
      <c r="E46" s="732">
        <f t="shared" ca="1" si="5"/>
        <v>31272.905055320003</v>
      </c>
      <c r="F46" s="732">
        <f t="shared" si="5"/>
        <v>1648.5569729083554</v>
      </c>
      <c r="G46" s="732">
        <f t="shared" ca="1" si="5"/>
        <v>29013.841619337294</v>
      </c>
      <c r="H46" s="732">
        <f t="shared" si="5"/>
        <v>0</v>
      </c>
      <c r="I46" s="732">
        <f t="shared" si="5"/>
        <v>0</v>
      </c>
      <c r="J46" s="732">
        <f t="shared" si="5"/>
        <v>0</v>
      </c>
      <c r="K46" s="732">
        <f t="shared" si="5"/>
        <v>48.558998999739991</v>
      </c>
      <c r="L46" s="732">
        <f t="shared" si="5"/>
        <v>0</v>
      </c>
      <c r="M46" s="732">
        <f t="shared" ca="1" si="5"/>
        <v>0</v>
      </c>
      <c r="N46" s="732">
        <f t="shared" si="5"/>
        <v>0</v>
      </c>
      <c r="O46" s="732">
        <f t="shared" ca="1" si="5"/>
        <v>0</v>
      </c>
      <c r="P46" s="732">
        <f t="shared" si="5"/>
        <v>0</v>
      </c>
      <c r="Q46" s="732">
        <f t="shared" si="5"/>
        <v>0</v>
      </c>
      <c r="R46" s="732">
        <f ca="1">SUM(R39:R45)</f>
        <v>83427.388214353807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1053.021167917118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1053.021167917118</v>
      </c>
    </row>
    <row r="50" spans="1:18">
      <c r="A50" s="825" t="s">
        <v>307</v>
      </c>
      <c r="B50" s="835"/>
      <c r="C50" s="703">
        <f ca="1">transport!B18</f>
        <v>8.6704106648940442</v>
      </c>
      <c r="D50" s="703">
        <f>transport!C18</f>
        <v>0</v>
      </c>
      <c r="E50" s="703">
        <f>transport!D18</f>
        <v>26.60643552495651</v>
      </c>
      <c r="F50" s="703">
        <f>transport!E18</f>
        <v>119.82428459212952</v>
      </c>
      <c r="G50" s="703">
        <f>transport!F18</f>
        <v>0</v>
      </c>
      <c r="H50" s="703">
        <f>transport!G18</f>
        <v>46658.825008873668</v>
      </c>
      <c r="I50" s="703">
        <f>transport!H18</f>
        <v>8861.7258902142657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55675.652029869911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8.6704106648940442</v>
      </c>
      <c r="D52" s="732">
        <f t="shared" ref="D52:Q52" ca="1" si="6">SUM(D48:D51)</f>
        <v>0</v>
      </c>
      <c r="E52" s="732">
        <f t="shared" si="6"/>
        <v>26.60643552495651</v>
      </c>
      <c r="F52" s="732">
        <f t="shared" si="6"/>
        <v>119.82428459212952</v>
      </c>
      <c r="G52" s="732">
        <f t="shared" si="6"/>
        <v>0</v>
      </c>
      <c r="H52" s="732">
        <f t="shared" si="6"/>
        <v>47711.846176790787</v>
      </c>
      <c r="I52" s="732">
        <f t="shared" si="6"/>
        <v>8861.7258902142657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56728.673197787029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67.771469509678823</v>
      </c>
      <c r="D54" s="703">
        <f ca="1">+landbouw!C12</f>
        <v>204.34619707755718</v>
      </c>
      <c r="E54" s="703">
        <f>+landbouw!D12</f>
        <v>18.738041564</v>
      </c>
      <c r="F54" s="703">
        <f>+landbouw!E12</f>
        <v>2.5891075821322667</v>
      </c>
      <c r="G54" s="703">
        <f>+landbouw!F12</f>
        <v>431.67692008164983</v>
      </c>
      <c r="H54" s="703">
        <f>+landbouw!G12</f>
        <v>0</v>
      </c>
      <c r="I54" s="703">
        <f>+landbouw!H12</f>
        <v>0</v>
      </c>
      <c r="J54" s="703">
        <f>+landbouw!I12</f>
        <v>0</v>
      </c>
      <c r="K54" s="703">
        <f>+landbouw!J12</f>
        <v>22.541995181125941</v>
      </c>
      <c r="L54" s="703">
        <f>+landbouw!K12</f>
        <v>0</v>
      </c>
      <c r="M54" s="703">
        <f>+landbouw!L12</f>
        <v>0</v>
      </c>
      <c r="N54" s="703">
        <f>+landbouw!M12</f>
        <v>0</v>
      </c>
      <c r="O54" s="703">
        <f>+landbouw!N12</f>
        <v>0</v>
      </c>
      <c r="P54" s="703">
        <f>+landbouw!O12</f>
        <v>0</v>
      </c>
      <c r="Q54" s="704">
        <f>+landbouw!P12</f>
        <v>0</v>
      </c>
      <c r="R54" s="731">
        <f ca="1">SUM(C54:Q54)</f>
        <v>747.66373099614407</v>
      </c>
    </row>
    <row r="55" spans="1:18" ht="15" thickBot="1">
      <c r="A55" s="825" t="s">
        <v>848</v>
      </c>
      <c r="B55" s="835"/>
      <c r="C55" s="703">
        <f ca="1">C25*'EF ele_warmte'!B12</f>
        <v>135.92491110182181</v>
      </c>
      <c r="D55" s="703"/>
      <c r="E55" s="703">
        <f>E25*EF_CO2_aardgas</f>
        <v>354.88551799999999</v>
      </c>
      <c r="F55" s="703"/>
      <c r="G55" s="703"/>
      <c r="H55" s="703"/>
      <c r="I55" s="703"/>
      <c r="J55" s="703"/>
      <c r="K55" s="703"/>
      <c r="L55" s="703"/>
      <c r="M55" s="703"/>
      <c r="N55" s="703"/>
      <c r="O55" s="703"/>
      <c r="P55" s="703"/>
      <c r="Q55" s="704"/>
      <c r="R55" s="731">
        <f ca="1">SUM(C55:Q55)</f>
        <v>490.8104291018218</v>
      </c>
    </row>
    <row r="56" spans="1:18" ht="15.75" thickBot="1">
      <c r="A56" s="823" t="s">
        <v>849</v>
      </c>
      <c r="B56" s="836"/>
      <c r="C56" s="732">
        <f ca="1">SUM(C54:C55)</f>
        <v>203.69638061150062</v>
      </c>
      <c r="D56" s="732">
        <f t="shared" ref="D56:Q56" ca="1" si="7">SUM(D54:D55)</f>
        <v>204.34619707755718</v>
      </c>
      <c r="E56" s="732">
        <f t="shared" si="7"/>
        <v>373.623559564</v>
      </c>
      <c r="F56" s="732">
        <f t="shared" si="7"/>
        <v>2.5891075821322667</v>
      </c>
      <c r="G56" s="732">
        <f t="shared" si="7"/>
        <v>431.67692008164983</v>
      </c>
      <c r="H56" s="732">
        <f t="shared" si="7"/>
        <v>0</v>
      </c>
      <c r="I56" s="732">
        <f t="shared" si="7"/>
        <v>0</v>
      </c>
      <c r="J56" s="732">
        <f t="shared" si="7"/>
        <v>0</v>
      </c>
      <c r="K56" s="732">
        <f t="shared" si="7"/>
        <v>22.541995181125941</v>
      </c>
      <c r="L56" s="732">
        <f t="shared" si="7"/>
        <v>0</v>
      </c>
      <c r="M56" s="732">
        <f t="shared" si="7"/>
        <v>0</v>
      </c>
      <c r="N56" s="732">
        <f t="shared" si="7"/>
        <v>0</v>
      </c>
      <c r="O56" s="732">
        <f t="shared" si="7"/>
        <v>0</v>
      </c>
      <c r="P56" s="732">
        <f t="shared" si="7"/>
        <v>0</v>
      </c>
      <c r="Q56" s="733">
        <f t="shared" si="7"/>
        <v>0</v>
      </c>
      <c r="R56" s="734">
        <f ca="1">SUM(R54:R55)</f>
        <v>1238.474160097966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21646.356203201191</v>
      </c>
      <c r="D61" s="740">
        <f t="shared" ref="D61:Q61" ca="1" si="8">D46+D52+D56</f>
        <v>213.88235294117652</v>
      </c>
      <c r="E61" s="740">
        <f t="shared" ca="1" si="8"/>
        <v>31673.135050408961</v>
      </c>
      <c r="F61" s="740">
        <f t="shared" si="8"/>
        <v>1770.9703650826173</v>
      </c>
      <c r="G61" s="740">
        <f t="shared" ca="1" si="8"/>
        <v>29445.518539418943</v>
      </c>
      <c r="H61" s="740">
        <f t="shared" si="8"/>
        <v>47711.846176790787</v>
      </c>
      <c r="I61" s="740">
        <f t="shared" si="8"/>
        <v>8861.7258902142657</v>
      </c>
      <c r="J61" s="740">
        <f t="shared" si="8"/>
        <v>0</v>
      </c>
      <c r="K61" s="740">
        <f t="shared" si="8"/>
        <v>71.100994180865939</v>
      </c>
      <c r="L61" s="740">
        <f t="shared" si="8"/>
        <v>0</v>
      </c>
      <c r="M61" s="740">
        <f t="shared" ca="1" si="8"/>
        <v>0</v>
      </c>
      <c r="N61" s="740">
        <f t="shared" si="8"/>
        <v>0</v>
      </c>
      <c r="O61" s="740">
        <f t="shared" ca="1" si="8"/>
        <v>0</v>
      </c>
      <c r="P61" s="740">
        <f t="shared" si="8"/>
        <v>0</v>
      </c>
      <c r="Q61" s="740">
        <f t="shared" si="8"/>
        <v>0</v>
      </c>
      <c r="R61" s="740">
        <f ca="1">R46+R52+R56</f>
        <v>141394.53557223882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0.1532178429459122</v>
      </c>
      <c r="D63" s="781">
        <f t="shared" ca="1" si="9"/>
        <v>1.0595728737354817E-2</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15545.941119040048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13500</v>
      </c>
      <c r="C76" s="750">
        <f>'lokale energieproductie'!B8*IFERROR(SUM(D76:H76)/SUM(D76:O76),0)</f>
        <v>630.00000000000011</v>
      </c>
      <c r="D76" s="1033">
        <f>'lokale energieproductie'!C8</f>
        <v>741.17647058823536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15882.352941176468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149.71764705882356</v>
      </c>
      <c r="R76" s="852">
        <v>0</v>
      </c>
    </row>
    <row r="77" spans="1:18" ht="30.75" thickBot="1">
      <c r="A77" s="753" t="s">
        <v>353</v>
      </c>
      <c r="B77" s="750">
        <f>'lokale energieproductie'!B9*IFERROR(SUM(I77:O77)/SUM(D77:O77),0)</f>
        <v>14332.5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40950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43378.44111904005</v>
      </c>
      <c r="C78" s="755">
        <f>SUM(C72:C77)</f>
        <v>630.00000000000011</v>
      </c>
      <c r="D78" s="756">
        <f t="shared" ref="D78:H78" si="10">SUM(D76:D77)</f>
        <v>741.17647058823536</v>
      </c>
      <c r="E78" s="756">
        <f t="shared" si="10"/>
        <v>0</v>
      </c>
      <c r="F78" s="756">
        <f t="shared" si="10"/>
        <v>0</v>
      </c>
      <c r="G78" s="756">
        <f t="shared" si="10"/>
        <v>0</v>
      </c>
      <c r="H78" s="756">
        <f t="shared" si="10"/>
        <v>0</v>
      </c>
      <c r="I78" s="756">
        <f>SUM(I76:I77)</f>
        <v>0</v>
      </c>
      <c r="J78" s="756">
        <f>SUM(J76:J77)</f>
        <v>56832.352941176468</v>
      </c>
      <c r="K78" s="756">
        <f t="shared" ref="K78:L78" si="11">SUM(K76:K77)</f>
        <v>0</v>
      </c>
      <c r="L78" s="756">
        <f t="shared" si="11"/>
        <v>0</v>
      </c>
      <c r="M78" s="756">
        <f>SUM(M76:M77)</f>
        <v>0</v>
      </c>
      <c r="N78" s="756">
        <f>SUM(N76:N77)</f>
        <v>0</v>
      </c>
      <c r="O78" s="860">
        <f>SUM(O76:O77)</f>
        <v>0</v>
      </c>
      <c r="P78" s="757">
        <v>0</v>
      </c>
      <c r="Q78" s="757">
        <f>SUM(Q76:Q77)</f>
        <v>149.71764705882356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19285.714285714283</v>
      </c>
      <c r="C87" s="766">
        <f>'lokale energieproductie'!B17*IFERROR(SUM(D87:H87)/SUM(D87:O87),0)</f>
        <v>900.00000000000023</v>
      </c>
      <c r="D87" s="777">
        <f>'lokale energieproductie'!C17</f>
        <v>1058.8235294117649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22689.075630252097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213.88235294117652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19285.714285714283</v>
      </c>
      <c r="C90" s="755">
        <f>SUM(C87:C89)</f>
        <v>900.00000000000023</v>
      </c>
      <c r="D90" s="755">
        <f t="shared" ref="D90:H90" si="12">SUM(D87:D89)</f>
        <v>1058.8235294117649</v>
      </c>
      <c r="E90" s="755">
        <f t="shared" si="12"/>
        <v>0</v>
      </c>
      <c r="F90" s="755">
        <f t="shared" si="12"/>
        <v>0</v>
      </c>
      <c r="G90" s="755">
        <f t="shared" si="12"/>
        <v>0</v>
      </c>
      <c r="H90" s="755">
        <f t="shared" si="12"/>
        <v>0</v>
      </c>
      <c r="I90" s="755">
        <f>SUM(I87:I89)</f>
        <v>0</v>
      </c>
      <c r="J90" s="755">
        <f>SUM(J87:J89)</f>
        <v>22689.075630252097</v>
      </c>
      <c r="K90" s="755">
        <f t="shared" ref="K90:L90" si="13">SUM(K87:K89)</f>
        <v>0</v>
      </c>
      <c r="L90" s="755">
        <f t="shared" si="13"/>
        <v>0</v>
      </c>
      <c r="M90" s="755">
        <f>SUM(M87:M89)</f>
        <v>0</v>
      </c>
      <c r="N90" s="755">
        <f>SUM(N87:N89)</f>
        <v>0</v>
      </c>
      <c r="O90" s="755">
        <f>SUM(O87:O89)</f>
        <v>0</v>
      </c>
      <c r="P90" s="755">
        <v>0</v>
      </c>
      <c r="Q90" s="755">
        <f>SUM(Q87:Q89)</f>
        <v>213.88235294117652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15545.941119040048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14130</v>
      </c>
      <c r="C8" s="570">
        <f>B101</f>
        <v>741.17647058823536</v>
      </c>
      <c r="D8" s="1043"/>
      <c r="E8" s="1043">
        <f>E101</f>
        <v>0</v>
      </c>
      <c r="F8" s="1044"/>
      <c r="G8" s="571"/>
      <c r="H8" s="1043">
        <f>I101</f>
        <v>0</v>
      </c>
      <c r="I8" s="1043">
        <f>G101+F101</f>
        <v>0</v>
      </c>
      <c r="J8" s="1043">
        <f>H101+D101+C101</f>
        <v>15882.352941176468</v>
      </c>
      <c r="K8" s="1043"/>
      <c r="L8" s="1043"/>
      <c r="M8" s="1043"/>
      <c r="N8" s="572"/>
      <c r="O8" s="573">
        <f>C8*$C$12+D8*$D$12+E8*$E$12+F8*$F$12+G8*$G$12+H8*$H$12+I8*$I$12+J8*$J$12</f>
        <v>149.71764705882356</v>
      </c>
      <c r="P8" s="1258"/>
      <c r="Q8" s="1259"/>
      <c r="S8" s="1007"/>
      <c r="T8" s="1237"/>
      <c r="U8" s="1237"/>
    </row>
    <row r="9" spans="1:21" s="559" customFormat="1" ht="17.45" customHeight="1" thickBot="1">
      <c r="A9" s="574" t="s">
        <v>248</v>
      </c>
      <c r="B9" s="575">
        <f>N89+'Eigen informatie GS &amp; warmtenet'!B12</f>
        <v>14332.5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44008.44111904005</v>
      </c>
      <c r="C10" s="583">
        <f t="shared" ref="C10:L10" si="0">SUM(C8:C9)</f>
        <v>741.17647058823536</v>
      </c>
      <c r="D10" s="583">
        <f t="shared" si="0"/>
        <v>0</v>
      </c>
      <c r="E10" s="583">
        <f t="shared" si="0"/>
        <v>0</v>
      </c>
      <c r="F10" s="583">
        <f t="shared" si="0"/>
        <v>0</v>
      </c>
      <c r="G10" s="583">
        <f t="shared" si="0"/>
        <v>0</v>
      </c>
      <c r="H10" s="583">
        <f t="shared" si="0"/>
        <v>0</v>
      </c>
      <c r="I10" s="583">
        <f t="shared" si="0"/>
        <v>0</v>
      </c>
      <c r="J10" s="583">
        <f t="shared" si="0"/>
        <v>56832.352941176468</v>
      </c>
      <c r="K10" s="583">
        <f t="shared" si="0"/>
        <v>0</v>
      </c>
      <c r="L10" s="583">
        <f t="shared" si="0"/>
        <v>0</v>
      </c>
      <c r="M10" s="1046"/>
      <c r="N10" s="1046"/>
      <c r="O10" s="584">
        <f>SUM(O4:O9)</f>
        <v>149.71764705882356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20185.714285714286</v>
      </c>
      <c r="C17" s="595">
        <f>B102</f>
        <v>1058.8235294117649</v>
      </c>
      <c r="D17" s="596"/>
      <c r="E17" s="596">
        <f>E102</f>
        <v>0</v>
      </c>
      <c r="F17" s="1049"/>
      <c r="G17" s="597"/>
      <c r="H17" s="595">
        <f>I102</f>
        <v>0</v>
      </c>
      <c r="I17" s="596">
        <f>G102+F102</f>
        <v>0</v>
      </c>
      <c r="J17" s="596">
        <f>H102+D102+C102</f>
        <v>22689.075630252097</v>
      </c>
      <c r="K17" s="596"/>
      <c r="L17" s="596"/>
      <c r="M17" s="596"/>
      <c r="N17" s="1050"/>
      <c r="O17" s="598">
        <f>C17*$C$22+E17*$E$22+H17*$H$22+I17*$I$22+J17*$J$22+D17*$D$22+F17*$F$22+G17*$G$22+K17*$K$22+L17*$L$22</f>
        <v>213.88235294117652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20185.714285714286</v>
      </c>
      <c r="C20" s="582">
        <f>SUM(C17:C19)</f>
        <v>1058.8235294117649</v>
      </c>
      <c r="D20" s="582">
        <f t="shared" ref="D20:L20" si="1">SUM(D17:D19)</f>
        <v>0</v>
      </c>
      <c r="E20" s="582">
        <f t="shared" si="1"/>
        <v>0</v>
      </c>
      <c r="F20" s="582">
        <f t="shared" si="1"/>
        <v>0</v>
      </c>
      <c r="G20" s="582">
        <f t="shared" si="1"/>
        <v>0</v>
      </c>
      <c r="H20" s="582">
        <f t="shared" si="1"/>
        <v>0</v>
      </c>
      <c r="I20" s="582">
        <f t="shared" si="1"/>
        <v>0</v>
      </c>
      <c r="J20" s="582">
        <f t="shared" si="1"/>
        <v>22689.075630252097</v>
      </c>
      <c r="K20" s="582">
        <f t="shared" si="1"/>
        <v>0</v>
      </c>
      <c r="L20" s="582">
        <f t="shared" si="1"/>
        <v>0</v>
      </c>
      <c r="M20" s="582"/>
      <c r="N20" s="582"/>
      <c r="O20" s="601">
        <f>SUM(O17:O19)</f>
        <v>213.88235294117652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72039</v>
      </c>
      <c r="C28" s="796">
        <v>3530</v>
      </c>
      <c r="D28" s="653" t="s">
        <v>890</v>
      </c>
      <c r="E28" s="652" t="s">
        <v>891</v>
      </c>
      <c r="F28" s="652" t="s">
        <v>892</v>
      </c>
      <c r="G28" s="652" t="s">
        <v>893</v>
      </c>
      <c r="H28" s="652" t="s">
        <v>894</v>
      </c>
      <c r="I28" s="652" t="s">
        <v>891</v>
      </c>
      <c r="J28" s="795">
        <v>39532</v>
      </c>
      <c r="K28" s="795">
        <v>39609</v>
      </c>
      <c r="L28" s="652" t="s">
        <v>895</v>
      </c>
      <c r="M28" s="652">
        <v>3000</v>
      </c>
      <c r="N28" s="652">
        <v>13500</v>
      </c>
      <c r="O28" s="652">
        <v>19285.714285714286</v>
      </c>
      <c r="P28" s="652">
        <v>0</v>
      </c>
      <c r="Q28" s="652">
        <v>38571.428571428572</v>
      </c>
      <c r="R28" s="652">
        <v>0</v>
      </c>
      <c r="S28" s="652">
        <v>0</v>
      </c>
      <c r="T28" s="652">
        <v>0</v>
      </c>
      <c r="U28" s="652">
        <v>0</v>
      </c>
      <c r="V28" s="652">
        <v>0</v>
      </c>
      <c r="W28" s="652">
        <v>0</v>
      </c>
      <c r="X28" s="652">
        <v>10</v>
      </c>
      <c r="Y28" s="652" t="s">
        <v>112</v>
      </c>
      <c r="Z28" s="654" t="s">
        <v>112</v>
      </c>
    </row>
    <row r="29" spans="1:26" s="606" customFormat="1" ht="38.25">
      <c r="A29" s="605"/>
      <c r="B29" s="796">
        <v>72039</v>
      </c>
      <c r="C29" s="796">
        <v>3530</v>
      </c>
      <c r="D29" s="653" t="s">
        <v>896</v>
      </c>
      <c r="E29" s="652" t="s">
        <v>897</v>
      </c>
      <c r="F29" s="652" t="s">
        <v>898</v>
      </c>
      <c r="G29" s="652" t="s">
        <v>893</v>
      </c>
      <c r="H29" s="652" t="s">
        <v>894</v>
      </c>
      <c r="I29" s="652" t="s">
        <v>897</v>
      </c>
      <c r="J29" s="795">
        <v>41561</v>
      </c>
      <c r="K29" s="795">
        <v>41428</v>
      </c>
      <c r="L29" s="652" t="s">
        <v>895</v>
      </c>
      <c r="M29" s="652">
        <v>140</v>
      </c>
      <c r="N29" s="652">
        <v>630.00000000000011</v>
      </c>
      <c r="O29" s="652">
        <v>900.00000000000023</v>
      </c>
      <c r="P29" s="652">
        <v>1800.0000000000005</v>
      </c>
      <c r="Q29" s="652">
        <v>0</v>
      </c>
      <c r="R29" s="652">
        <v>0</v>
      </c>
      <c r="S29" s="652">
        <v>0</v>
      </c>
      <c r="T29" s="652">
        <v>0</v>
      </c>
      <c r="U29" s="652">
        <v>0</v>
      </c>
      <c r="V29" s="652">
        <v>0</v>
      </c>
      <c r="W29" s="652">
        <v>0</v>
      </c>
      <c r="X29" s="652">
        <v>800</v>
      </c>
      <c r="Y29" s="652" t="s">
        <v>36</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3140</v>
      </c>
      <c r="N58" s="610">
        <f>SUM(N28:N57)</f>
        <v>14130</v>
      </c>
      <c r="O58" s="610">
        <f t="shared" ref="O58:W58" si="2">SUM(O28:O57)</f>
        <v>20185.714285714286</v>
      </c>
      <c r="P58" s="610">
        <f t="shared" si="2"/>
        <v>1800.0000000000005</v>
      </c>
      <c r="Q58" s="610">
        <f t="shared" si="2"/>
        <v>38571.428571428572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v>
      </c>
      <c r="N59" s="610">
        <f t="shared" si="3"/>
        <v>630.00000000000011</v>
      </c>
      <c r="O59" s="610">
        <f t="shared" si="3"/>
        <v>900.00000000000023</v>
      </c>
      <c r="P59" s="610">
        <f t="shared" si="3"/>
        <v>1800.0000000000005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3000</v>
      </c>
      <c r="N61" s="615">
        <f t="shared" si="4"/>
        <v>13500</v>
      </c>
      <c r="O61" s="615">
        <f t="shared" si="4"/>
        <v>19285.714285714286</v>
      </c>
      <c r="P61" s="615">
        <f t="shared" si="4"/>
        <v>0</v>
      </c>
      <c r="Q61" s="615">
        <f t="shared" si="4"/>
        <v>38571.428571428572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72039</v>
      </c>
      <c r="C64" s="796">
        <v>3530</v>
      </c>
      <c r="D64" s="655" t="s">
        <v>899</v>
      </c>
      <c r="E64" s="655" t="s">
        <v>900</v>
      </c>
      <c r="F64" s="655" t="s">
        <v>901</v>
      </c>
      <c r="G64" s="655" t="s">
        <v>902</v>
      </c>
      <c r="H64" s="655" t="s">
        <v>903</v>
      </c>
      <c r="I64" s="655" t="s">
        <v>904</v>
      </c>
      <c r="J64" s="795">
        <v>36658</v>
      </c>
      <c r="K64" s="795">
        <v>37257</v>
      </c>
      <c r="L64" s="655" t="s">
        <v>895</v>
      </c>
      <c r="M64" s="655">
        <v>3185</v>
      </c>
      <c r="N64" s="655">
        <v>14332.5</v>
      </c>
      <c r="O64" s="655">
        <v>0</v>
      </c>
      <c r="P64" s="655">
        <v>0</v>
      </c>
      <c r="Q64" s="655">
        <v>0</v>
      </c>
      <c r="R64" s="655">
        <v>40950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3185</v>
      </c>
      <c r="N89" s="610">
        <f t="shared" ref="N89:W89" si="5">SUM(N64:N88)</f>
        <v>14332.5</v>
      </c>
      <c r="O89" s="610">
        <f t="shared" si="5"/>
        <v>0</v>
      </c>
      <c r="P89" s="610">
        <f t="shared" si="5"/>
        <v>0</v>
      </c>
      <c r="Q89" s="610">
        <f t="shared" si="5"/>
        <v>0</v>
      </c>
      <c r="R89" s="610">
        <f t="shared" si="5"/>
        <v>40950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3185</v>
      </c>
      <c r="N91" s="610">
        <f t="shared" si="7"/>
        <v>14332.5</v>
      </c>
      <c r="O91" s="610">
        <f t="shared" si="7"/>
        <v>0</v>
      </c>
      <c r="P91" s="610">
        <f t="shared" si="7"/>
        <v>0</v>
      </c>
      <c r="Q91" s="610">
        <f t="shared" si="7"/>
        <v>0</v>
      </c>
      <c r="R91" s="610">
        <f t="shared" si="7"/>
        <v>40950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741.17647058823536</v>
      </c>
      <c r="C101" s="644">
        <f t="shared" si="9"/>
        <v>15882.352941176468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1058.8235294117649</v>
      </c>
      <c r="C102" s="647">
        <f t="shared" si="10"/>
        <v>22689.075630252097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47140.707060065717</v>
      </c>
      <c r="C4" s="477">
        <f>huishoudens!C8</f>
        <v>0</v>
      </c>
      <c r="D4" s="477">
        <f>huishoudens!D8</f>
        <v>82643.925254000002</v>
      </c>
      <c r="E4" s="477">
        <f>huishoudens!E8</f>
        <v>4441.725063562837</v>
      </c>
      <c r="F4" s="477">
        <f>huishoudens!F8</f>
        <v>85455.566317708552</v>
      </c>
      <c r="G4" s="477">
        <f>huishoudens!G8</f>
        <v>0</v>
      </c>
      <c r="H4" s="477">
        <f>huishoudens!H8</f>
        <v>0</v>
      </c>
      <c r="I4" s="477">
        <f>huishoudens!I8</f>
        <v>0</v>
      </c>
      <c r="J4" s="477">
        <f>huishoudens!J8</f>
        <v>0</v>
      </c>
      <c r="K4" s="477">
        <f>huishoudens!K8</f>
        <v>0</v>
      </c>
      <c r="L4" s="477">
        <f>huishoudens!L8</f>
        <v>0</v>
      </c>
      <c r="M4" s="477">
        <f>huishoudens!M8</f>
        <v>0</v>
      </c>
      <c r="N4" s="477">
        <f>huishoudens!N8</f>
        <v>27594.857846235736</v>
      </c>
      <c r="O4" s="477">
        <f>huishoudens!O8</f>
        <v>634.71333333333337</v>
      </c>
      <c r="P4" s="478">
        <f>huishoudens!P8</f>
        <v>991.4666666666667</v>
      </c>
      <c r="Q4" s="479">
        <f>SUM(B4:P4)</f>
        <v>248902.96154157288</v>
      </c>
    </row>
    <row r="5" spans="1:17">
      <c r="A5" s="476" t="s">
        <v>156</v>
      </c>
      <c r="B5" s="477">
        <f ca="1">tertiair!B16</f>
        <v>62740.429000000004</v>
      </c>
      <c r="C5" s="477">
        <f ca="1">tertiair!C16</f>
        <v>0</v>
      </c>
      <c r="D5" s="477">
        <f ca="1">tertiair!D16</f>
        <v>45704.674642000005</v>
      </c>
      <c r="E5" s="477">
        <f>tertiair!E16</f>
        <v>734.79278923550589</v>
      </c>
      <c r="F5" s="477">
        <f ca="1">tertiair!F16</f>
        <v>12080.32469655895</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1.5633333333333335</v>
      </c>
      <c r="P5" s="478">
        <f>tertiair!P16</f>
        <v>76.266666666666666</v>
      </c>
      <c r="Q5" s="476">
        <f t="shared" ref="Q5:Q14" ca="1" si="0">SUM(B5:P5)</f>
        <v>121338.05112779446</v>
      </c>
    </row>
    <row r="6" spans="1:17">
      <c r="A6" s="476" t="s">
        <v>194</v>
      </c>
      <c r="B6" s="477">
        <f>'openbare verlichting'!B8</f>
        <v>1630.0340000000001</v>
      </c>
      <c r="C6" s="477"/>
      <c r="D6" s="477"/>
      <c r="E6" s="477"/>
      <c r="F6" s="477"/>
      <c r="G6" s="477"/>
      <c r="H6" s="477"/>
      <c r="I6" s="477"/>
      <c r="J6" s="477"/>
      <c r="K6" s="477"/>
      <c r="L6" s="477"/>
      <c r="M6" s="477"/>
      <c r="N6" s="477"/>
      <c r="O6" s="477"/>
      <c r="P6" s="478"/>
      <c r="Q6" s="476">
        <f t="shared" si="0"/>
        <v>1630.0340000000001</v>
      </c>
    </row>
    <row r="7" spans="1:17">
      <c r="A7" s="476" t="s">
        <v>112</v>
      </c>
      <c r="B7" s="477">
        <f>landbouw!B8</f>
        <v>442.32100000000003</v>
      </c>
      <c r="C7" s="477">
        <f>landbouw!C8</f>
        <v>19285.714285714286</v>
      </c>
      <c r="D7" s="477">
        <f>landbouw!D8</f>
        <v>92.762581999999995</v>
      </c>
      <c r="E7" s="477">
        <f>landbouw!E8</f>
        <v>11.405760273710426</v>
      </c>
      <c r="F7" s="477">
        <f>landbouw!F8</f>
        <v>1616.7674909425086</v>
      </c>
      <c r="G7" s="477">
        <f>landbouw!G8</f>
        <v>0</v>
      </c>
      <c r="H7" s="477">
        <f>landbouw!H8</f>
        <v>0</v>
      </c>
      <c r="I7" s="477">
        <f>landbouw!I8</f>
        <v>0</v>
      </c>
      <c r="J7" s="477">
        <f>landbouw!J8</f>
        <v>63.677952489056331</v>
      </c>
      <c r="K7" s="477">
        <f>landbouw!K8</f>
        <v>0</v>
      </c>
      <c r="L7" s="477">
        <f>landbouw!L8</f>
        <v>0</v>
      </c>
      <c r="M7" s="477">
        <f>landbouw!M8</f>
        <v>0</v>
      </c>
      <c r="N7" s="477">
        <f>landbouw!N8</f>
        <v>0</v>
      </c>
      <c r="O7" s="477">
        <f>landbouw!O8</f>
        <v>0</v>
      </c>
      <c r="P7" s="478">
        <f>landbouw!P8</f>
        <v>0</v>
      </c>
      <c r="Q7" s="476">
        <f t="shared" si="0"/>
        <v>21512.649071419561</v>
      </c>
    </row>
    <row r="8" spans="1:17">
      <c r="A8" s="476" t="s">
        <v>638</v>
      </c>
      <c r="B8" s="477">
        <f>industrie!B18</f>
        <v>28381.083999999999</v>
      </c>
      <c r="C8" s="477">
        <f>industrie!C18</f>
        <v>900.00000000000023</v>
      </c>
      <c r="D8" s="477">
        <f>industrie!D18</f>
        <v>26467.761763999995</v>
      </c>
      <c r="E8" s="477">
        <f>industrie!E18</f>
        <v>2085.8476666217248</v>
      </c>
      <c r="F8" s="477">
        <f>industrie!F18</f>
        <v>11130.182466396504</v>
      </c>
      <c r="G8" s="477">
        <f>industrie!G18</f>
        <v>0</v>
      </c>
      <c r="H8" s="477">
        <f>industrie!H18</f>
        <v>0</v>
      </c>
      <c r="I8" s="477">
        <f>industrie!I18</f>
        <v>0</v>
      </c>
      <c r="J8" s="477">
        <f>industrie!J18</f>
        <v>137.17231355858755</v>
      </c>
      <c r="K8" s="477">
        <f>industrie!K18</f>
        <v>0</v>
      </c>
      <c r="L8" s="477">
        <f>industrie!L18</f>
        <v>0</v>
      </c>
      <c r="M8" s="477">
        <f>industrie!M18</f>
        <v>0</v>
      </c>
      <c r="N8" s="477">
        <f>industrie!N18</f>
        <v>6363.8881875000325</v>
      </c>
      <c r="O8" s="477">
        <f>industrie!O18</f>
        <v>0</v>
      </c>
      <c r="P8" s="478">
        <f>industrie!P18</f>
        <v>0</v>
      </c>
      <c r="Q8" s="476">
        <f t="shared" si="0"/>
        <v>75465.936398076854</v>
      </c>
    </row>
    <row r="9" spans="1:17" s="482" customFormat="1">
      <c r="A9" s="480" t="s">
        <v>564</v>
      </c>
      <c r="B9" s="481">
        <f>transport!B14</f>
        <v>56.588779075520648</v>
      </c>
      <c r="C9" s="481">
        <f>transport!C14</f>
        <v>0</v>
      </c>
      <c r="D9" s="481">
        <f>transport!D14</f>
        <v>131.71502735126984</v>
      </c>
      <c r="E9" s="481">
        <f>transport!E14</f>
        <v>527.86028454682605</v>
      </c>
      <c r="F9" s="481">
        <f>transport!F14</f>
        <v>0</v>
      </c>
      <c r="G9" s="481">
        <f>transport!G14</f>
        <v>174752.15359128715</v>
      </c>
      <c r="H9" s="481">
        <f>transport!H14</f>
        <v>35589.260603270144</v>
      </c>
      <c r="I9" s="481">
        <f>transport!I14</f>
        <v>0</v>
      </c>
      <c r="J9" s="481">
        <f>transport!J14</f>
        <v>0</v>
      </c>
      <c r="K9" s="481">
        <f>transport!K14</f>
        <v>0</v>
      </c>
      <c r="L9" s="481">
        <f>transport!L14</f>
        <v>0</v>
      </c>
      <c r="M9" s="481">
        <f>transport!M14</f>
        <v>6571.9165124422598</v>
      </c>
      <c r="N9" s="481">
        <f>transport!N14</f>
        <v>0</v>
      </c>
      <c r="O9" s="481">
        <f>transport!O14</f>
        <v>0</v>
      </c>
      <c r="P9" s="481">
        <f>transport!P14</f>
        <v>0</v>
      </c>
      <c r="Q9" s="480">
        <f>SUM(B9:P9)</f>
        <v>217629.49479797317</v>
      </c>
    </row>
    <row r="10" spans="1:17">
      <c r="A10" s="476" t="s">
        <v>554</v>
      </c>
      <c r="B10" s="477">
        <f>transport!B54</f>
        <v>0</v>
      </c>
      <c r="C10" s="477">
        <f>transport!C54</f>
        <v>0</v>
      </c>
      <c r="D10" s="477">
        <f>transport!D54</f>
        <v>0</v>
      </c>
      <c r="E10" s="477">
        <f>transport!E54</f>
        <v>0</v>
      </c>
      <c r="F10" s="477">
        <f>transport!F54</f>
        <v>0</v>
      </c>
      <c r="G10" s="477">
        <f>transport!G54</f>
        <v>3943.8995053075573</v>
      </c>
      <c r="H10" s="477">
        <f>transport!H54</f>
        <v>0</v>
      </c>
      <c r="I10" s="477">
        <f>transport!I54</f>
        <v>0</v>
      </c>
      <c r="J10" s="477">
        <f>transport!J54</f>
        <v>0</v>
      </c>
      <c r="K10" s="477">
        <f>transport!K54</f>
        <v>0</v>
      </c>
      <c r="L10" s="477">
        <f>transport!L54</f>
        <v>0</v>
      </c>
      <c r="M10" s="477">
        <f>transport!M54</f>
        <v>122.33093943330977</v>
      </c>
      <c r="N10" s="477">
        <f>transport!N54</f>
        <v>0</v>
      </c>
      <c r="O10" s="477">
        <f>transport!O54</f>
        <v>0</v>
      </c>
      <c r="P10" s="478">
        <f>transport!P54</f>
        <v>0</v>
      </c>
      <c r="Q10" s="476">
        <f t="shared" si="0"/>
        <v>4066.2304447408669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887.13499999999999</v>
      </c>
      <c r="C14" s="484"/>
      <c r="D14" s="484">
        <f>'SEAP template'!E25</f>
        <v>1756.8589999999999</v>
      </c>
      <c r="E14" s="484"/>
      <c r="F14" s="484"/>
      <c r="G14" s="484"/>
      <c r="H14" s="484"/>
      <c r="I14" s="484"/>
      <c r="J14" s="484"/>
      <c r="K14" s="484"/>
      <c r="L14" s="484"/>
      <c r="M14" s="484"/>
      <c r="N14" s="484"/>
      <c r="O14" s="484"/>
      <c r="P14" s="485"/>
      <c r="Q14" s="476">
        <f t="shared" si="0"/>
        <v>2643.9939999999997</v>
      </c>
    </row>
    <row r="15" spans="1:17" s="486" customFormat="1">
      <c r="A15" s="1038" t="s">
        <v>558</v>
      </c>
      <c r="B15" s="978">
        <f ca="1">SUM(B4:B14)</f>
        <v>141278.29883914124</v>
      </c>
      <c r="C15" s="978">
        <f t="shared" ref="C15:Q15" ca="1" si="1">SUM(C4:C14)</f>
        <v>20185.714285714286</v>
      </c>
      <c r="D15" s="978">
        <f t="shared" ca="1" si="1"/>
        <v>156797.69826935127</v>
      </c>
      <c r="E15" s="978">
        <f t="shared" si="1"/>
        <v>7801.6315642406034</v>
      </c>
      <c r="F15" s="978">
        <f t="shared" ca="1" si="1"/>
        <v>110282.84097160652</v>
      </c>
      <c r="G15" s="978">
        <f t="shared" si="1"/>
        <v>178696.0530965947</v>
      </c>
      <c r="H15" s="978">
        <f t="shared" si="1"/>
        <v>35589.260603270144</v>
      </c>
      <c r="I15" s="978">
        <f t="shared" si="1"/>
        <v>0</v>
      </c>
      <c r="J15" s="978">
        <f t="shared" si="1"/>
        <v>200.85026604764388</v>
      </c>
      <c r="K15" s="978">
        <f t="shared" si="1"/>
        <v>0</v>
      </c>
      <c r="L15" s="978">
        <f t="shared" ca="1" si="1"/>
        <v>0</v>
      </c>
      <c r="M15" s="978">
        <f t="shared" si="1"/>
        <v>6694.2474518755698</v>
      </c>
      <c r="N15" s="978">
        <f t="shared" ca="1" si="1"/>
        <v>33958.74603373577</v>
      </c>
      <c r="O15" s="978">
        <f t="shared" si="1"/>
        <v>636.27666666666676</v>
      </c>
      <c r="P15" s="978">
        <f t="shared" si="1"/>
        <v>1067.7333333333333</v>
      </c>
      <c r="Q15" s="978">
        <f t="shared" ca="1" si="1"/>
        <v>693189.35138157778</v>
      </c>
    </row>
    <row r="17" spans="1:17">
      <c r="A17" s="487" t="s">
        <v>559</v>
      </c>
      <c r="B17" s="786">
        <f ca="1">huishoudens!B10</f>
        <v>0.15321784294591217</v>
      </c>
      <c r="C17" s="786">
        <f ca="1">huishoudens!C10</f>
        <v>1.0595728737354817E-2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7222.797450688402</v>
      </c>
      <c r="C22" s="477">
        <f t="shared" ref="C22:C32" ca="1" si="3">C4*$C$17</f>
        <v>0</v>
      </c>
      <c r="D22" s="477">
        <f t="shared" ref="D22:D32" si="4">D4*$D$17</f>
        <v>16694.072901308002</v>
      </c>
      <c r="E22" s="477">
        <f t="shared" ref="E22:E32" si="5">E4*$E$17</f>
        <v>1008.2715894287641</v>
      </c>
      <c r="F22" s="477">
        <f t="shared" ref="F22:F32" si="6">F4*$F$17</f>
        <v>22816.636206828185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47741.778148253354</v>
      </c>
    </row>
    <row r="23" spans="1:17">
      <c r="A23" s="476" t="s">
        <v>156</v>
      </c>
      <c r="B23" s="477">
        <f t="shared" ca="1" si="2"/>
        <v>9612.9531968811534</v>
      </c>
      <c r="C23" s="477">
        <f t="shared" ca="1" si="3"/>
        <v>0</v>
      </c>
      <c r="D23" s="477">
        <f t="shared" ca="1" si="4"/>
        <v>9232.344277684002</v>
      </c>
      <c r="E23" s="477">
        <f t="shared" si="5"/>
        <v>166.79796315645984</v>
      </c>
      <c r="F23" s="477">
        <f t="shared" ca="1" si="6"/>
        <v>3225.4466939812396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22237.542131702856</v>
      </c>
    </row>
    <row r="24" spans="1:17">
      <c r="A24" s="476" t="s">
        <v>194</v>
      </c>
      <c r="B24" s="477">
        <f t="shared" ca="1" si="2"/>
        <v>249.75029340849701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249.75029340849701</v>
      </c>
    </row>
    <row r="25" spans="1:17">
      <c r="A25" s="476" t="s">
        <v>112</v>
      </c>
      <c r="B25" s="477">
        <f t="shared" ca="1" si="2"/>
        <v>67.771469509678823</v>
      </c>
      <c r="C25" s="477">
        <f t="shared" ca="1" si="3"/>
        <v>204.34619707755718</v>
      </c>
      <c r="D25" s="477">
        <f t="shared" si="4"/>
        <v>18.738041564</v>
      </c>
      <c r="E25" s="477">
        <f t="shared" si="5"/>
        <v>2.5891075821322667</v>
      </c>
      <c r="F25" s="477">
        <f t="shared" si="6"/>
        <v>431.67692008164983</v>
      </c>
      <c r="G25" s="477">
        <f t="shared" si="7"/>
        <v>0</v>
      </c>
      <c r="H25" s="477">
        <f t="shared" si="8"/>
        <v>0</v>
      </c>
      <c r="I25" s="477">
        <f t="shared" si="9"/>
        <v>0</v>
      </c>
      <c r="J25" s="477">
        <f t="shared" si="10"/>
        <v>22.541995181125941</v>
      </c>
      <c r="K25" s="477">
        <f t="shared" si="11"/>
        <v>0</v>
      </c>
      <c r="L25" s="477">
        <f t="shared" si="12"/>
        <v>0</v>
      </c>
      <c r="M25" s="477">
        <f t="shared" si="13"/>
        <v>0</v>
      </c>
      <c r="N25" s="477">
        <f t="shared" si="14"/>
        <v>0</v>
      </c>
      <c r="O25" s="477">
        <f t="shared" si="15"/>
        <v>0</v>
      </c>
      <c r="P25" s="478">
        <f t="shared" si="16"/>
        <v>0</v>
      </c>
      <c r="Q25" s="476">
        <f t="shared" ca="1" si="17"/>
        <v>747.66373099614407</v>
      </c>
    </row>
    <row r="26" spans="1:17">
      <c r="A26" s="476" t="s">
        <v>638</v>
      </c>
      <c r="B26" s="477">
        <f t="shared" ca="1" si="2"/>
        <v>4348.4884709467406</v>
      </c>
      <c r="C26" s="477">
        <f t="shared" ca="1" si="3"/>
        <v>9.5361558636193369</v>
      </c>
      <c r="D26" s="477">
        <f t="shared" si="4"/>
        <v>5346.4878763279994</v>
      </c>
      <c r="E26" s="477">
        <f t="shared" si="5"/>
        <v>473.48742032313152</v>
      </c>
      <c r="F26" s="477">
        <f t="shared" si="6"/>
        <v>2971.7587185278667</v>
      </c>
      <c r="G26" s="477">
        <f t="shared" si="7"/>
        <v>0</v>
      </c>
      <c r="H26" s="477">
        <f t="shared" si="8"/>
        <v>0</v>
      </c>
      <c r="I26" s="477">
        <f t="shared" si="9"/>
        <v>0</v>
      </c>
      <c r="J26" s="477">
        <f t="shared" si="10"/>
        <v>48.558998999739991</v>
      </c>
      <c r="K26" s="477">
        <f t="shared" si="11"/>
        <v>0</v>
      </c>
      <c r="L26" s="477">
        <f t="shared" si="12"/>
        <v>0</v>
      </c>
      <c r="M26" s="477">
        <f t="shared" si="13"/>
        <v>0</v>
      </c>
      <c r="N26" s="477">
        <f t="shared" si="14"/>
        <v>0</v>
      </c>
      <c r="O26" s="477">
        <f t="shared" si="15"/>
        <v>0</v>
      </c>
      <c r="P26" s="478">
        <f t="shared" si="16"/>
        <v>0</v>
      </c>
      <c r="Q26" s="476">
        <f t="shared" ca="1" si="17"/>
        <v>13198.317640989098</v>
      </c>
    </row>
    <row r="27" spans="1:17" s="482" customFormat="1">
      <c r="A27" s="480" t="s">
        <v>564</v>
      </c>
      <c r="B27" s="780">
        <f t="shared" ca="1" si="2"/>
        <v>8.6704106648940442</v>
      </c>
      <c r="C27" s="481">
        <f t="shared" ca="1" si="3"/>
        <v>0</v>
      </c>
      <c r="D27" s="481">
        <f t="shared" si="4"/>
        <v>26.60643552495651</v>
      </c>
      <c r="E27" s="481">
        <f t="shared" si="5"/>
        <v>119.82428459212952</v>
      </c>
      <c r="F27" s="481">
        <f t="shared" si="6"/>
        <v>0</v>
      </c>
      <c r="G27" s="481">
        <f t="shared" si="7"/>
        <v>46658.825008873668</v>
      </c>
      <c r="H27" s="481">
        <f t="shared" si="8"/>
        <v>8861.7258902142657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55675.652029869911</v>
      </c>
    </row>
    <row r="28" spans="1:17">
      <c r="A28" s="476" t="s">
        <v>554</v>
      </c>
      <c r="B28" s="477">
        <f t="shared" ca="1" si="2"/>
        <v>0</v>
      </c>
      <c r="C28" s="477">
        <f t="shared" ca="1" si="3"/>
        <v>0</v>
      </c>
      <c r="D28" s="477">
        <f t="shared" si="4"/>
        <v>0</v>
      </c>
      <c r="E28" s="477">
        <f t="shared" si="5"/>
        <v>0</v>
      </c>
      <c r="F28" s="477">
        <f t="shared" si="6"/>
        <v>0</v>
      </c>
      <c r="G28" s="477">
        <f t="shared" si="7"/>
        <v>1053.021167917118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1053.021167917118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135.92491110182181</v>
      </c>
      <c r="C32" s="477">
        <f t="shared" ca="1" si="3"/>
        <v>0</v>
      </c>
      <c r="D32" s="477">
        <f t="shared" si="4"/>
        <v>354.88551799999999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490.8104291018218</v>
      </c>
    </row>
    <row r="33" spans="1:17" s="486" customFormat="1">
      <c r="A33" s="1038" t="s">
        <v>558</v>
      </c>
      <c r="B33" s="978">
        <f ca="1">SUM(B22:B32)</f>
        <v>21646.356203201191</v>
      </c>
      <c r="C33" s="978">
        <f t="shared" ref="C33:Q33" ca="1" si="18">SUM(C22:C32)</f>
        <v>213.88235294117652</v>
      </c>
      <c r="D33" s="978">
        <f t="shared" ca="1" si="18"/>
        <v>31673.135050408961</v>
      </c>
      <c r="E33" s="978">
        <f t="shared" si="18"/>
        <v>1770.9703650826173</v>
      </c>
      <c r="F33" s="978">
        <f t="shared" ca="1" si="18"/>
        <v>29445.518539418943</v>
      </c>
      <c r="G33" s="978">
        <f t="shared" si="18"/>
        <v>47711.846176790787</v>
      </c>
      <c r="H33" s="978">
        <f t="shared" si="18"/>
        <v>8861.7258902142657</v>
      </c>
      <c r="I33" s="978">
        <f t="shared" si="18"/>
        <v>0</v>
      </c>
      <c r="J33" s="978">
        <f t="shared" si="18"/>
        <v>71.100994180865939</v>
      </c>
      <c r="K33" s="978">
        <f t="shared" si="18"/>
        <v>0</v>
      </c>
      <c r="L33" s="978">
        <f t="shared" ca="1" si="18"/>
        <v>0</v>
      </c>
      <c r="M33" s="978">
        <f t="shared" si="18"/>
        <v>0</v>
      </c>
      <c r="N33" s="978">
        <f t="shared" ca="1" si="18"/>
        <v>0</v>
      </c>
      <c r="O33" s="978">
        <f t="shared" si="18"/>
        <v>0</v>
      </c>
      <c r="P33" s="978">
        <f t="shared" si="18"/>
        <v>0</v>
      </c>
      <c r="Q33" s="978">
        <f t="shared" ca="1" si="18"/>
        <v>141394.53557223879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15545.941119040048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13500</v>
      </c>
      <c r="C8" s="1055">
        <f>'SEAP template'!C76</f>
        <v>630.00000000000011</v>
      </c>
      <c r="D8" s="1055">
        <f>'SEAP template'!D76</f>
        <v>741.17647058823536</v>
      </c>
      <c r="E8" s="1055">
        <f>'SEAP template'!E76</f>
        <v>0</v>
      </c>
      <c r="F8" s="1055">
        <f>'SEAP template'!F76</f>
        <v>0</v>
      </c>
      <c r="G8" s="1055">
        <f>'SEAP template'!G76</f>
        <v>0</v>
      </c>
      <c r="H8" s="1055">
        <f>'SEAP template'!H76</f>
        <v>0</v>
      </c>
      <c r="I8" s="1055">
        <f>'SEAP template'!I76</f>
        <v>0</v>
      </c>
      <c r="J8" s="1055">
        <f>'SEAP template'!J76</f>
        <v>15882.352941176468</v>
      </c>
      <c r="K8" s="1055">
        <f>'SEAP template'!K76</f>
        <v>0</v>
      </c>
      <c r="L8" s="1055">
        <f>'SEAP template'!L76</f>
        <v>0</v>
      </c>
      <c r="M8" s="1055">
        <f>'SEAP template'!M76</f>
        <v>0</v>
      </c>
      <c r="N8" s="1055">
        <f>'SEAP template'!N76</f>
        <v>0</v>
      </c>
      <c r="O8" s="1055">
        <f>'SEAP template'!O76</f>
        <v>0</v>
      </c>
      <c r="P8" s="1056">
        <f>'SEAP template'!Q76</f>
        <v>149.71764705882356</v>
      </c>
    </row>
    <row r="9" spans="1:16">
      <c r="A9" s="1058" t="s">
        <v>863</v>
      </c>
      <c r="B9" s="1055">
        <f>'SEAP template'!B77</f>
        <v>14332.5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40950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43378.44111904005</v>
      </c>
      <c r="C10" s="1059">
        <f>SUM(C4:C9)</f>
        <v>630.00000000000011</v>
      </c>
      <c r="D10" s="1059">
        <f t="shared" ref="D10:H10" si="0">SUM(D8:D9)</f>
        <v>741.17647058823536</v>
      </c>
      <c r="E10" s="1059">
        <f t="shared" si="0"/>
        <v>0</v>
      </c>
      <c r="F10" s="1059">
        <f t="shared" si="0"/>
        <v>0</v>
      </c>
      <c r="G10" s="1059">
        <f t="shared" si="0"/>
        <v>0</v>
      </c>
      <c r="H10" s="1059">
        <f t="shared" si="0"/>
        <v>0</v>
      </c>
      <c r="I10" s="1059">
        <f>SUM(I8:I9)</f>
        <v>0</v>
      </c>
      <c r="J10" s="1059">
        <f>SUM(J8:J9)</f>
        <v>56832.352941176468</v>
      </c>
      <c r="K10" s="1059">
        <f t="shared" ref="K10:L10" si="1">SUM(K8:K9)</f>
        <v>0</v>
      </c>
      <c r="L10" s="1059">
        <f t="shared" si="1"/>
        <v>0</v>
      </c>
      <c r="M10" s="1059">
        <f>SUM(M8:M9)</f>
        <v>0</v>
      </c>
      <c r="N10" s="1059">
        <f>SUM(N8:N9)</f>
        <v>0</v>
      </c>
      <c r="O10" s="1059">
        <f>SUM(O8:O9)</f>
        <v>0</v>
      </c>
      <c r="P10" s="1059">
        <f>SUM(P8:P9)</f>
        <v>149.71764705882356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0.15321784294591217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19285.714285714283</v>
      </c>
      <c r="C17" s="1061">
        <f>'SEAP template'!C87</f>
        <v>900.00000000000023</v>
      </c>
      <c r="D17" s="1056">
        <f>'SEAP template'!D87</f>
        <v>1058.8235294117649</v>
      </c>
      <c r="E17" s="1056">
        <f>'SEAP template'!E87</f>
        <v>0</v>
      </c>
      <c r="F17" s="1056">
        <f>'SEAP template'!F87</f>
        <v>0</v>
      </c>
      <c r="G17" s="1056">
        <f>'SEAP template'!G87</f>
        <v>0</v>
      </c>
      <c r="H17" s="1056">
        <f>'SEAP template'!H87</f>
        <v>0</v>
      </c>
      <c r="I17" s="1056">
        <f>'SEAP template'!I87</f>
        <v>0</v>
      </c>
      <c r="J17" s="1056">
        <f>'SEAP template'!J87</f>
        <v>22689.075630252097</v>
      </c>
      <c r="K17" s="1056">
        <f>'SEAP template'!K87</f>
        <v>0</v>
      </c>
      <c r="L17" s="1056">
        <f>'SEAP template'!L87</f>
        <v>0</v>
      </c>
      <c r="M17" s="1056">
        <f>'SEAP template'!M87</f>
        <v>0</v>
      </c>
      <c r="N17" s="1056">
        <f>'SEAP template'!N87</f>
        <v>0</v>
      </c>
      <c r="O17" s="1056">
        <f>'SEAP template'!O87</f>
        <v>0</v>
      </c>
      <c r="P17" s="1056">
        <f>'SEAP template'!Q87</f>
        <v>213.88235294117652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19285.714285714283</v>
      </c>
      <c r="C20" s="1059">
        <f>SUM(C17:C19)</f>
        <v>900.00000000000023</v>
      </c>
      <c r="D20" s="1059">
        <f t="shared" ref="D20:H20" si="2">SUM(D17:D19)</f>
        <v>1058.8235294117649</v>
      </c>
      <c r="E20" s="1059">
        <f t="shared" si="2"/>
        <v>0</v>
      </c>
      <c r="F20" s="1059">
        <f t="shared" si="2"/>
        <v>0</v>
      </c>
      <c r="G20" s="1059">
        <f t="shared" si="2"/>
        <v>0</v>
      </c>
      <c r="H20" s="1059">
        <f t="shared" si="2"/>
        <v>0</v>
      </c>
      <c r="I20" s="1059">
        <f>SUM(I17:I19)</f>
        <v>0</v>
      </c>
      <c r="J20" s="1059">
        <f>SUM(J17:J19)</f>
        <v>22689.075630252097</v>
      </c>
      <c r="K20" s="1059">
        <f t="shared" ref="K20:L20" si="3">SUM(K17:K19)</f>
        <v>0</v>
      </c>
      <c r="L20" s="1059">
        <f t="shared" si="3"/>
        <v>0</v>
      </c>
      <c r="M20" s="1059">
        <f>SUM(M17:M19)</f>
        <v>0</v>
      </c>
      <c r="N20" s="1059">
        <f>SUM(N17:N19)</f>
        <v>0</v>
      </c>
      <c r="O20" s="1059">
        <f>SUM(O17:O19)</f>
        <v>0</v>
      </c>
      <c r="P20" s="1059">
        <f>SUM(P17:P19)</f>
        <v>213.88235294117652</v>
      </c>
    </row>
    <row r="22" spans="1:16">
      <c r="A22" s="487" t="s">
        <v>871</v>
      </c>
      <c r="B22" s="786" t="s">
        <v>865</v>
      </c>
      <c r="C22" s="786">
        <f ca="1">'EF ele_warmte'!B22</f>
        <v>1.0595728737354817E-2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0.15321784294591217</v>
      </c>
      <c r="C17" s="524">
        <f ca="1">'EF ele_warmte'!B22</f>
        <v>1.0595728737354817E-2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2019-08-12T08:26:29Z</dcterms:modified>
</cp:coreProperties>
</file>