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D20" s="1"/>
  <c r="C19"/>
  <c r="D89" i="14" s="1"/>
  <c r="D19" i="59" s="1"/>
  <c r="B19" i="18"/>
  <c r="N18"/>
  <c r="L88" i="14" s="1"/>
  <c r="M18" i="18"/>
  <c r="L18"/>
  <c r="K18"/>
  <c r="J18"/>
  <c r="J88" i="14" s="1"/>
  <c r="J18" i="59" s="1"/>
  <c r="I18" i="18"/>
  <c r="H18"/>
  <c r="G18"/>
  <c r="F18"/>
  <c r="F20" s="1"/>
  <c r="E18"/>
  <c r="D18"/>
  <c r="C18"/>
  <c r="B18"/>
  <c r="L9"/>
  <c r="O77" i="14" s="1"/>
  <c r="K9" i="18"/>
  <c r="I9"/>
  <c r="I77" i="14" s="1"/>
  <c r="I9" i="59" s="1"/>
  <c r="G9" i="18"/>
  <c r="G10" s="1"/>
  <c r="F9"/>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N6" i="17" s="1"/>
  <c r="U61" i="18"/>
  <c r="L6" i="17" s="1"/>
  <c r="T61" i="18"/>
  <c r="S61"/>
  <c r="F6" i="17" s="1"/>
  <c r="R61" i="18"/>
  <c r="Q61"/>
  <c r="P61"/>
  <c r="O61"/>
  <c r="N61"/>
  <c r="M61"/>
  <c r="W60"/>
  <c r="V60"/>
  <c r="U60"/>
  <c r="T60"/>
  <c r="S60"/>
  <c r="F13" i="15" s="1"/>
  <c r="R60" i="18"/>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12"/>
  <c r="F12"/>
  <c r="E12"/>
  <c r="D12"/>
  <c r="C12"/>
  <c r="K10"/>
  <c r="F10"/>
  <c r="B6"/>
  <c r="B74" i="14" s="1"/>
  <c r="B6" i="59" s="1"/>
  <c r="B5" i="18"/>
  <c r="B73" i="14" s="1"/>
  <c r="B5" i="59" s="1"/>
  <c r="B4" i="18"/>
  <c r="D6" i="17"/>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O29"/>
  <c r="P28"/>
  <c r="O28"/>
  <c r="M89" i="14"/>
  <c r="M19" i="59" s="1"/>
  <c r="L89" i="14"/>
  <c r="L19" i="59" s="1"/>
  <c r="K89" i="14"/>
  <c r="K19" i="59" s="1"/>
  <c r="J89" i="14"/>
  <c r="J19" i="59" s="1"/>
  <c r="G89" i="14"/>
  <c r="G19" i="59" s="1"/>
  <c r="O88" i="14"/>
  <c r="O18" i="59" s="1"/>
  <c r="N88" i="14"/>
  <c r="N18" i="59" s="1"/>
  <c r="M88" i="14"/>
  <c r="M18" i="59" s="1"/>
  <c r="K88" i="14"/>
  <c r="K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N77" i="14"/>
  <c r="N9" i="59" s="1"/>
  <c r="L77" i="14"/>
  <c r="L9" i="59" s="1"/>
  <c r="K77" i="14"/>
  <c r="K9" i="59" s="1"/>
  <c r="G77" i="14"/>
  <c r="G9" i="59" s="1"/>
  <c r="O76" i="14"/>
  <c r="O8" i="59" s="1"/>
  <c r="N76" i="14"/>
  <c r="N8" i="59" s="1"/>
  <c r="L76" i="14"/>
  <c r="K76"/>
  <c r="K8" i="59" s="1"/>
  <c r="H76" i="14"/>
  <c r="G76"/>
  <c r="G8" i="59" s="1"/>
  <c r="G10" s="1"/>
  <c r="E76" i="14"/>
  <c r="E8" i="59" s="1"/>
  <c r="B75" i="14"/>
  <c r="B7" i="59" s="1"/>
  <c r="B72" i="14"/>
  <c r="B4" i="59" s="1"/>
  <c r="C64" i="14"/>
  <c r="Q54"/>
  <c r="Q56" s="1"/>
  <c r="P54"/>
  <c r="L54"/>
  <c r="J54"/>
  <c r="J56" s="1"/>
  <c r="I54"/>
  <c r="H54"/>
  <c r="Q24"/>
  <c r="P24"/>
  <c r="P26" s="1"/>
  <c r="N24"/>
  <c r="L24"/>
  <c r="J24"/>
  <c r="J26" s="1"/>
  <c r="I24"/>
  <c r="H24"/>
  <c r="H26" s="1"/>
  <c r="Q50"/>
  <c r="P50"/>
  <c r="O50"/>
  <c r="M50"/>
  <c r="L50"/>
  <c r="K50"/>
  <c r="J50"/>
  <c r="G50"/>
  <c r="D50"/>
  <c r="Q49"/>
  <c r="P49"/>
  <c r="Q20"/>
  <c r="P20"/>
  <c r="O20"/>
  <c r="M20"/>
  <c r="L20"/>
  <c r="K20"/>
  <c r="J20"/>
  <c r="J22" s="1"/>
  <c r="G20"/>
  <c r="G22" s="1"/>
  <c r="D20"/>
  <c r="Q19"/>
  <c r="P19"/>
  <c r="O19"/>
  <c r="M19"/>
  <c r="L19"/>
  <c r="K19"/>
  <c r="J19"/>
  <c r="I19"/>
  <c r="G19"/>
  <c r="F19"/>
  <c r="E19"/>
  <c r="D19"/>
  <c r="D22" s="1"/>
  <c r="Q48"/>
  <c r="P48"/>
  <c r="P52" s="1"/>
  <c r="O48"/>
  <c r="M48"/>
  <c r="L48"/>
  <c r="K48"/>
  <c r="J48"/>
  <c r="G48"/>
  <c r="D48"/>
  <c r="Q18"/>
  <c r="Q22" s="1"/>
  <c r="P18"/>
  <c r="O18"/>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H56"/>
  <c r="I56"/>
  <c r="Q52"/>
  <c r="R44"/>
  <c r="E25"/>
  <c r="E55" s="1"/>
  <c r="C25"/>
  <c r="B14" i="48" s="1"/>
  <c r="Q26" i="14"/>
  <c r="N26"/>
  <c r="L26"/>
  <c r="I26"/>
  <c r="L22"/>
  <c r="P22"/>
  <c r="O22"/>
  <c r="R12"/>
  <c r="O78" l="1"/>
  <c r="O9" i="59"/>
  <c r="N19"/>
  <c r="N90" i="14"/>
  <c r="L18" i="59"/>
  <c r="L90" i="14"/>
  <c r="H90"/>
  <c r="H18" i="59"/>
  <c r="H20" s="1"/>
  <c r="H78" i="14"/>
  <c r="H8" i="59"/>
  <c r="K10"/>
  <c r="E89" i="14"/>
  <c r="E19" i="59" s="1"/>
  <c r="C98" i="18"/>
  <c r="D101" s="1"/>
  <c r="O90" i="14"/>
  <c r="H77"/>
  <c r="H9" i="59" s="1"/>
  <c r="H10" s="1"/>
  <c r="P29" i="48"/>
  <c r="L10" i="18"/>
  <c r="G20"/>
  <c r="K90" i="14"/>
  <c r="P31" i="48"/>
  <c r="E77" i="14"/>
  <c r="E9" i="59" s="1"/>
  <c r="E10" s="1"/>
  <c r="N20"/>
  <c r="B17" i="18"/>
  <c r="B20" s="1"/>
  <c r="E20" i="59"/>
  <c r="K20"/>
  <c r="P25" i="48"/>
  <c r="R25" i="14"/>
  <c r="O10" i="59"/>
  <c r="L78" i="14"/>
  <c r="L8" i="59"/>
  <c r="L10" s="1"/>
  <c r="G78" i="14"/>
  <c r="N10" i="59"/>
  <c r="L20"/>
  <c r="B8" i="18"/>
  <c r="B10" s="1"/>
  <c r="O19"/>
  <c r="L13" i="15"/>
  <c r="N13"/>
  <c r="O9" i="18"/>
  <c r="O18"/>
  <c r="G88" i="14"/>
  <c r="F89"/>
  <c r="B89" s="1"/>
  <c r="B19" i="59" s="1"/>
  <c r="G101" i="18"/>
  <c r="I102"/>
  <c r="H17" s="1"/>
  <c r="E102"/>
  <c r="E17" s="1"/>
  <c r="H102"/>
  <c r="D102"/>
  <c r="G102"/>
  <c r="C102"/>
  <c r="F102"/>
  <c r="B102"/>
  <c r="C17" s="1"/>
  <c r="Q88" i="14"/>
  <c r="P18" i="59" s="1"/>
  <c r="B88" i="14"/>
  <c r="B18" i="59" s="1"/>
  <c r="Q14" i="48"/>
  <c r="O24"/>
  <c r="O30"/>
  <c r="P24"/>
  <c r="P30"/>
  <c r="C88" i="14"/>
  <c r="C18" i="59" s="1"/>
  <c r="E90" i="14"/>
  <c r="N78"/>
  <c r="G90" l="1"/>
  <c r="G18" i="59"/>
  <c r="G20" s="1"/>
  <c r="C101" i="18"/>
  <c r="F101"/>
  <c r="I8" s="1"/>
  <c r="B101"/>
  <c r="C8" s="1"/>
  <c r="D76" i="14" s="1"/>
  <c r="D8" i="59" s="1"/>
  <c r="D10" s="1"/>
  <c r="I101" i="18"/>
  <c r="H8" s="1"/>
  <c r="H10" s="1"/>
  <c r="E78" i="14"/>
  <c r="B77"/>
  <c r="B9" i="59" s="1"/>
  <c r="H101" i="18"/>
  <c r="J8" s="1"/>
  <c r="Q77" i="14"/>
  <c r="P9" i="59" s="1"/>
  <c r="C89" i="14"/>
  <c r="C19" i="59" s="1"/>
  <c r="F19"/>
  <c r="E101" i="18"/>
  <c r="E8" s="1"/>
  <c r="C77" i="14"/>
  <c r="C9" i="59" s="1"/>
  <c r="Q89" i="14"/>
  <c r="P19" i="59" s="1"/>
  <c r="C20" i="18"/>
  <c r="D87" i="14"/>
  <c r="D17" i="59" s="1"/>
  <c r="D20" s="1"/>
  <c r="C10" i="18"/>
  <c r="J17"/>
  <c r="F87" i="14"/>
  <c r="E20" i="18"/>
  <c r="E10"/>
  <c r="F76" i="14"/>
  <c r="F8" i="59" s="1"/>
  <c r="F10" s="1"/>
  <c r="I17" i="18"/>
  <c r="O17" s="1"/>
  <c r="O20" s="1"/>
  <c r="H20"/>
  <c r="M87" i="14"/>
  <c r="H14" i="15"/>
  <c r="H16" s="1"/>
  <c r="G14"/>
  <c r="G16" s="1"/>
  <c r="O8" i="18" l="1"/>
  <c r="O10" s="1"/>
  <c r="G5" i="48"/>
  <c r="H10" i="14"/>
  <c r="H16" s="1"/>
  <c r="M90"/>
  <c r="M17" i="59"/>
  <c r="M20" s="1"/>
  <c r="F90" i="14"/>
  <c r="F17" i="59"/>
  <c r="F20" s="1"/>
  <c r="M76" i="14"/>
  <c r="H5" i="48"/>
  <c r="I10" i="14"/>
  <c r="I16" s="1"/>
  <c r="I76"/>
  <c r="I8" i="59" s="1"/>
  <c r="I10" s="1"/>
  <c r="I10" i="18"/>
  <c r="Q87" i="14"/>
  <c r="D90"/>
  <c r="F78"/>
  <c r="J87"/>
  <c r="J20" i="18"/>
  <c r="J10"/>
  <c r="J76" i="14"/>
  <c r="I87"/>
  <c r="I17" i="59" s="1"/>
  <c r="I20" s="1"/>
  <c r="I20" i="18"/>
  <c r="D78" i="14"/>
  <c r="B24" i="44"/>
  <c r="B23"/>
  <c r="J90" i="14" l="1"/>
  <c r="J17" i="59"/>
  <c r="J20" s="1"/>
  <c r="M78" i="14"/>
  <c r="M8" i="59"/>
  <c r="M10" s="1"/>
  <c r="J78" i="14"/>
  <c r="J8" i="59"/>
  <c r="J10" s="1"/>
  <c r="Q90" i="14"/>
  <c r="B17" i="6" s="1"/>
  <c r="P17" i="59"/>
  <c r="P20" s="1"/>
  <c r="Q76" i="14"/>
  <c r="B87"/>
  <c r="I90"/>
  <c r="C87"/>
  <c r="C76"/>
  <c r="B76"/>
  <c r="I78"/>
  <c r="A31" i="23"/>
  <c r="A32"/>
  <c r="A33"/>
  <c r="C78" i="14" l="1"/>
  <c r="C8" i="59"/>
  <c r="C10" s="1"/>
  <c r="B78" i="14"/>
  <c r="B8" i="59"/>
  <c r="B10" s="1"/>
  <c r="Q78" i="14"/>
  <c r="B9" i="6" s="1"/>
  <c r="P8" i="59"/>
  <c r="P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9"/>
  <c r="J28"/>
  <c r="J27"/>
  <c r="J31"/>
  <c r="J24"/>
  <c r="J30"/>
  <c r="P11" i="14"/>
  <c r="O4" i="48"/>
  <c r="I27"/>
  <c r="I22"/>
  <c r="I32"/>
  <c r="I31"/>
  <c r="I25"/>
  <c r="I29"/>
  <c r="I26"/>
  <c r="I30"/>
  <c r="I24"/>
  <c r="I28"/>
  <c r="E11" i="14"/>
  <c r="D4" i="48"/>
  <c r="D22" s="1"/>
  <c r="H32"/>
  <c r="H25"/>
  <c r="H29"/>
  <c r="H26"/>
  <c r="H28"/>
  <c r="H22"/>
  <c r="H24"/>
  <c r="H30"/>
  <c r="H23"/>
  <c r="B4"/>
  <c r="C11" i="14"/>
  <c r="F32" i="48"/>
  <c r="F27"/>
  <c r="F31"/>
  <c r="F24"/>
  <c r="F29"/>
  <c r="F28"/>
  <c r="F30"/>
  <c r="N32"/>
  <c r="N27"/>
  <c r="N29"/>
  <c r="N30"/>
  <c r="N28"/>
  <c r="N24"/>
  <c r="N31"/>
  <c r="B10"/>
  <c r="C19" i="14"/>
  <c r="D11"/>
  <c r="C4" i="48"/>
  <c r="D29"/>
  <c r="D30"/>
  <c r="D28"/>
  <c r="D32"/>
  <c r="D24"/>
  <c r="D31"/>
  <c r="P5"/>
  <c r="P23" s="1"/>
  <c r="Q10" i="14"/>
  <c r="P4" i="48"/>
  <c r="Q11" i="14"/>
  <c r="G32" i="48"/>
  <c r="G25"/>
  <c r="G29"/>
  <c r="G26"/>
  <c r="G22"/>
  <c r="G30"/>
  <c r="G24"/>
  <c r="G23"/>
  <c r="E31"/>
  <c r="E28"/>
  <c r="E32"/>
  <c r="E30"/>
  <c r="E29"/>
  <c r="E24"/>
  <c r="M32"/>
  <c r="M26"/>
  <c r="M25"/>
  <c r="M22"/>
  <c r="M30"/>
  <c r="M29"/>
  <c r="M24"/>
  <c r="M23"/>
  <c r="L10" i="14"/>
  <c r="L16" s="1"/>
  <c r="L27" s="1"/>
  <c r="K5" i="48"/>
  <c r="L29"/>
  <c r="L27"/>
  <c r="L32"/>
  <c r="L30"/>
  <c r="L22"/>
  <c r="L24"/>
  <c r="L31"/>
  <c r="L28"/>
  <c r="K28"/>
  <c r="K27"/>
  <c r="K25"/>
  <c r="K31"/>
  <c r="K32"/>
  <c r="K30"/>
  <c r="K29"/>
  <c r="K26"/>
  <c r="K22"/>
  <c r="K24"/>
  <c r="B7"/>
  <c r="C24" i="14"/>
  <c r="C26" s="1"/>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K15" i="48"/>
  <c r="K23"/>
  <c r="K33" s="1"/>
  <c r="E20" i="14"/>
  <c r="E22" s="1"/>
  <c r="D9" i="48"/>
  <c r="D27" s="1"/>
  <c r="P10" i="14"/>
  <c r="O5" i="48"/>
  <c r="O23" s="1"/>
  <c r="F4"/>
  <c r="F22" s="1"/>
  <c r="G11" i="14"/>
  <c r="J10"/>
  <c r="J16" s="1"/>
  <c r="J27" s="1"/>
  <c r="J63" s="1"/>
  <c r="I5" i="48"/>
  <c r="O22"/>
  <c r="J46" i="14"/>
  <c r="J61" s="1"/>
  <c r="H18"/>
  <c r="G13" i="48"/>
  <c r="H13"/>
  <c r="H31" s="1"/>
  <c r="I18" i="14"/>
  <c r="M12" i="22"/>
  <c r="N18" i="14"/>
  <c r="M13" i="48"/>
  <c r="M31" s="1"/>
  <c r="Q13" i="14"/>
  <c r="Q16" s="1"/>
  <c r="Q27" s="1"/>
  <c r="Q63" s="1"/>
  <c r="P8" i="48"/>
  <c r="P26" s="1"/>
  <c r="P15"/>
  <c r="P22"/>
  <c r="P33" s="1"/>
  <c r="K24" i="14"/>
  <c r="K26" s="1"/>
  <c r="J7" i="48"/>
  <c r="J25" s="1"/>
  <c r="C20" i="14"/>
  <c r="C22" s="1"/>
  <c r="B9"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N52"/>
  <c r="N61" s="1"/>
  <c r="E12" i="13"/>
  <c r="F41" i="14" s="1"/>
  <c r="F11"/>
  <c r="E4" i="48"/>
  <c r="M9"/>
  <c r="N20" i="14"/>
  <c r="O22" i="16"/>
  <c r="P43" i="14" s="1"/>
  <c r="O8" i="48"/>
  <c r="O26" s="1"/>
  <c r="O33" s="1"/>
  <c r="P13" i="14"/>
  <c r="P16" s="1"/>
  <c r="P27" s="1"/>
  <c r="I23" i="48"/>
  <c r="I33" s="1"/>
  <c r="I15"/>
  <c r="H19" i="14"/>
  <c r="G10" i="48"/>
  <c r="E7"/>
  <c r="E25" s="1"/>
  <c r="F24" i="14"/>
  <c r="F26" s="1"/>
  <c r="H9" i="48"/>
  <c r="I20" i="14"/>
  <c r="I22" s="1"/>
  <c r="I27" s="1"/>
  <c r="R18"/>
  <c r="J4" i="48"/>
  <c r="K11" i="14"/>
  <c r="N19"/>
  <c r="M10" i="48"/>
  <c r="M28" s="1"/>
  <c r="Q13"/>
  <c r="G31"/>
  <c r="P46" i="14"/>
  <c r="P61" s="1"/>
  <c r="G14" i="22"/>
  <c r="O15" i="48"/>
  <c r="N22" i="14"/>
  <c r="N27" s="1"/>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I63" l="1"/>
  <c r="H27" i="48"/>
  <c r="H33" s="1"/>
  <c r="H15"/>
  <c r="E22"/>
  <c r="Q4"/>
  <c r="M27"/>
  <c r="M33" s="1"/>
  <c r="M15"/>
  <c r="H20" i="14"/>
  <c r="R20" s="1"/>
  <c r="G9" i="48"/>
  <c r="G28"/>
  <c r="Q10"/>
  <c r="P63" i="14"/>
  <c r="R19"/>
  <c r="R22" s="1"/>
  <c r="J22" i="48"/>
  <c r="N63" i="14"/>
  <c r="E5" i="48"/>
  <c r="E23" s="1"/>
  <c r="F10" i="14"/>
  <c r="K10"/>
  <c r="J5" i="48"/>
  <c r="J23" s="1"/>
  <c r="H22" i="14"/>
  <c r="H27" s="1"/>
  <c r="R11"/>
  <c r="Q7" i="48"/>
  <c r="E20" i="15"/>
  <c r="F40" i="14" s="1"/>
  <c r="J18" i="16"/>
  <c r="E18"/>
  <c r="F18"/>
  <c r="F22" s="1"/>
  <c r="G43" i="14" s="1"/>
  <c r="N18" i="16"/>
  <c r="G18" i="22"/>
  <c r="H50" i="14" s="1"/>
  <c r="H52" s="1"/>
  <c r="H61" s="1"/>
  <c r="H63" s="1"/>
  <c r="E22" i="16"/>
  <c r="F43" i="14" s="1"/>
  <c r="H18" i="22"/>
  <c r="I50" i="14" s="1"/>
  <c r="I52" s="1"/>
  <c r="I61" s="1"/>
  <c r="J22" i="16" l="1"/>
  <c r="K43" i="14" s="1"/>
  <c r="K46" s="1"/>
  <c r="K61" s="1"/>
  <c r="K13"/>
  <c r="K16" s="1"/>
  <c r="K27" s="1"/>
  <c r="J8" i="48"/>
  <c r="F13" i="14"/>
  <c r="E8" i="48"/>
  <c r="E26" s="1"/>
  <c r="G27"/>
  <c r="G33" s="1"/>
  <c r="G15"/>
  <c r="Q9"/>
  <c r="F46" i="14"/>
  <c r="F61" s="1"/>
  <c r="F63" s="1"/>
  <c r="E33" i="48"/>
  <c r="F16" i="14"/>
  <c r="F27" s="1"/>
  <c r="E15" i="48"/>
  <c r="N8"/>
  <c r="N26" s="1"/>
  <c r="O13" i="14"/>
  <c r="N22" i="16"/>
  <c r="O43" i="14" s="1"/>
  <c r="G13"/>
  <c r="R13" s="1"/>
  <c r="F8" i="48"/>
  <c r="J26" l="1"/>
  <c r="J33" s="1"/>
  <c r="J15"/>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<sst xmlns="http://schemas.openxmlformats.org/spreadsheetml/2006/main" count="2401" uniqueCount="896">
  <si>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</si>
  <si>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</si>
  <si>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</si>
  <si>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</si>
  <si>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</si>
  <si>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</si>
  <si>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</si>
  <si>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</si>
  <si>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</si>
  <si>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</si>
  <si>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</si>
  <si>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</si>
  <si>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</si>
  <si>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</si>
  <si>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</si>
  <si>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</si>
  <si>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</si>
  <si>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</si>
  <si>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</si>
  <si>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</si>
  <si>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</si>
  <si>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</si>
  <si>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</si>
  <si>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</si>
  <si>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</si>
  <si>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</si>
  <si>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</si>
  <si>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</si>
  <si>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</si>
  <si>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</si>
  <si>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</si>
  <si>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</si>
  <si>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</si>
  <si>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</si>
  <si>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</si>
  <si>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</si>
  <si>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</si>
  <si>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</si>
  <si>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</si>
  <si>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</si>
  <si>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</si>
  <si>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</si>
  <si>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</si>
  <si>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</si>
  <si>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</si>
  <si>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</si>
  <si>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</si>
  <si>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</si>
  <si>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</si>
  <si>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</si>
  <si>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</si>
  <si>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</si>
  <si>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</si>
  <si>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</si>
  <si>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</si>
  <si>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</si>
  <si>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</si>
  <si>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</si>
  <si>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</si>
  <si>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</si>
  <si>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</si>
  <si>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</si>
  <si>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</si>
  <si>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</si>
  <si>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</si>
  <si>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</si>
  <si>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</si>
  <si>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</si>
  <si>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</si>
  <si>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</si>
  <si>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</si>
  <si>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</si>
  <si>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</si>
  <si>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</si>
  <si>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</si>
  <si>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</si>
  <si>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</si>
  <si>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</si>
  <si>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</si>
  <si>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</si>
  <si>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</si>
  <si>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</si>
  <si>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</si>
  <si>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</si>
  <si>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</si>
  <si>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</si>
  <si>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</si>
  <si>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</si>
  <si>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</si>
  <si>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</si>
  <si>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</si>
  <si>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</si>
  <si>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</si>
  <si>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</si>
  <si>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</si>
  <si>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</si>
  <si>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</si>
  <si>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</si>
  <si>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</si>
  <si>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</si>
  <si>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</si>
  <si>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</si>
  <si>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</si>
  <si>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</si>
  <si>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</si>
  <si>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</si>
  <si>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</si>
  <si>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</si>
  <si>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</si>
  <si>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</si>
  <si>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</si>
  <si>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</si>
  <si>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</si>
  <si>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</si>
  <si>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</si>
  <si>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</si>
  <si>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</si>
  <si>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</si>
  <si>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</si>
  <si>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</si>
  <si>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</si>
  <si>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</si>
  <si>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</si>
  <si>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</si>
  <si>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</si>
  <si>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</si>
  <si>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</si>
  <si>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</si>
  <si>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</si>
  <si>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</si>
  <si>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</si>
  <si>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</si>
  <si>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</si>
  <si>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</si>
  <si>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</si>
  <si>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</si>
  <si>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</si>
  <si>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</si>
  <si>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</si>
  <si>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</si>
  <si>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</si>
  <si>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</si>
  <si>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</si>
  <si>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</si>
  <si>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</si>
  <si>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</si>
  <si>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</si>
  <si>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</si>
  <si>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</si>
  <si>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</si>
  <si>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</si>
  <si>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</si>
  <si>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</si>
  <si>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</si>
  <si>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</si>
  <si>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</si>
  <si>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</si>
  <si>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</si>
  <si>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</si>
  <si>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</si>
  <si>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</si>
  <si>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</si>
  <si>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</si>
  <si>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</si>
  <si>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</si>
  <si>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</si>
  <si>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</si>
  <si>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</si>
  <si>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</si>
  <si>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</si>
  <si>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</si>
  <si>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</si>
  <si>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</si>
  <si>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</si>
  <si>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</si>
  <si>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</si>
  <si>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</si>
  <si>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</si>
  <si>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</si>
  <si>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</si>
  <si>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</si>
  <si>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</si>
  <si>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</si>
  <si>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</si>
  <si>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</si>
  <si>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</si>
  <si>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</si>
  <si>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</si>
  <si>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</si>
  <si>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</si>
  <si>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</si>
  <si>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</si>
  <si>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</si>
  <si>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</si>
  <si>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</si>
  <si>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</si>
  <si>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</si>
  <si>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</si>
  <si>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</si>
  <si>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</si>
  <si>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</si>
  <si>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</si>
  <si>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</si>
  <si>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</si>
  <si>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</si>
  <si>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</si>
  <si>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</si>
  <si>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</si>
  <si>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</si>
  <si>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</si>
  <si>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</si>
  <si>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</si>
  <si>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</si>
  <si>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</si>
  <si>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</si>
  <si>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</si>
  <si>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</si>
  <si>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</si>
  <si>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</si>
  <si>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</si>
  <si>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</si>
  <si>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</si>
  <si>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</si>
  <si>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</si>
  <si>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</si>
  <si>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</si>
  <si>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</si>
  <si>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</si>
  <si>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</si>
  <si>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</si>
  <si>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</si>
  <si>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</si>
  <si>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</si>
  <si>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</si>
  <si>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</si>
  <si>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</si>
  <si>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</si>
  <si>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</si>
  <si>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</si>
  <si>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</si>
  <si>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</si>
  <si>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</si>
  <si>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</si>
  <si>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</si>
  <si>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</si>
  <si>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</si>
  <si>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</si>
  <si>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</si>
  <si>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</si>
  <si>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</si>
  <si>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</si>
  <si>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</si>
  <si>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</si>
  <si>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</si>
  <si>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</si>
  <si>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</si>
  <si>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</si>
  <si>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</si>
  <si>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</si>
  <si>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</si>
  <si>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</si>
  <si>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</si>
  <si>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</si>
  <si>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</si>
  <si>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</si>
  <si>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</si>
  <si>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</si>
  <si>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</si>
  <si>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</si>
  <si>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</si>
  <si>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</si>
  <si>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</si>
  <si>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</si>
  <si>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</si>
  <si>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</si>
  <si>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</si>
  <si>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</si>
  <si>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</si>
  <si>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</si>
  <si>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</si>
  <si>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</si>
  <si>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</si>
  <si>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</si>
  <si>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</si>
  <si>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</si>
  <si>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</si>
  <si>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</si>
  <si>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</si>
  <si>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</si>
  <si>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</si>
  <si>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</si>
  <si>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</si>
  <si>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</si>
  <si>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</si>
  <si>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</si>
  <si>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</si>
  <si>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</si>
  <si>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</si>
  <si>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</si>
  <si>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</si>
  <si>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</si>
  <si>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</si>
  <si>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</si>
  <si>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</si>
  <si>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</si>
  <si>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</si>
  <si>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</si>
  <si>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</si>
  <si>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</si>
  <si>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</si>
  <si>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</si>
  <si>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</si>
  <si>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</si>
  <si>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</si>
  <si>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</si>
  <si>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</si>
  <si>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</si>
  <si>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</si>
  <si>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</si>
  <si>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</si>
  <si>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</si>
  <si>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</si>
  <si>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</si>
  <si>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</si>
  <si>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</si>
  <si>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</si>
  <si>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</si>
  <si>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</si>
  <si>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</si>
  <si>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</si>
  <si>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</si>
  <si>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</si>
  <si>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</si>
  <si>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</si>
  <si>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</si>
  <si>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</si>
  <si>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</si>
  <si>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</si>
  <si>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</si>
  <si>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</si>
  <si>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</si>
  <si>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</si>
  <si>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</si>
  <si>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</si>
  <si>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</si>
  <si>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</si>
  <si>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</si>
  <si>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</si>
  <si>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</si>
  <si>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</si>
  <si>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</si>
  <si>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</si>
  <si>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</si>
  <si>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</si>
  <si>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</si>
  <si>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</si>
  <si>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</si>
  <si>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</si>
  <si>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</si>
  <si>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</si>
  <si>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</si>
  <si>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</si>
  <si>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</si>
  <si>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</si>
  <si>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</si>
  <si>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</si>
  <si>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</si>
  <si>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</si>
  <si>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</si>
  <si>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</si>
  <si>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</si>
  <si>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</si>
  <si>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</si>
  <si>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</si>
  <si>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</si>
  <si>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</si>
  <si>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</si>
  <si>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</si>
  <si>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</si>
  <si>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</si>
  <si>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</si>
  <si>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</si>
  <si>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</si>
  <si>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</si>
  <si>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</si>
  <si>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</si>
  <si>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</si>
  <si>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</si>
  <si>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</si>
  <si>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</si>
  <si>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</si>
  <si>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</si>
  <si>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</si>
  <si>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</si>
  <si>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</si>
  <si>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</si>
  <si>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</si>
  <si>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</si>
  <si>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</si>
  <si>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</si>
  <si>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</si>
  <si>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</si>
  <si>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</si>
  <si>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</si>
  <si>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</si>
  <si>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</si>
  <si>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</si>
  <si>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</si>
  <si>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</si>
  <si>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</si>
  <si>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</si>
  <si>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</si>
  <si>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</si>
  <si>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</si>
  <si>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</si>
  <si>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</si>
  <si>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</si>
  <si>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</si>
  <si>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</si>
  <si>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</si>
  <si>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</si>
  <si>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</si>
  <si>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</si>
  <si>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</si>
  <si>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</si>
  <si>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</si>
  <si>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</si>
  <si>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</si>
  <si>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</si>
  <si>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</si>
  <si>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</si>
  <si>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</si>
  <si>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</si>
  <si>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</si>
  <si>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</si>
  <si>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</si>
  <si>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</si>
  <si>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</si>
  <si>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</si>
  <si>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</si>
  <si>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</si>
  <si>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</si>
  <si>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</si>
  <si>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</si>
  <si>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</si>
  <si>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</si>
  <si>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</si>
  <si>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</si>
  <si>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</si>
  <si>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</si>
  <si>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</si>
  <si>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</si>
  <si>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</si>
  <si>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</si>
  <si>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</si>
  <si>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</si>
  <si>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</si>
  <si>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</si>
  <si>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</si>
  <si>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</si>
  <si>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</si>
  <si>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</si>
  <si>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</si>
  <si>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</si>
  <si>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</si>
  <si>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</si>
  <si>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</si>
  <si>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</si>
  <si>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</si>
  <si>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</si>
  <si>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</si>
  <si>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</si>
  <si>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</si>
  <si>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</si>
  <si>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</si>
  <si>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</si>
  <si>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</si>
  <si>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</si>
  <si>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</si>
  <si>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</si>
  <si>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</si>
  <si>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</si>
  <si>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</si>
  <si>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</si>
  <si>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</si>
  <si>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</si>
  <si>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</si>
  <si>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</si>
  <si>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</si>
  <si>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</si>
  <si>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</si>
  <si>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</si>
  <si>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</si>
  <si>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</si>
  <si>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</si>
  <si>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</si>
  <si>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</si>
  <si>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</si>
  <si>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</si>
  <si>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</si>
  <si>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</si>
  <si>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</si>
  <si>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</si>
  <si>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</si>
  <si>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</si>
  <si>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</si>
  <si>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</si>
  <si>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</si>
  <si>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</si>
  <si>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</si>
  <si>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</si>
  <si>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</si>
  <si>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</si>
  <si>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</si>
  <si>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</si>
  <si>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</si>
  <si>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</si>
  <si>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</si>
  <si>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</si>
  <si>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</si>
  <si>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</si>
  <si>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</si>
  <si>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</si>
  <si>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</si>
  <si>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</si>
  <si>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</si>
  <si>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</si>
  <si>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</si>
  <si>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</si>
  <si>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</si>
  <si>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</si>
  <si>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</si>
  <si>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</si>
  <si>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</si>
  <si>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</si>
  <si>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</si>
  <si>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</si>
  <si>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</si>
  <si>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</si>
  <si>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</si>
  <si>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</si>
  <si>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</si>
  <si>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</si>
  <si>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</si>
  <si>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</si>
  <si>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</si>
  <si>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</si>
  <si>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</si>
  <si>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</si>
  <si>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</si>
  <si>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</si>
  <si>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</si>
  <si>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</si>
  <si>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</si>
  <si>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</si>
  <si>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</si>
  <si>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</si>
  <si>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</si>
  <si>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</si>
  <si>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</si>
  <si>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</si>
  <si>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</si>
  <si>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</si>
  <si>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</si>
  <si>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</si>
  <si>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</si>
  <si>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</si>
  <si>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</si>
  <si>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</si>
  <si>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</si>
  <si>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</si>
  <si>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</si>
  <si>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</si>
  <si>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</si>
  <si>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</si>
  <si>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</si>
  <si>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</si>
  <si>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</si>
  <si>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</si>
  <si>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</si>
  <si>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</si>
  <si>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</si>
  <si>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</si>
  <si>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</si>
  <si>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</si>
  <si>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</si>
  <si>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</si>
  <si>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</si>
  <si>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</si>
  <si>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</si>
  <si>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</si>
  <si>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</si>
  <si>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</si>
  <si>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</si>
  <si>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</si>
  <si>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</si>
  <si>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</si>
  <si>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</si>
  <si>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</si>
  <si>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</si>
  <si>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</si>
  <si>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</si>
  <si>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</si>
  <si>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</si>
  <si>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</si>
  <si>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</si>
  <si>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</si>
  <si>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</si>
  <si>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</si>
  <si>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</si>
  <si>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</si>
  <si>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</si>
  <si>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</si>
  <si>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</si>
  <si>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</si>
  <si>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</si>
  <si>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</si>
  <si>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</si>
  <si>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</si>
  <si>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</si>
  <si>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</si>
  <si>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</si>
  <si>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</si>
  <si>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</si>
  <si>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</si>
  <si>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</si>
  <si>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</si>
  <si>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</si>
  <si>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</si>
  <si>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</si>
  <si>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</si>
  <si>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</si>
  <si>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</si>
  <si>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</si>
  <si>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</si>
  <si>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</si>
  <si>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</si>
  <si>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</si>
  <si>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</si>
  <si>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</si>
  <si>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</si>
  <si>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</si>
  <si>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</si>
  <si>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</si>
  <si>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</si>
  <si>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</si>
  <si>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</si>
  <si>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</si>
  <si>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</si>
  <si>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</si>
  <si>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</si>
  <si>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</si>
  <si>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</si>
  <si>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</si>
  <si>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</si>
  <si>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</si>
  <si>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</si>
  <si>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</si>
  <si>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</si>
  <si>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</si>
  <si>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</si>
  <si>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</si>
  <si>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</si>
  <si>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</si>
  <si>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</si>
  <si>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</si>
  <si>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</si>
  <si>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</si>
  <si>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</si>
  <si>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</si>
  <si>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</si>
  <si>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</si>
  <si>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</si>
  <si>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</si>
  <si>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</si>
  <si>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</si>
  <si>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</si>
  <si>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</si>
  <si>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</si>
  <si>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</si>
  <si>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</si>
  <si>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</si>
  <si>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</si>
  <si>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</si>
  <si>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</si>
  <si>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</si>
  <si>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</si>
  <si>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</si>
  <si>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</si>
  <si>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</si>
  <si>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</si>
  <si>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</si>
  <si>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</si>
  <si>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</si>
  <si>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</si>
  <si>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</si>
  <si>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</si>
  <si>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</si>
  <si>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</si>
  <si>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</si>
  <si>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</si>
  <si>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</si>
  <si>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</si>
  <si>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</si>
  <si>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</si>
  <si>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</si>
  <si>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</si>
  <si>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</si>
  <si>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</si>
  <si>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</si>
  <si>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</si>
  <si>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</si>
  <si>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</si>
  <si>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</si>
  <si>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</si>
  <si>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</si>
  <si>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</si>
  <si>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</si>
  <si>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</si>
  <si>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</si>
  <si>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</si>
  <si>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</si>
  <si>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</si>
  <si>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</si>
  <si>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</si>
  <si>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</si>
  <si>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</si>
  <si>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</si>
  <si>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</si>
  <si>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</si>
  <si>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</si>
  <si>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</si>
  <si>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</si>
  <si>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</si>
  <si>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</si>
  <si>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</si>
  <si>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</si>
  <si>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</si>
  <si>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</si>
  <si>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</si>
  <si>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</si>
  <si>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</si>
  <si>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</si>
  <si>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</si>
  <si>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</si>
  <si>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</si>
  <si>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</si>
  <si>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</si>
  <si>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</si>
  <si>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</si>
  <si>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</si>
  <si>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</si>
  <si>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</si>
  <si>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</si>
  <si>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</si>
  <si>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</si>
  <si>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</si>
  <si>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</si>
  <si>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</si>
  <si>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</si>
  <si>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</si>
  <si>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</si>
  <si>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</si>
  <si>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</si>
  <si>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</si>
  <si>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</si>
  <si>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</si>
  <si>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</si>
  <si>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</si>
  <si>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</si>
  <si>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</si>
  <si>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</si>
  <si>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</si>
  <si>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</si>
  <si>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</si>
  <si>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</si>
  <si>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</si>
  <si>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</si>
  <si>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</si>
  <si>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</si>
  <si>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</si>
  <si>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</si>
  <si>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</si>
  <si>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</si>
  <si>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</si>
  <si>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</si>
  <si>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</si>
  <si>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</si>
  <si>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</si>
  <si>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</si>
  <si>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</si>
  <si>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</si>
  <si>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</si>
  <si>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</si>
  <si>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</si>
  <si>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</si>
  <si>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</si>
  <si>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</si>
  <si>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</si>
  <si>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</si>
  <si>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</si>
  <si>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</si>
  <si>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</si>
  <si>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</si>
  <si>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</si>
  <si>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</si>
  <si>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</si>
  <si>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</si>
  <si>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</si>
  <si>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</si>
  <si>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</si>
  <si>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</si>
  <si>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</si>
  <si>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</si>
  <si>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</si>
  <si>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</si>
  <si>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</si>
  <si>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</si>
  <si>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</si>
  <si>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</si>
  <si>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</si>
  <si>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</si>
  <si>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</si>
  <si>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</si>
  <si>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</si>
  <si>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</si>
  <si>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</si>
  <si>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</si>
  <si>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</si>
  <si>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</si>
  <si>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</si>
  <si>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</si>
  <si>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</si>
  <si>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</si>
  <si>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</si>
  <si>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</si>
  <si>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</si>
  <si>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</si>
  <si>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</si>
  <si>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</si>
  <si>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</si>
  <si>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</si>
  <si>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</si>
  <si>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</si>
  <si>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</si>
  <si>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</si>
  <si>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</si>
  <si>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</si>
  <si>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</si>
  <si>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</si>
  <si>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</si>
  <si>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</si>
  <si>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</si>
  <si>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</si>
  <si>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</si>
  <si>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</si>
  <si>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</si>
  <si>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</si>
  <si>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</si>
  <si>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</si>
  <si>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</si>
  <si>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</si>
  <si>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</si>
  <si>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</si>
  <si>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</si>
  <si>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</si>
  <si>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</si>
  <si>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</si>
  <si>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</si>
  <si>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</si>
  <si>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</si>
  <si>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</si>
  <si>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</si>
  <si>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</si>
  <si>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</si>
  <si>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</si>
  <si>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</si>
  <si>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</si>
  <si>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</si>
  <si>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</si>
  <si>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</si>
  <si>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</si>
  <si>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72030</t>
  </si>
  <si>
    <t>PEER</t>
  </si>
  <si>
    <t>Paarden&amp;pony's 200 - 600 kg</t>
  </si>
  <si>
    <t>Paarden&amp;pony's &lt; 200 kg</t>
  </si>
  <si>
    <t>referentietaak LNE (2017); Jaarverslag De Lijn (2015)</t>
  </si>
  <si>
    <t>op basis van VEA (maart 2018) en Inventaris Hernieuwbare Energiebronnen (juni 2018)</t>
  </si>
  <si>
    <t>VEA (januari 2017)</t>
  </si>
  <si>
    <t>VEA (juni 2018)</t>
  </si>
  <si>
    <t>Wim Clijsters</t>
  </si>
  <si>
    <t>Knaapstraat 2 , 3990 Peer</t>
  </si>
  <si>
    <t>WKK-0499 Wim Clijsters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</si>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</sst>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143340.4522400581</c:v>
                </c:pt>
                <c:pt idx="1">
                  <c:v>72560.533445488545</c:v>
                </c:pt>
                <c:pt idx="2">
                  <c:v>1070.268</c:v>
                </c:pt>
                <c:pt idx="3">
                  <c:v>17278.871546009883</c:v>
                </c:pt>
                <c:pt idx="4">
                  <c:v>34421.484736914717</c:v>
                </c:pt>
                <c:pt idx="5">
                  <c:v>108298.77566061555</c:v>
                </c:pt>
                <c:pt idx="6">
                  <c:v>2720.5894662746655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3536"/>
        <c:axId val="131635072"/>
      </c:barChart>
      <c:catAx>
        <c:axId val="131633536"/>
        <c:scaling>
          <c:orientation val="minMax"/>
        </c:scaling>
        <c:axPos val="b"/>
        <c:numFmt formatCode="General" sourceLinked="0"/>
        <c:tickLblPos val="nextTo"/>
        <c:crossAx val="131635072"/>
        <c:crosses val="autoZero"/>
        <c:auto val="1"/>
        <c:lblAlgn val="ctr"/>
        <c:lblOffset val="100"/>
      </c:catAx>
      <c:valAx>
        <c:axId val="131635072"/>
        <c:scaling>
          <c:orientation val="minMax"/>
        </c:scaling>
        <c:axPos val="l"/>
        <c:majorGridlines/>
        <c:numFmt formatCode="#,##0" sourceLinked="1"/>
        <c:tickLblPos val="nextTo"/>
        <c:crossAx val="131633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143340.4522400581</c:v>
                </c:pt>
                <c:pt idx="1">
                  <c:v>72560.533445488545</c:v>
                </c:pt>
                <c:pt idx="2">
                  <c:v>1070.268</c:v>
                </c:pt>
                <c:pt idx="3">
                  <c:v>17278.871546009883</c:v>
                </c:pt>
                <c:pt idx="4">
                  <c:v>34421.484736914717</c:v>
                </c:pt>
                <c:pt idx="5">
                  <c:v>108298.77566061555</c:v>
                </c:pt>
                <c:pt idx="6">
                  <c:v>2720.5894662746655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27420.642298692805</c:v>
                </c:pt>
                <c:pt idx="2">
                  <c:v>14369.368124942554</c:v>
                </c:pt>
                <c:pt idx="3">
                  <c:v>205.75427057132447</c:v>
                </c:pt>
                <c:pt idx="4">
                  <c:v>4366.6613738839887</c:v>
                </c:pt>
                <c:pt idx="5">
                  <c:v>6118.8026573692332</c:v>
                </c:pt>
                <c:pt idx="6">
                  <c:v>27673.697356002995</c:v>
                </c:pt>
                <c:pt idx="7">
                  <c:v>704.54400854355106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7520"/>
        <c:axId val="149873408"/>
      </c:barChart>
      <c:catAx>
        <c:axId val="149867520"/>
        <c:scaling>
          <c:orientation val="minMax"/>
        </c:scaling>
        <c:axPos val="b"/>
        <c:numFmt formatCode="General" sourceLinked="0"/>
        <c:tickLblPos val="nextTo"/>
        <c:crossAx val="149873408"/>
        <c:crosses val="autoZero"/>
        <c:auto val="1"/>
        <c:lblAlgn val="ctr"/>
        <c:lblOffset val="100"/>
      </c:catAx>
      <c:valAx>
        <c:axId val="149873408"/>
        <c:scaling>
          <c:orientation val="minMax"/>
        </c:scaling>
        <c:axPos val="l"/>
        <c:majorGridlines/>
        <c:numFmt formatCode="#,##0" sourceLinked="1"/>
        <c:tickLblPos val="nextTo"/>
        <c:crossAx val="14986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27420.642298692805</c:v>
                </c:pt>
                <c:pt idx="2">
                  <c:v>14369.368124942554</c:v>
                </c:pt>
                <c:pt idx="3">
                  <c:v>205.75427057132447</c:v>
                </c:pt>
                <c:pt idx="4">
                  <c:v>4366.6613738839887</c:v>
                </c:pt>
                <c:pt idx="5">
                  <c:v>6118.8026573692332</c:v>
                </c:pt>
                <c:pt idx="6">
                  <c:v>27673.697356002995</c:v>
                </c:pt>
                <c:pt idx="7">
                  <c:v>704.54400854355106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72030</v>
      </c>
      <c r="B6" s="415"/>
      <c r="C6" s="416"/>
    </row>
    <row r="7" spans="1:7" s="413" customFormat="1" ht="15.75" customHeight="1">
      <c r="A7" s="417" t="str">
        <f>txtMunicipality</f>
        <v>PEER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24841.331000000002</v>
      </c>
      <c r="D10" s="1012">
        <f ca="1">tertiair!C16</f>
        <v>0</v>
      </c>
      <c r="E10" s="1012">
        <f ca="1">tertiair!D16</f>
        <v>38954.63070400001</v>
      </c>
      <c r="F10" s="1012">
        <f>tertiair!E16</f>
        <v>526.33012158966187</v>
      </c>
      <c r="G10" s="1012">
        <f ca="1">tertiair!F16</f>
        <v>6783.4250061735784</v>
      </c>
      <c r="H10" s="1012">
        <f>tertiair!G16</f>
        <v>0</v>
      </c>
      <c r="I10" s="1012">
        <f>tertiair!H16</f>
        <v>0</v>
      </c>
      <c r="J10" s="1012">
        <f>tertiair!I16</f>
        <v>0</v>
      </c>
      <c r="K10" s="1012">
        <f>tertiair!J16</f>
        <v>0</v>
      </c>
      <c r="L10" s="1012">
        <f>tertiair!K16</f>
        <v>0</v>
      </c>
      <c r="M10" s="1012">
        <f ca="1">tertiair!L16</f>
        <v>0</v>
      </c>
      <c r="N10" s="1012">
        <f>tertiair!M16</f>
        <v>0</v>
      </c>
      <c r="O10" s="1012">
        <f ca="1">tertiair!N16</f>
        <v>2483.8246137253032</v>
      </c>
      <c r="P10" s="1012">
        <f>tertiair!O16</f>
        <v>3.1266666666666669</v>
      </c>
      <c r="Q10" s="1013">
        <f>tertiair!P16</f>
        <v>38.133333333333333</v>
      </c>
      <c r="R10" s="700">
        <f ca="1">SUM(C10:Q10)</f>
        <v>73630.801445488556</v>
      </c>
      <c r="S10" s="67"/>
    </row>
    <row r="11" spans="1:19" s="473" customFormat="1">
      <c r="A11" s="809" t="s">
        <v>225</v>
      </c>
      <c r="B11" s="814"/>
      <c r="C11" s="1012">
        <f>huishoudens!B8</f>
        <v>28968.301589178813</v>
      </c>
      <c r="D11" s="1012">
        <f>huishoudens!C8</f>
        <v>0</v>
      </c>
      <c r="E11" s="1012">
        <f>huishoudens!D8</f>
        <v>38725.429798000005</v>
      </c>
      <c r="F11" s="1012">
        <f>huishoudens!E8</f>
        <v>5209.0428674714358</v>
      </c>
      <c r="G11" s="1012">
        <f>huishoudens!F8</f>
        <v>48114.70186964699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20150.482782427527</v>
      </c>
      <c r="P11" s="1012">
        <f>huishoudens!O8</f>
        <v>456.4933333333334</v>
      </c>
      <c r="Q11" s="1013">
        <f>huishoudens!P8</f>
        <v>1716</v>
      </c>
      <c r="R11" s="700">
        <f>SUM(C11:Q11)</f>
        <v>143340.4522400581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23693.375</v>
      </c>
      <c r="D13" s="1012">
        <f>industrie!C18</f>
        <v>0</v>
      </c>
      <c r="E13" s="1012">
        <f>industrie!D18</f>
        <v>2524.709726</v>
      </c>
      <c r="F13" s="1012">
        <f>industrie!E18</f>
        <v>664.01724309599592</v>
      </c>
      <c r="G13" s="1012">
        <f>industrie!F18</f>
        <v>3217.493875513605</v>
      </c>
      <c r="H13" s="1012">
        <f>industrie!G18</f>
        <v>0</v>
      </c>
      <c r="I13" s="1012">
        <f>industrie!H18</f>
        <v>0</v>
      </c>
      <c r="J13" s="1012">
        <f>industrie!I18</f>
        <v>0</v>
      </c>
      <c r="K13" s="1012">
        <f>industrie!J18</f>
        <v>124.46999525534292</v>
      </c>
      <c r="L13" s="1012">
        <f>industrie!K18</f>
        <v>0</v>
      </c>
      <c r="M13" s="1012">
        <f>industrie!L18</f>
        <v>0</v>
      </c>
      <c r="N13" s="1012">
        <f>industrie!M18</f>
        <v>0</v>
      </c>
      <c r="O13" s="1012">
        <f>industrie!N18</f>
        <v>4197.4188970497698</v>
      </c>
      <c r="P13" s="1012">
        <f>industrie!O18</f>
        <v>0</v>
      </c>
      <c r="Q13" s="1013">
        <f>industrie!P18</f>
        <v>0</v>
      </c>
      <c r="R13" s="700">
        <f>SUM(C13:Q13)</f>
        <v>34421.484736914717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77503.007589178815</v>
      </c>
      <c r="D16" s="732">
        <f t="shared" ref="D16:R16" ca="1" si="0">SUM(D9:D15)</f>
        <v>0</v>
      </c>
      <c r="E16" s="732">
        <f t="shared" ca="1" si="0"/>
        <v>80204.770228000009</v>
      </c>
      <c r="F16" s="732">
        <f t="shared" si="0"/>
        <v>6399.3902321570931</v>
      </c>
      <c r="G16" s="732">
        <f t="shared" ca="1" si="0"/>
        <v>58115.620751334172</v>
      </c>
      <c r="H16" s="732">
        <f t="shared" si="0"/>
        <v>0</v>
      </c>
      <c r="I16" s="732">
        <f t="shared" si="0"/>
        <v>0</v>
      </c>
      <c r="J16" s="732">
        <f t="shared" si="0"/>
        <v>0</v>
      </c>
      <c r="K16" s="732">
        <f t="shared" si="0"/>
        <v>124.46999525534292</v>
      </c>
      <c r="L16" s="732">
        <f t="shared" si="0"/>
        <v>0</v>
      </c>
      <c r="M16" s="732">
        <f t="shared" ca="1" si="0"/>
        <v>0</v>
      </c>
      <c r="N16" s="732">
        <f t="shared" si="0"/>
        <v>0</v>
      </c>
      <c r="O16" s="732">
        <f t="shared" ca="1" si="0"/>
        <v>26831.726293202602</v>
      </c>
      <c r="P16" s="732">
        <f t="shared" si="0"/>
        <v>459.62000000000006</v>
      </c>
      <c r="Q16" s="732">
        <f t="shared" si="0"/>
        <v>1754.1333333333334</v>
      </c>
      <c r="R16" s="732">
        <f t="shared" ca="1" si="0"/>
        <v>251392.73842246138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2638.7416050320262</v>
      </c>
      <c r="I19" s="1012">
        <f>transport!H54</f>
        <v>0</v>
      </c>
      <c r="J19" s="1012">
        <f>transport!I54</f>
        <v>0</v>
      </c>
      <c r="K19" s="1012">
        <f>transport!J54</f>
        <v>0</v>
      </c>
      <c r="L19" s="1012">
        <f>transport!K54</f>
        <v>0</v>
      </c>
      <c r="M19" s="1012">
        <f>transport!L54</f>
        <v>0</v>
      </c>
      <c r="N19" s="1012">
        <f>transport!M54</f>
        <v>81.847861242639453</v>
      </c>
      <c r="O19" s="1012">
        <f>transport!N54</f>
        <v>0</v>
      </c>
      <c r="P19" s="1012">
        <f>transport!O54</f>
        <v>0</v>
      </c>
      <c r="Q19" s="1013">
        <f>transport!P54</f>
        <v>0</v>
      </c>
      <c r="R19" s="700">
        <f>SUM(C19:Q19)</f>
        <v>2720.5894662746655</v>
      </c>
      <c r="S19" s="67"/>
    </row>
    <row r="20" spans="1:19" s="473" customFormat="1">
      <c r="A20" s="809" t="s">
        <v>307</v>
      </c>
      <c r="B20" s="814"/>
      <c r="C20" s="1012">
        <f>transport!B14</f>
        <v>29.516821241687467</v>
      </c>
      <c r="D20" s="1012">
        <f>transport!C14</f>
        <v>0</v>
      </c>
      <c r="E20" s="1012">
        <f>transport!D14</f>
        <v>73.16056035785148</v>
      </c>
      <c r="F20" s="1012">
        <f>transport!E14</f>
        <v>278.0498140405337</v>
      </c>
      <c r="G20" s="1012">
        <f>transport!F14</f>
        <v>0</v>
      </c>
      <c r="H20" s="1012">
        <f>transport!G14</f>
        <v>85111.501209961163</v>
      </c>
      <c r="I20" s="1012">
        <f>transport!H14</f>
        <v>19539.583590951588</v>
      </c>
      <c r="J20" s="1012">
        <f>transport!I14</f>
        <v>0</v>
      </c>
      <c r="K20" s="1012">
        <f>transport!J14</f>
        <v>0</v>
      </c>
      <c r="L20" s="1012">
        <f>transport!K14</f>
        <v>0</v>
      </c>
      <c r="M20" s="1012">
        <f>transport!L14</f>
        <v>0</v>
      </c>
      <c r="N20" s="1012">
        <f>transport!M14</f>
        <v>3266.9636640627341</v>
      </c>
      <c r="O20" s="1012">
        <f>transport!N14</f>
        <v>0</v>
      </c>
      <c r="P20" s="1012">
        <f>transport!O14</f>
        <v>0</v>
      </c>
      <c r="Q20" s="1013">
        <f>transport!P14</f>
        <v>0</v>
      </c>
      <c r="R20" s="700">
        <f>SUM(C20:Q20)</f>
        <v>108298.77566061555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29.516821241687467</v>
      </c>
      <c r="D22" s="812">
        <f t="shared" ref="D22:R22" si="1">SUM(D18:D21)</f>
        <v>0</v>
      </c>
      <c r="E22" s="812">
        <f t="shared" si="1"/>
        <v>73.16056035785148</v>
      </c>
      <c r="F22" s="812">
        <f t="shared" si="1"/>
        <v>278.0498140405337</v>
      </c>
      <c r="G22" s="812">
        <f t="shared" si="1"/>
        <v>0</v>
      </c>
      <c r="H22" s="812">
        <f t="shared" si="1"/>
        <v>87750.242814993195</v>
      </c>
      <c r="I22" s="812">
        <f t="shared" si="1"/>
        <v>19539.583590951588</v>
      </c>
      <c r="J22" s="812">
        <f t="shared" si="1"/>
        <v>0</v>
      </c>
      <c r="K22" s="812">
        <f t="shared" si="1"/>
        <v>0</v>
      </c>
      <c r="L22" s="812">
        <f t="shared" si="1"/>
        <v>0</v>
      </c>
      <c r="M22" s="812">
        <f t="shared" si="1"/>
        <v>0</v>
      </c>
      <c r="N22" s="812">
        <f t="shared" si="1"/>
        <v>3348.8115253053734</v>
      </c>
      <c r="O22" s="812">
        <f t="shared" si="1"/>
        <v>0</v>
      </c>
      <c r="P22" s="812">
        <f t="shared" si="1"/>
        <v>0</v>
      </c>
      <c r="Q22" s="812">
        <f t="shared" si="1"/>
        <v>0</v>
      </c>
      <c r="R22" s="812">
        <f t="shared" si="1"/>
        <v>111019.36512689022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3550.5889999999999</v>
      </c>
      <c r="D24" s="1012">
        <f>+landbouw!C8</f>
        <v>62.357142857142847</v>
      </c>
      <c r="E24" s="1012">
        <f>+landbouw!D8</f>
        <v>85.136172000000002</v>
      </c>
      <c r="F24" s="1012">
        <f>+landbouw!E8</f>
        <v>91.556057624379648</v>
      </c>
      <c r="G24" s="1012">
        <f>+landbouw!F8</f>
        <v>12978.078971828312</v>
      </c>
      <c r="H24" s="1012">
        <f>+landbouw!G8</f>
        <v>0</v>
      </c>
      <c r="I24" s="1012">
        <f>+landbouw!H8</f>
        <v>0</v>
      </c>
      <c r="J24" s="1012">
        <f>+landbouw!I8</f>
        <v>0</v>
      </c>
      <c r="K24" s="1012">
        <f>+landbouw!J8</f>
        <v>511.15420170004586</v>
      </c>
      <c r="L24" s="1012">
        <f>+landbouw!K8</f>
        <v>0</v>
      </c>
      <c r="M24" s="1012">
        <f>+landbouw!L8</f>
        <v>0</v>
      </c>
      <c r="N24" s="1012">
        <f>+landbouw!M8</f>
        <v>0</v>
      </c>
      <c r="O24" s="1012">
        <f>+landbouw!N8</f>
        <v>0</v>
      </c>
      <c r="P24" s="1012">
        <f>+landbouw!O8</f>
        <v>0</v>
      </c>
      <c r="Q24" s="1013">
        <f>+landbouw!P8</f>
        <v>0</v>
      </c>
      <c r="R24" s="700">
        <f>SUM(C24:Q24)</f>
        <v>17278.871546009883</v>
      </c>
      <c r="S24" s="67"/>
    </row>
    <row r="25" spans="1:19" s="473" customFormat="1" ht="15" thickBot="1">
      <c r="A25" s="831" t="s">
        <v>848</v>
      </c>
      <c r="B25" s="1015"/>
      <c r="C25" s="1016">
        <f>IF(Onbekend_ele_kWh="---",0,Onbekend_ele_kWh)/1000+IF(REST_rest_ele_kWh="---",0,REST_rest_ele_kWh)/1000</f>
        <v>472.92399999999998</v>
      </c>
      <c r="D25" s="1016"/>
      <c r="E25" s="1016">
        <f>IF(onbekend_gas_kWh="---",0,onbekend_gas_kWh)/1000+IF(REST_rest_gas_kWh="---",0,REST_rest_gas_kWh)/1000</f>
        <v>698.93200000000002</v>
      </c>
      <c r="F25" s="1016"/>
      <c r="G25" s="1016"/>
      <c r="H25" s="1016"/>
      <c r="I25" s="1016"/>
      <c r="J25" s="1016"/>
      <c r="K25" s="1016"/>
      <c r="L25" s="1016"/>
      <c r="M25" s="1016"/>
      <c r="N25" s="1016"/>
      <c r="O25" s="1016"/>
      <c r="P25" s="1016"/>
      <c r="Q25" s="1017"/>
      <c r="R25" s="700">
        <f>SUM(C25:Q25)</f>
        <v>1171.856</v>
      </c>
      <c r="S25" s="67"/>
    </row>
    <row r="26" spans="1:19" s="473" customFormat="1" ht="15.75" thickBot="1">
      <c r="A26" s="705" t="s">
        <v>849</v>
      </c>
      <c r="B26" s="817"/>
      <c r="C26" s="812">
        <f>SUM(C24:C25)</f>
        <v>4023.5129999999999</v>
      </c>
      <c r="D26" s="812">
        <f t="shared" ref="D26:R26" si="2">SUM(D24:D25)</f>
        <v>62.357142857142847</v>
      </c>
      <c r="E26" s="812">
        <f t="shared" si="2"/>
        <v>784.068172</v>
      </c>
      <c r="F26" s="812">
        <f t="shared" si="2"/>
        <v>91.556057624379648</v>
      </c>
      <c r="G26" s="812">
        <f t="shared" si="2"/>
        <v>12978.078971828312</v>
      </c>
      <c r="H26" s="812">
        <f t="shared" si="2"/>
        <v>0</v>
      </c>
      <c r="I26" s="812">
        <f t="shared" si="2"/>
        <v>0</v>
      </c>
      <c r="J26" s="812">
        <f t="shared" si="2"/>
        <v>0</v>
      </c>
      <c r="K26" s="812">
        <f t="shared" si="2"/>
        <v>511.15420170004586</v>
      </c>
      <c r="L26" s="812">
        <f t="shared" si="2"/>
        <v>0</v>
      </c>
      <c r="M26" s="812">
        <f t="shared" si="2"/>
        <v>0</v>
      </c>
      <c r="N26" s="812">
        <f t="shared" si="2"/>
        <v>0</v>
      </c>
      <c r="O26" s="812">
        <f t="shared" si="2"/>
        <v>0</v>
      </c>
      <c r="P26" s="812">
        <f t="shared" si="2"/>
        <v>0</v>
      </c>
      <c r="Q26" s="812">
        <f t="shared" si="2"/>
        <v>0</v>
      </c>
      <c r="R26" s="812">
        <f t="shared" si="2"/>
        <v>18450.727546009883</v>
      </c>
      <c r="S26" s="67"/>
    </row>
    <row r="27" spans="1:19" s="473" customFormat="1" ht="17.25" thickTop="1" thickBot="1">
      <c r="A27" s="706" t="s">
        <v>116</v>
      </c>
      <c r="B27" s="805"/>
      <c r="C27" s="707">
        <f ca="1">C22+C16+C26</f>
        <v>81556.037410420511</v>
      </c>
      <c r="D27" s="707">
        <f t="shared" ref="D27:R27" ca="1" si="3">D22+D16+D26</f>
        <v>62.357142857142847</v>
      </c>
      <c r="E27" s="707">
        <f t="shared" ca="1" si="3"/>
        <v>81061.998960357858</v>
      </c>
      <c r="F27" s="707">
        <f t="shared" si="3"/>
        <v>6768.9961038220063</v>
      </c>
      <c r="G27" s="707">
        <f t="shared" ca="1" si="3"/>
        <v>71093.699723162485</v>
      </c>
      <c r="H27" s="707">
        <f t="shared" si="3"/>
        <v>87750.242814993195</v>
      </c>
      <c r="I27" s="707">
        <f t="shared" si="3"/>
        <v>19539.583590951588</v>
      </c>
      <c r="J27" s="707">
        <f t="shared" si="3"/>
        <v>0</v>
      </c>
      <c r="K27" s="707">
        <f t="shared" si="3"/>
        <v>635.62419695538881</v>
      </c>
      <c r="L27" s="707">
        <f t="shared" si="3"/>
        <v>0</v>
      </c>
      <c r="M27" s="707">
        <f t="shared" ca="1" si="3"/>
        <v>0</v>
      </c>
      <c r="N27" s="707">
        <f t="shared" si="3"/>
        <v>3348.8115253053734</v>
      </c>
      <c r="O27" s="707">
        <f t="shared" ca="1" si="3"/>
        <v>26831.726293202602</v>
      </c>
      <c r="P27" s="707">
        <f t="shared" si="3"/>
        <v>459.62000000000006</v>
      </c>
      <c r="Q27" s="707">
        <f t="shared" si="3"/>
        <v>1754.1333333333334</v>
      </c>
      <c r="R27" s="707">
        <f t="shared" ca="1" si="3"/>
        <v>380862.83109536144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4775.6355790566759</v>
      </c>
      <c r="D40" s="1012">
        <f ca="1">tertiair!C20</f>
        <v>0</v>
      </c>
      <c r="E40" s="1012">
        <f ca="1">tertiair!D20</f>
        <v>7868.835402208003</v>
      </c>
      <c r="F40" s="1012">
        <f>tertiair!E20</f>
        <v>119.47693760085325</v>
      </c>
      <c r="G40" s="1012">
        <f ca="1">tertiair!F20</f>
        <v>1811.1744766483455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14575.122395513879</v>
      </c>
    </row>
    <row r="41" spans="1:18">
      <c r="A41" s="822" t="s">
        <v>225</v>
      </c>
      <c r="B41" s="829"/>
      <c r="C41" s="1012">
        <f ca="1">huishoudens!B12</f>
        <v>5569.0273493850382</v>
      </c>
      <c r="D41" s="1012">
        <f ca="1">huishoudens!C12</f>
        <v>0</v>
      </c>
      <c r="E41" s="1012">
        <f>huishoudens!D12</f>
        <v>7822.5368191960015</v>
      </c>
      <c r="F41" s="1012">
        <f>huishoudens!E12</f>
        <v>1182.452730916016</v>
      </c>
      <c r="G41" s="1012">
        <f>huishoudens!F12</f>
        <v>12846.625399195747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27420.642298692805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4554.946135451919</v>
      </c>
      <c r="D43" s="1012">
        <f ca="1">industrie!C22</f>
        <v>0</v>
      </c>
      <c r="E43" s="1012">
        <f>industrie!D22</f>
        <v>509.99136465200002</v>
      </c>
      <c r="F43" s="1012">
        <f>industrie!E22</f>
        <v>150.73191418279109</v>
      </c>
      <c r="G43" s="1012">
        <f>industrie!F22</f>
        <v>859.0708647621326</v>
      </c>
      <c r="H43" s="1012">
        <f>industrie!G22</f>
        <v>0</v>
      </c>
      <c r="I43" s="1012">
        <f>industrie!H22</f>
        <v>0</v>
      </c>
      <c r="J43" s="1012">
        <f>industrie!I22</f>
        <v>0</v>
      </c>
      <c r="K43" s="1012">
        <f>industrie!J22</f>
        <v>44.062378320391389</v>
      </c>
      <c r="L43" s="1012">
        <f>industrie!K22</f>
        <v>0</v>
      </c>
      <c r="M43" s="1012">
        <f>industrie!L22</f>
        <v>0</v>
      </c>
      <c r="N43" s="1012">
        <f>industrie!M22</f>
        <v>0</v>
      </c>
      <c r="O43" s="1012">
        <f>industrie!N22</f>
        <v>0</v>
      </c>
      <c r="P43" s="1012">
        <f>industrie!O22</f>
        <v>0</v>
      </c>
      <c r="Q43" s="774">
        <f>industrie!P22</f>
        <v>0</v>
      </c>
      <c r="R43" s="849">
        <f t="shared" ca="1" si="4"/>
        <v>6118.8026573692332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14899.609063893633</v>
      </c>
      <c r="D46" s="732">
        <f t="shared" ref="D46:Q46" ca="1" si="5">SUM(D39:D45)</f>
        <v>0</v>
      </c>
      <c r="E46" s="732">
        <f t="shared" ca="1" si="5"/>
        <v>16201.363586056004</v>
      </c>
      <c r="F46" s="732">
        <f t="shared" si="5"/>
        <v>1452.6615826996604</v>
      </c>
      <c r="G46" s="732">
        <f t="shared" ca="1" si="5"/>
        <v>15516.870740606226</v>
      </c>
      <c r="H46" s="732">
        <f t="shared" si="5"/>
        <v>0</v>
      </c>
      <c r="I46" s="732">
        <f t="shared" si="5"/>
        <v>0</v>
      </c>
      <c r="J46" s="732">
        <f t="shared" si="5"/>
        <v>0</v>
      </c>
      <c r="K46" s="732">
        <f t="shared" si="5"/>
        <v>44.062378320391389</v>
      </c>
      <c r="L46" s="732">
        <f t="shared" si="5"/>
        <v>0</v>
      </c>
      <c r="M46" s="732">
        <f t="shared" ca="1" si="5"/>
        <v>0</v>
      </c>
      <c r="N46" s="732">
        <f t="shared" si="5"/>
        <v>0</v>
      </c>
      <c r="O46" s="732">
        <f t="shared" ca="1" si="5"/>
        <v>0</v>
      </c>
      <c r="P46" s="732">
        <f t="shared" si="5"/>
        <v>0</v>
      </c>
      <c r="Q46" s="732">
        <f t="shared" si="5"/>
        <v>0</v>
      </c>
      <c r="R46" s="732">
        <f ca="1">SUM(R39:R45)</f>
        <v>48114.567351575919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704.54400854355106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704.54400854355106</v>
      </c>
    </row>
    <row r="50" spans="1:18">
      <c r="A50" s="825" t="s">
        <v>307</v>
      </c>
      <c r="B50" s="835"/>
      <c r="C50" s="703">
        <f ca="1">transport!B18</f>
        <v>5.6744778169277046</v>
      </c>
      <c r="D50" s="703">
        <f>transport!C18</f>
        <v>0</v>
      </c>
      <c r="E50" s="703">
        <f>transport!D18</f>
        <v>14.778433192286</v>
      </c>
      <c r="F50" s="703">
        <f>transport!E18</f>
        <v>63.117307787201156</v>
      </c>
      <c r="G50" s="703">
        <f>transport!F18</f>
        <v>0</v>
      </c>
      <c r="H50" s="703">
        <f>transport!G18</f>
        <v>22724.770823059633</v>
      </c>
      <c r="I50" s="703">
        <f>transport!H18</f>
        <v>4865.3563141469458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27673.697356002995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5.6744778169277046</v>
      </c>
      <c r="D52" s="732">
        <f t="shared" ref="D52:Q52" ca="1" si="6">SUM(D48:D51)</f>
        <v>0</v>
      </c>
      <c r="E52" s="732">
        <f t="shared" si="6"/>
        <v>14.778433192286</v>
      </c>
      <c r="F52" s="732">
        <f t="shared" si="6"/>
        <v>63.117307787201156</v>
      </c>
      <c r="G52" s="732">
        <f t="shared" si="6"/>
        <v>0</v>
      </c>
      <c r="H52" s="732">
        <f t="shared" si="6"/>
        <v>23429.314831603184</v>
      </c>
      <c r="I52" s="732">
        <f t="shared" si="6"/>
        <v>4865.3563141469458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28378.241364546546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682.5849691792788</v>
      </c>
      <c r="D54" s="703">
        <f ca="1">+landbouw!C12</f>
        <v>0</v>
      </c>
      <c r="E54" s="703">
        <f>+landbouw!D12</f>
        <v>17.197506744000002</v>
      </c>
      <c r="F54" s="703">
        <f>+landbouw!E12</f>
        <v>20.78322508073418</v>
      </c>
      <c r="G54" s="703">
        <f>+landbouw!F12</f>
        <v>3465.1470854781596</v>
      </c>
      <c r="H54" s="703">
        <f>+landbouw!G12</f>
        <v>0</v>
      </c>
      <c r="I54" s="703">
        <f>+landbouw!H12</f>
        <v>0</v>
      </c>
      <c r="J54" s="703">
        <f>+landbouw!I12</f>
        <v>0</v>
      </c>
      <c r="K54" s="703">
        <f>+landbouw!J12</f>
        <v>180.94858740181621</v>
      </c>
      <c r="L54" s="703">
        <f>+landbouw!K12</f>
        <v>0</v>
      </c>
      <c r="M54" s="703">
        <f>+landbouw!L12</f>
        <v>0</v>
      </c>
      <c r="N54" s="703">
        <f>+landbouw!M12</f>
        <v>0</v>
      </c>
      <c r="O54" s="703">
        <f>+landbouw!N12</f>
        <v>0</v>
      </c>
      <c r="P54" s="703">
        <f>+landbouw!O12</f>
        <v>0</v>
      </c>
      <c r="Q54" s="704">
        <f>+landbouw!P12</f>
        <v>0</v>
      </c>
      <c r="R54" s="731">
        <f ca="1">SUM(C54:Q54)</f>
        <v>4366.6613738839887</v>
      </c>
    </row>
    <row r="55" spans="1:18" ht="15" thickBot="1">
      <c r="A55" s="825" t="s">
        <v>848</v>
      </c>
      <c r="B55" s="835"/>
      <c r="C55" s="703">
        <f ca="1">C25*'EF ele_warmte'!B12</f>
        <v>90.917539023565169</v>
      </c>
      <c r="D55" s="703"/>
      <c r="E55" s="703">
        <f>E25*EF_CO2_aardgas</f>
        <v>141.18426400000001</v>
      </c>
      <c r="F55" s="703"/>
      <c r="G55" s="703"/>
      <c r="H55" s="703"/>
      <c r="I55" s="703"/>
      <c r="J55" s="703"/>
      <c r="K55" s="703"/>
      <c r="L55" s="703"/>
      <c r="M55" s="703"/>
      <c r="N55" s="703"/>
      <c r="O55" s="703"/>
      <c r="P55" s="703"/>
      <c r="Q55" s="704"/>
      <c r="R55" s="731">
        <f ca="1">SUM(C55:Q55)</f>
        <v>232.1018030235652</v>
      </c>
    </row>
    <row r="56" spans="1:18" ht="15.75" thickBot="1">
      <c r="A56" s="823" t="s">
        <v>849</v>
      </c>
      <c r="B56" s="836"/>
      <c r="C56" s="732">
        <f ca="1">SUM(C54:C55)</f>
        <v>773.50250820284396</v>
      </c>
      <c r="D56" s="732">
        <f t="shared" ref="D56:Q56" ca="1" si="7">SUM(D54:D55)</f>
        <v>0</v>
      </c>
      <c r="E56" s="732">
        <f t="shared" si="7"/>
        <v>158.38177074400002</v>
      </c>
      <c r="F56" s="732">
        <f t="shared" si="7"/>
        <v>20.78322508073418</v>
      </c>
      <c r="G56" s="732">
        <f t="shared" si="7"/>
        <v>3465.1470854781596</v>
      </c>
      <c r="H56" s="732">
        <f t="shared" si="7"/>
        <v>0</v>
      </c>
      <c r="I56" s="732">
        <f t="shared" si="7"/>
        <v>0</v>
      </c>
      <c r="J56" s="732">
        <f t="shared" si="7"/>
        <v>0</v>
      </c>
      <c r="K56" s="732">
        <f t="shared" si="7"/>
        <v>180.94858740181621</v>
      </c>
      <c r="L56" s="732">
        <f t="shared" si="7"/>
        <v>0</v>
      </c>
      <c r="M56" s="732">
        <f t="shared" si="7"/>
        <v>0</v>
      </c>
      <c r="N56" s="732">
        <f t="shared" si="7"/>
        <v>0</v>
      </c>
      <c r="O56" s="732">
        <f t="shared" si="7"/>
        <v>0</v>
      </c>
      <c r="P56" s="732">
        <f t="shared" si="7"/>
        <v>0</v>
      </c>
      <c r="Q56" s="733">
        <f t="shared" si="7"/>
        <v>0</v>
      </c>
      <c r="R56" s="734">
        <f ca="1">SUM(R54:R55)</f>
        <v>4598.7631769075542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15678.786049913404</v>
      </c>
      <c r="D61" s="740">
        <f t="shared" ref="D61:Q61" ca="1" si="8">D46+D52+D56</f>
        <v>0</v>
      </c>
      <c r="E61" s="740">
        <f t="shared" ca="1" si="8"/>
        <v>16374.52378999229</v>
      </c>
      <c r="F61" s="740">
        <f t="shared" si="8"/>
        <v>1536.5621155675956</v>
      </c>
      <c r="G61" s="740">
        <f t="shared" ca="1" si="8"/>
        <v>18982.017826084386</v>
      </c>
      <c r="H61" s="740">
        <f t="shared" si="8"/>
        <v>23429.314831603184</v>
      </c>
      <c r="I61" s="740">
        <f t="shared" si="8"/>
        <v>4865.3563141469458</v>
      </c>
      <c r="J61" s="740">
        <f t="shared" si="8"/>
        <v>0</v>
      </c>
      <c r="K61" s="740">
        <f t="shared" si="8"/>
        <v>225.0109657222076</v>
      </c>
      <c r="L61" s="740">
        <f t="shared" si="8"/>
        <v>0</v>
      </c>
      <c r="M61" s="740">
        <f t="shared" ca="1" si="8"/>
        <v>0</v>
      </c>
      <c r="N61" s="740">
        <f t="shared" si="8"/>
        <v>0</v>
      </c>
      <c r="O61" s="740">
        <f t="shared" ca="1" si="8"/>
        <v>0</v>
      </c>
      <c r="P61" s="740">
        <f t="shared" si="8"/>
        <v>0</v>
      </c>
      <c r="Q61" s="740">
        <f t="shared" si="8"/>
        <v>0</v>
      </c>
      <c r="R61" s="740">
        <f ca="1">R46+R52+R56</f>
        <v>81091.571893030021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0.19224555959005074</v>
      </c>
      <c r="D63" s="781">
        <f t="shared" ca="1" si="9"/>
        <v>0</v>
      </c>
      <c r="E63" s="1023">
        <f t="shared" ca="1" si="9"/>
        <v>0.20200000000000004</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10567.654152893791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10611.30415289379</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28968.301589178813</v>
      </c>
      <c r="C4" s="477">
        <f>huishoudens!C8</f>
        <v>0</v>
      </c>
      <c r="D4" s="477">
        <f>huishoudens!D8</f>
        <v>38725.429798000005</v>
      </c>
      <c r="E4" s="477">
        <f>huishoudens!E8</f>
        <v>5209.0428674714358</v>
      </c>
      <c r="F4" s="477">
        <f>huishoudens!F8</f>
        <v>48114.70186964699</v>
      </c>
      <c r="G4" s="477">
        <f>huishoudens!G8</f>
        <v>0</v>
      </c>
      <c r="H4" s="477">
        <f>huishoudens!H8</f>
        <v>0</v>
      </c>
      <c r="I4" s="477">
        <f>huishoudens!I8</f>
        <v>0</v>
      </c>
      <c r="J4" s="477">
        <f>huishoudens!J8</f>
        <v>0</v>
      </c>
      <c r="K4" s="477">
        <f>huishoudens!K8</f>
        <v>0</v>
      </c>
      <c r="L4" s="477">
        <f>huishoudens!L8</f>
        <v>0</v>
      </c>
      <c r="M4" s="477">
        <f>huishoudens!M8</f>
        <v>0</v>
      </c>
      <c r="N4" s="477">
        <f>huishoudens!N8</f>
        <v>20150.482782427527</v>
      </c>
      <c r="O4" s="477">
        <f>huishoudens!O8</f>
        <v>456.4933333333334</v>
      </c>
      <c r="P4" s="478">
        <f>huishoudens!P8</f>
        <v>1716</v>
      </c>
      <c r="Q4" s="479">
        <f>SUM(B4:P4)</f>
        <v>143340.4522400581</v>
      </c>
    </row>
    <row r="5" spans="1:17">
      <c r="A5" s="476" t="s">
        <v>156</v>
      </c>
      <c r="B5" s="477">
        <f ca="1">tertiair!B16</f>
        <v>23771.063000000002</v>
      </c>
      <c r="C5" s="477">
        <f ca="1">tertiair!C16</f>
        <v>0</v>
      </c>
      <c r="D5" s="477">
        <f ca="1">tertiair!D16</f>
        <v>38954.63070400001</v>
      </c>
      <c r="E5" s="477">
        <f>tertiair!E16</f>
        <v>526.33012158966187</v>
      </c>
      <c r="F5" s="477">
        <f ca="1">tertiair!F16</f>
        <v>6783.4250061735784</v>
      </c>
      <c r="G5" s="477">
        <f>tertiair!G16</f>
        <v>0</v>
      </c>
      <c r="H5" s="477">
        <f>tertiair!H16</f>
        <v>0</v>
      </c>
      <c r="I5" s="477">
        <f>tertiair!I16</f>
        <v>0</v>
      </c>
      <c r="J5" s="477">
        <f>tertiair!J16</f>
        <v>0</v>
      </c>
      <c r="K5" s="477">
        <f>tertiair!K16</f>
        <v>0</v>
      </c>
      <c r="L5" s="477">
        <f ca="1">tertiair!L16</f>
        <v>0</v>
      </c>
      <c r="M5" s="477">
        <f>tertiair!M16</f>
        <v>0</v>
      </c>
      <c r="N5" s="477">
        <f ca="1">tertiair!N16</f>
        <v>2483.8246137253032</v>
      </c>
      <c r="O5" s="477">
        <f>tertiair!O16</f>
        <v>3.1266666666666669</v>
      </c>
      <c r="P5" s="478">
        <f>tertiair!P16</f>
        <v>38.133333333333333</v>
      </c>
      <c r="Q5" s="476">
        <f t="shared" ref="Q5:Q14" ca="1" si="0">SUM(B5:P5)</f>
        <v>72560.533445488545</v>
      </c>
    </row>
    <row r="6" spans="1:17">
      <c r="A6" s="476" t="s">
        <v>194</v>
      </c>
      <c r="B6" s="477">
        <f>'openbare verlichting'!B8</f>
        <v>1070.268</v>
      </c>
      <c r="C6" s="477"/>
      <c r="D6" s="477"/>
      <c r="E6" s="477"/>
      <c r="F6" s="477"/>
      <c r="G6" s="477"/>
      <c r="H6" s="477"/>
      <c r="I6" s="477"/>
      <c r="J6" s="477"/>
      <c r="K6" s="477"/>
      <c r="L6" s="477"/>
      <c r="M6" s="477"/>
      <c r="N6" s="477"/>
      <c r="O6" s="477"/>
      <c r="P6" s="478"/>
      <c r="Q6" s="476">
        <f t="shared" si="0"/>
        <v>1070.268</v>
      </c>
    </row>
    <row r="7" spans="1:17">
      <c r="A7" s="476" t="s">
        <v>112</v>
      </c>
      <c r="B7" s="477">
        <f>landbouw!B8</f>
        <v>3550.5889999999999</v>
      </c>
      <c r="C7" s="477">
        <f>landbouw!C8</f>
        <v>62.357142857142847</v>
      </c>
      <c r="D7" s="477">
        <f>landbouw!D8</f>
        <v>85.136172000000002</v>
      </c>
      <c r="E7" s="477">
        <f>landbouw!E8</f>
        <v>91.556057624379648</v>
      </c>
      <c r="F7" s="477">
        <f>landbouw!F8</f>
        <v>12978.078971828312</v>
      </c>
      <c r="G7" s="477">
        <f>landbouw!G8</f>
        <v>0</v>
      </c>
      <c r="H7" s="477">
        <f>landbouw!H8</f>
        <v>0</v>
      </c>
      <c r="I7" s="477">
        <f>landbouw!I8</f>
        <v>0</v>
      </c>
      <c r="J7" s="477">
        <f>landbouw!J8</f>
        <v>511.15420170004586</v>
      </c>
      <c r="K7" s="477">
        <f>landbouw!K8</f>
        <v>0</v>
      </c>
      <c r="L7" s="477">
        <f>landbouw!L8</f>
        <v>0</v>
      </c>
      <c r="M7" s="477">
        <f>landbouw!M8</f>
        <v>0</v>
      </c>
      <c r="N7" s="477">
        <f>landbouw!N8</f>
        <v>0</v>
      </c>
      <c r="O7" s="477">
        <f>landbouw!O8</f>
        <v>0</v>
      </c>
      <c r="P7" s="478">
        <f>landbouw!P8</f>
        <v>0</v>
      </c>
      <c r="Q7" s="476">
        <f t="shared" si="0"/>
        <v>17278.871546009883</v>
      </c>
    </row>
    <row r="8" spans="1:17">
      <c r="A8" s="476" t="s">
        <v>638</v>
      </c>
      <c r="B8" s="477">
        <f>industrie!B18</f>
        <v>23693.375</v>
      </c>
      <c r="C8" s="477">
        <f>industrie!C18</f>
        <v>0</v>
      </c>
      <c r="D8" s="477">
        <f>industrie!D18</f>
        <v>2524.709726</v>
      </c>
      <c r="E8" s="477">
        <f>industrie!E18</f>
        <v>664.01724309599592</v>
      </c>
      <c r="F8" s="477">
        <f>industrie!F18</f>
        <v>3217.493875513605</v>
      </c>
      <c r="G8" s="477">
        <f>industrie!G18</f>
        <v>0</v>
      </c>
      <c r="H8" s="477">
        <f>industrie!H18</f>
        <v>0</v>
      </c>
      <c r="I8" s="477">
        <f>industrie!I18</f>
        <v>0</v>
      </c>
      <c r="J8" s="477">
        <f>industrie!J18</f>
        <v>124.46999525534292</v>
      </c>
      <c r="K8" s="477">
        <f>industrie!K18</f>
        <v>0</v>
      </c>
      <c r="L8" s="477">
        <f>industrie!L18</f>
        <v>0</v>
      </c>
      <c r="M8" s="477">
        <f>industrie!M18</f>
        <v>0</v>
      </c>
      <c r="N8" s="477">
        <f>industrie!N18</f>
        <v>4197.4188970497698</v>
      </c>
      <c r="O8" s="477">
        <f>industrie!O18</f>
        <v>0</v>
      </c>
      <c r="P8" s="478">
        <f>industrie!P18</f>
        <v>0</v>
      </c>
      <c r="Q8" s="476">
        <f t="shared" si="0"/>
        <v>34421.484736914717</v>
      </c>
    </row>
    <row r="9" spans="1:17" s="482" customFormat="1">
      <c r="A9" s="480" t="s">
        <v>564</v>
      </c>
      <c r="B9" s="481">
        <f>transport!B14</f>
        <v>29.516821241687467</v>
      </c>
      <c r="C9" s="481">
        <f>transport!C14</f>
        <v>0</v>
      </c>
      <c r="D9" s="481">
        <f>transport!D14</f>
        <v>73.16056035785148</v>
      </c>
      <c r="E9" s="481">
        <f>transport!E14</f>
        <v>278.0498140405337</v>
      </c>
      <c r="F9" s="481">
        <f>transport!F14</f>
        <v>0</v>
      </c>
      <c r="G9" s="481">
        <f>transport!G14</f>
        <v>85111.501209961163</v>
      </c>
      <c r="H9" s="481">
        <f>transport!H14</f>
        <v>19539.583590951588</v>
      </c>
      <c r="I9" s="481">
        <f>transport!I14</f>
        <v>0</v>
      </c>
      <c r="J9" s="481">
        <f>transport!J14</f>
        <v>0</v>
      </c>
      <c r="K9" s="481">
        <f>transport!K14</f>
        <v>0</v>
      </c>
      <c r="L9" s="481">
        <f>transport!L14</f>
        <v>0</v>
      </c>
      <c r="M9" s="481">
        <f>transport!M14</f>
        <v>3266.9636640627341</v>
      </c>
      <c r="N9" s="481">
        <f>transport!N14</f>
        <v>0</v>
      </c>
      <c r="O9" s="481">
        <f>transport!O14</f>
        <v>0</v>
      </c>
      <c r="P9" s="481">
        <f>transport!P14</f>
        <v>0</v>
      </c>
      <c r="Q9" s="480">
        <f>SUM(B9:P9)</f>
        <v>108298.77566061555</v>
      </c>
    </row>
    <row r="10" spans="1:17">
      <c r="A10" s="476" t="s">
        <v>554</v>
      </c>
      <c r="B10" s="477">
        <f>transport!B54</f>
        <v>0</v>
      </c>
      <c r="C10" s="477">
        <f>transport!C54</f>
        <v>0</v>
      </c>
      <c r="D10" s="477">
        <f>transport!D54</f>
        <v>0</v>
      </c>
      <c r="E10" s="477">
        <f>transport!E54</f>
        <v>0</v>
      </c>
      <c r="F10" s="477">
        <f>transport!F54</f>
        <v>0</v>
      </c>
      <c r="G10" s="477">
        <f>transport!G54</f>
        <v>2638.7416050320262</v>
      </c>
      <c r="H10" s="477">
        <f>transport!H54</f>
        <v>0</v>
      </c>
      <c r="I10" s="477">
        <f>transport!I54</f>
        <v>0</v>
      </c>
      <c r="J10" s="477">
        <f>transport!J54</f>
        <v>0</v>
      </c>
      <c r="K10" s="477">
        <f>transport!K54</f>
        <v>0</v>
      </c>
      <c r="L10" s="477">
        <f>transport!L54</f>
        <v>0</v>
      </c>
      <c r="M10" s="477">
        <f>transport!M54</f>
        <v>81.847861242639453</v>
      </c>
      <c r="N10" s="477">
        <f>transport!N54</f>
        <v>0</v>
      </c>
      <c r="O10" s="477">
        <f>transport!O54</f>
        <v>0</v>
      </c>
      <c r="P10" s="478">
        <f>transport!P54</f>
        <v>0</v>
      </c>
      <c r="Q10" s="476">
        <f t="shared" si="0"/>
        <v>2720.5894662746655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472.92399999999998</v>
      </c>
      <c r="C14" s="484"/>
      <c r="D14" s="484">
        <f>'SEAP template'!E25</f>
        <v>698.93200000000002</v>
      </c>
      <c r="E14" s="484"/>
      <c r="F14" s="484"/>
      <c r="G14" s="484"/>
      <c r="H14" s="484"/>
      <c r="I14" s="484"/>
      <c r="J14" s="484"/>
      <c r="K14" s="484"/>
      <c r="L14" s="484"/>
      <c r="M14" s="484"/>
      <c r="N14" s="484"/>
      <c r="O14" s="484"/>
      <c r="P14" s="485"/>
      <c r="Q14" s="476">
        <f t="shared" si="0"/>
        <v>1171.856</v>
      </c>
    </row>
    <row r="15" spans="1:17" s="486" customFormat="1">
      <c r="A15" s="1038" t="s">
        <v>558</v>
      </c>
      <c r="B15" s="978">
        <f ca="1">SUM(B4:B14)</f>
        <v>81556.037410420497</v>
      </c>
      <c r="C15" s="978">
        <f t="shared" ref="C15:Q15" ca="1" si="1">SUM(C4:C14)</f>
        <v>62.357142857142847</v>
      </c>
      <c r="D15" s="978">
        <f t="shared" ca="1" si="1"/>
        <v>81061.998960357858</v>
      </c>
      <c r="E15" s="978">
        <f t="shared" si="1"/>
        <v>6768.9961038220063</v>
      </c>
      <c r="F15" s="978">
        <f t="shared" ca="1" si="1"/>
        <v>71093.699723162485</v>
      </c>
      <c r="G15" s="978">
        <f t="shared" si="1"/>
        <v>87750.242814993195</v>
      </c>
      <c r="H15" s="978">
        <f t="shared" si="1"/>
        <v>19539.583590951588</v>
      </c>
      <c r="I15" s="978">
        <f t="shared" si="1"/>
        <v>0</v>
      </c>
      <c r="J15" s="978">
        <f t="shared" si="1"/>
        <v>635.62419695538881</v>
      </c>
      <c r="K15" s="978">
        <f t="shared" si="1"/>
        <v>0</v>
      </c>
      <c r="L15" s="978">
        <f t="shared" ca="1" si="1"/>
        <v>0</v>
      </c>
      <c r="M15" s="978">
        <f t="shared" si="1"/>
        <v>3348.8115253053734</v>
      </c>
      <c r="N15" s="978">
        <f t="shared" ca="1" si="1"/>
        <v>26831.726293202602</v>
      </c>
      <c r="O15" s="978">
        <f t="shared" si="1"/>
        <v>459.62000000000006</v>
      </c>
      <c r="P15" s="978">
        <f t="shared" si="1"/>
        <v>1754.1333333333334</v>
      </c>
      <c r="Q15" s="978">
        <f t="shared" ca="1" si="1"/>
        <v>380862.83109536144</v>
      </c>
    </row>
    <row r="17" spans="1:17">
      <c r="A17" s="487" t="s">
        <v>559</v>
      </c>
      <c r="B17" s="786">
        <f ca="1">huishoudens!B10</f>
        <v>0.19224555959005077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5569.0273493850382</v>
      </c>
      <c r="C22" s="477">
        <f t="shared" ref="C22:C32" ca="1" si="3">C4*$C$17</f>
        <v>0</v>
      </c>
      <c r="D22" s="477">
        <f t="shared" ref="D22:D32" si="4">D4*$D$17</f>
        <v>7822.5368191960015</v>
      </c>
      <c r="E22" s="477">
        <f t="shared" ref="E22:E32" si="5">E4*$E$17</f>
        <v>1182.452730916016</v>
      </c>
      <c r="F22" s="477">
        <f t="shared" ref="F22:F32" si="6">F4*$F$17</f>
        <v>12846.625399195747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27420.642298692805</v>
      </c>
    </row>
    <row r="23" spans="1:17">
      <c r="A23" s="476" t="s">
        <v>156</v>
      </c>
      <c r="B23" s="477">
        <f t="shared" ca="1" si="2"/>
        <v>4569.8813084853509</v>
      </c>
      <c r="C23" s="477">
        <f t="shared" ca="1" si="3"/>
        <v>0</v>
      </c>
      <c r="D23" s="477">
        <f t="shared" ca="1" si="4"/>
        <v>7868.835402208003</v>
      </c>
      <c r="E23" s="477">
        <f t="shared" si="5"/>
        <v>119.47693760085325</v>
      </c>
      <c r="F23" s="477">
        <f t="shared" ca="1" si="6"/>
        <v>1811.1744766483455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14369.368124942554</v>
      </c>
    </row>
    <row r="24" spans="1:17">
      <c r="A24" s="476" t="s">
        <v>194</v>
      </c>
      <c r="B24" s="477">
        <f t="shared" ca="1" si="2"/>
        <v>205.75427057132447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205.75427057132447</v>
      </c>
    </row>
    <row r="25" spans="1:17">
      <c r="A25" s="476" t="s">
        <v>112</v>
      </c>
      <c r="B25" s="477">
        <f t="shared" ca="1" si="2"/>
        <v>682.5849691792788</v>
      </c>
      <c r="C25" s="477">
        <f t="shared" ca="1" si="3"/>
        <v>0</v>
      </c>
      <c r="D25" s="477">
        <f t="shared" si="4"/>
        <v>17.197506744000002</v>
      </c>
      <c r="E25" s="477">
        <f t="shared" si="5"/>
        <v>20.78322508073418</v>
      </c>
      <c r="F25" s="477">
        <f t="shared" si="6"/>
        <v>3465.1470854781596</v>
      </c>
      <c r="G25" s="477">
        <f t="shared" si="7"/>
        <v>0</v>
      </c>
      <c r="H25" s="477">
        <f t="shared" si="8"/>
        <v>0</v>
      </c>
      <c r="I25" s="477">
        <f t="shared" si="9"/>
        <v>0</v>
      </c>
      <c r="J25" s="477">
        <f t="shared" si="10"/>
        <v>180.94858740181621</v>
      </c>
      <c r="K25" s="477">
        <f t="shared" si="11"/>
        <v>0</v>
      </c>
      <c r="L25" s="477">
        <f t="shared" si="12"/>
        <v>0</v>
      </c>
      <c r="M25" s="477">
        <f t="shared" si="13"/>
        <v>0</v>
      </c>
      <c r="N25" s="477">
        <f t="shared" si="14"/>
        <v>0</v>
      </c>
      <c r="O25" s="477">
        <f t="shared" si="15"/>
        <v>0</v>
      </c>
      <c r="P25" s="478">
        <f t="shared" si="16"/>
        <v>0</v>
      </c>
      <c r="Q25" s="476">
        <f t="shared" ca="1" si="17"/>
        <v>4366.6613738839887</v>
      </c>
    </row>
    <row r="26" spans="1:17">
      <c r="A26" s="476" t="s">
        <v>638</v>
      </c>
      <c r="B26" s="477">
        <f t="shared" ca="1" si="2"/>
        <v>4554.946135451919</v>
      </c>
      <c r="C26" s="477">
        <f t="shared" ca="1" si="3"/>
        <v>0</v>
      </c>
      <c r="D26" s="477">
        <f t="shared" si="4"/>
        <v>509.99136465200002</v>
      </c>
      <c r="E26" s="477">
        <f t="shared" si="5"/>
        <v>150.73191418279109</v>
      </c>
      <c r="F26" s="477">
        <f t="shared" si="6"/>
        <v>859.0708647621326</v>
      </c>
      <c r="G26" s="477">
        <f t="shared" si="7"/>
        <v>0</v>
      </c>
      <c r="H26" s="477">
        <f t="shared" si="8"/>
        <v>0</v>
      </c>
      <c r="I26" s="477">
        <f t="shared" si="9"/>
        <v>0</v>
      </c>
      <c r="J26" s="477">
        <f t="shared" si="10"/>
        <v>44.062378320391389</v>
      </c>
      <c r="K26" s="477">
        <f t="shared" si="11"/>
        <v>0</v>
      </c>
      <c r="L26" s="477">
        <f t="shared" si="12"/>
        <v>0</v>
      </c>
      <c r="M26" s="477">
        <f t="shared" si="13"/>
        <v>0</v>
      </c>
      <c r="N26" s="477">
        <f t="shared" si="14"/>
        <v>0</v>
      </c>
      <c r="O26" s="477">
        <f t="shared" si="15"/>
        <v>0</v>
      </c>
      <c r="P26" s="478">
        <f t="shared" si="16"/>
        <v>0</v>
      </c>
      <c r="Q26" s="476">
        <f t="shared" ca="1" si="17"/>
        <v>6118.8026573692332</v>
      </c>
    </row>
    <row r="27" spans="1:17" s="482" customFormat="1">
      <c r="A27" s="480" t="s">
        <v>564</v>
      </c>
      <c r="B27" s="780">
        <f t="shared" ca="1" si="2"/>
        <v>5.6744778169277046</v>
      </c>
      <c r="C27" s="481">
        <f t="shared" ca="1" si="3"/>
        <v>0</v>
      </c>
      <c r="D27" s="481">
        <f t="shared" si="4"/>
        <v>14.778433192286</v>
      </c>
      <c r="E27" s="481">
        <f t="shared" si="5"/>
        <v>63.117307787201156</v>
      </c>
      <c r="F27" s="481">
        <f t="shared" si="6"/>
        <v>0</v>
      </c>
      <c r="G27" s="481">
        <f t="shared" si="7"/>
        <v>22724.770823059633</v>
      </c>
      <c r="H27" s="481">
        <f t="shared" si="8"/>
        <v>4865.3563141469458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27673.697356002995</v>
      </c>
    </row>
    <row r="28" spans="1:17">
      <c r="A28" s="476" t="s">
        <v>554</v>
      </c>
      <c r="B28" s="477">
        <f t="shared" ca="1" si="2"/>
        <v>0</v>
      </c>
      <c r="C28" s="477">
        <f t="shared" ca="1" si="3"/>
        <v>0</v>
      </c>
      <c r="D28" s="477">
        <f t="shared" si="4"/>
        <v>0</v>
      </c>
      <c r="E28" s="477">
        <f t="shared" si="5"/>
        <v>0</v>
      </c>
      <c r="F28" s="477">
        <f t="shared" si="6"/>
        <v>0</v>
      </c>
      <c r="G28" s="477">
        <f t="shared" si="7"/>
        <v>704.54400854355106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704.54400854355106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90.917539023565169</v>
      </c>
      <c r="C32" s="477">
        <f t="shared" ca="1" si="3"/>
        <v>0</v>
      </c>
      <c r="D32" s="477">
        <f t="shared" si="4"/>
        <v>141.18426400000001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232.1018030235652</v>
      </c>
    </row>
    <row r="33" spans="1:17" s="486" customFormat="1">
      <c r="A33" s="1038" t="s">
        <v>558</v>
      </c>
      <c r="B33" s="978">
        <f ca="1">SUM(B22:B32)</f>
        <v>15678.786049913404</v>
      </c>
      <c r="C33" s="978">
        <f t="shared" ref="C33:Q33" ca="1" si="18">SUM(C22:C32)</f>
        <v>0</v>
      </c>
      <c r="D33" s="978">
        <f t="shared" ca="1" si="18"/>
        <v>16374.52378999229</v>
      </c>
      <c r="E33" s="978">
        <f t="shared" si="18"/>
        <v>1536.5621155675956</v>
      </c>
      <c r="F33" s="978">
        <f t="shared" ca="1" si="18"/>
        <v>18982.017826084386</v>
      </c>
      <c r="G33" s="978">
        <f t="shared" si="18"/>
        <v>23429.314831603184</v>
      </c>
      <c r="H33" s="978">
        <f t="shared" si="18"/>
        <v>4865.3563141469458</v>
      </c>
      <c r="I33" s="978">
        <f t="shared" si="18"/>
        <v>0</v>
      </c>
      <c r="J33" s="978">
        <f t="shared" si="18"/>
        <v>225.0109657222076</v>
      </c>
      <c r="K33" s="978">
        <f t="shared" si="18"/>
        <v>0</v>
      </c>
      <c r="L33" s="978">
        <f t="shared" ca="1" si="18"/>
        <v>0</v>
      </c>
      <c r="M33" s="978">
        <f t="shared" si="18"/>
        <v>0</v>
      </c>
      <c r="N33" s="978">
        <f t="shared" ca="1" si="18"/>
        <v>0</v>
      </c>
      <c r="O33" s="978">
        <f t="shared" si="18"/>
        <v>0</v>
      </c>
      <c r="P33" s="978">
        <f t="shared" si="18"/>
        <v>0</v>
      </c>
      <c r="Q33" s="978">
        <f t="shared" ca="1" si="18"/>
        <v>81091.571893030035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10567.654152893791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10611.30415289379</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0.19224555959005077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0.19224555959005077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0.19224555959005077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0.19224555959005077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6557</v>
      </c>
      <c r="C9" s="342">
        <v>6709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5225.8100000000004</v>
      </c>
    </row>
    <row r="15" spans="1:6">
      <c r="A15" s="348" t="s">
        <v>184</v>
      </c>
      <c r="B15" s="334">
        <v>1328</v>
      </c>
    </row>
    <row r="16" spans="1:6">
      <c r="A16" s="348" t="s">
        <v>6</v>
      </c>
      <c r="B16" s="334">
        <v>4203</v>
      </c>
    </row>
    <row r="17" spans="1:6">
      <c r="A17" s="348" t="s">
        <v>7</v>
      </c>
      <c r="B17" s="334">
        <v>641</v>
      </c>
    </row>
    <row r="18" spans="1:6">
      <c r="A18" s="348" t="s">
        <v>8</v>
      </c>
      <c r="B18" s="334">
        <v>2448</v>
      </c>
    </row>
    <row r="19" spans="1:6">
      <c r="A19" s="348" t="s">
        <v>9</v>
      </c>
      <c r="B19" s="334">
        <v>2187</v>
      </c>
    </row>
    <row r="20" spans="1:6">
      <c r="A20" s="348" t="s">
        <v>10</v>
      </c>
      <c r="B20" s="334">
        <v>1402</v>
      </c>
    </row>
    <row r="21" spans="1:6">
      <c r="A21" s="348" t="s">
        <v>11</v>
      </c>
      <c r="B21" s="334">
        <v>7610</v>
      </c>
    </row>
    <row r="22" spans="1:6">
      <c r="A22" s="348" t="s">
        <v>12</v>
      </c>
      <c r="B22" s="334">
        <v>21240</v>
      </c>
    </row>
    <row r="23" spans="1:6">
      <c r="A23" s="348" t="s">
        <v>13</v>
      </c>
      <c r="B23" s="334">
        <v>775</v>
      </c>
    </row>
    <row r="24" spans="1:6">
      <c r="A24" s="348" t="s">
        <v>14</v>
      </c>
      <c r="B24" s="334">
        <v>27</v>
      </c>
    </row>
    <row r="25" spans="1:6">
      <c r="A25" s="348" t="s">
        <v>15</v>
      </c>
      <c r="B25" s="334">
        <v>3944</v>
      </c>
    </row>
    <row r="26" spans="1:6">
      <c r="A26" s="348" t="s">
        <v>16</v>
      </c>
      <c r="B26" s="334">
        <v>440</v>
      </c>
    </row>
    <row r="27" spans="1:6">
      <c r="A27" s="348" t="s">
        <v>17</v>
      </c>
      <c r="B27" s="334">
        <v>1205</v>
      </c>
    </row>
    <row r="28" spans="1:6" s="356" customFormat="1">
      <c r="A28" s="355" t="s">
        <v>18</v>
      </c>
      <c r="B28" s="355">
        <v>375302</v>
      </c>
    </row>
    <row r="29" spans="1:6">
      <c r="A29" s="355" t="s">
        <v>884</v>
      </c>
      <c r="B29" s="355">
        <v>485</v>
      </c>
      <c r="C29" s="356"/>
      <c r="D29" s="356"/>
      <c r="E29" s="356"/>
      <c r="F29" s="356"/>
    </row>
    <row r="30" spans="1:6">
      <c r="A30" s="355" t="s">
        <v>885</v>
      </c>
      <c r="B30" s="341">
        <v>133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4663</v>
      </c>
    </row>
    <row r="36" spans="1:6">
      <c r="A36" s="348" t="s">
        <v>25</v>
      </c>
      <c r="B36" s="348" t="s">
        <v>27</v>
      </c>
      <c r="C36" s="334">
        <v>0</v>
      </c>
      <c r="D36" s="334">
        <v>0</v>
      </c>
      <c r="E36" s="334">
        <v>16</v>
      </c>
      <c r="F36" s="334">
        <v>17028</v>
      </c>
    </row>
    <row r="37" spans="1:6">
      <c r="A37" s="348" t="s">
        <v>25</v>
      </c>
      <c r="B37" s="348" t="s">
        <v>28</v>
      </c>
      <c r="C37" s="334">
        <v>0</v>
      </c>
      <c r="D37" s="334">
        <v>0</v>
      </c>
      <c r="E37" s="334">
        <v>0</v>
      </c>
      <c r="F37" s="334">
        <v>0</v>
      </c>
    </row>
    <row r="38" spans="1:6">
      <c r="A38" s="348" t="s">
        <v>25</v>
      </c>
      <c r="B38" s="348" t="s">
        <v>29</v>
      </c>
      <c r="C38" s="334">
        <v>0</v>
      </c>
      <c r="D38" s="334">
        <v>263134</v>
      </c>
      <c r="E38" s="334">
        <v>0</v>
      </c>
      <c r="F38" s="334">
        <v>0</v>
      </c>
    </row>
    <row r="39" spans="1:6">
      <c r="A39" s="348" t="s">
        <v>30</v>
      </c>
      <c r="B39" s="348" t="s">
        <v>31</v>
      </c>
      <c r="C39" s="334">
        <v>3049</v>
      </c>
      <c r="D39" s="334">
        <v>42932849</v>
      </c>
      <c r="E39" s="334">
        <v>6456</v>
      </c>
      <c r="F39" s="334">
        <v>22092710</v>
      </c>
    </row>
    <row r="40" spans="1:6">
      <c r="A40" s="348" t="s">
        <v>30</v>
      </c>
      <c r="B40" s="348" t="s">
        <v>29</v>
      </c>
      <c r="C40" s="334">
        <v>0</v>
      </c>
      <c r="D40" s="334">
        <v>0</v>
      </c>
      <c r="E40" s="334">
        <v>0</v>
      </c>
      <c r="F40" s="334">
        <v>0</v>
      </c>
    </row>
    <row r="41" spans="1:6">
      <c r="A41" s="348" t="s">
        <v>32</v>
      </c>
      <c r="B41" s="348" t="s">
        <v>33</v>
      </c>
      <c r="C41" s="334">
        <v>64</v>
      </c>
      <c r="D41" s="334">
        <v>1790454</v>
      </c>
      <c r="E41" s="334">
        <v>142</v>
      </c>
      <c r="F41" s="334">
        <v>2262625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154269</v>
      </c>
      <c r="E44" s="334">
        <v>17</v>
      </c>
      <c r="F44" s="334">
        <v>277930</v>
      </c>
    </row>
    <row r="45" spans="1:6">
      <c r="A45" s="348" t="s">
        <v>32</v>
      </c>
      <c r="B45" s="348" t="s">
        <v>37</v>
      </c>
      <c r="C45" s="334">
        <v>0</v>
      </c>
      <c r="D45" s="334">
        <v>0</v>
      </c>
      <c r="E45" s="334">
        <v>5</v>
      </c>
      <c r="F45" s="334">
        <v>207611</v>
      </c>
    </row>
    <row r="46" spans="1:6">
      <c r="A46" s="348" t="s">
        <v>32</v>
      </c>
      <c r="B46" s="348" t="s">
        <v>38</v>
      </c>
      <c r="C46" s="334">
        <v>0</v>
      </c>
      <c r="D46" s="334">
        <v>0</v>
      </c>
      <c r="E46" s="334">
        <v>0</v>
      </c>
      <c r="F46" s="334">
        <v>0</v>
      </c>
    </row>
    <row r="47" spans="1:6">
      <c r="A47" s="348" t="s">
        <v>32</v>
      </c>
      <c r="B47" s="348" t="s">
        <v>39</v>
      </c>
      <c r="C47" s="334">
        <v>0</v>
      </c>
      <c r="D47" s="334">
        <v>0</v>
      </c>
      <c r="E47" s="334">
        <v>5</v>
      </c>
      <c r="F47" s="334">
        <v>1836721</v>
      </c>
    </row>
    <row r="48" spans="1:6">
      <c r="A48" s="348" t="s">
        <v>32</v>
      </c>
      <c r="B48" s="348" t="s">
        <v>29</v>
      </c>
      <c r="C48" s="334">
        <v>6</v>
      </c>
      <c r="D48" s="334">
        <v>697728</v>
      </c>
      <c r="E48" s="334">
        <v>4</v>
      </c>
      <c r="F48" s="334">
        <v>156617</v>
      </c>
    </row>
    <row r="49" spans="1:6">
      <c r="A49" s="348" t="s">
        <v>32</v>
      </c>
      <c r="B49" s="348" t="s">
        <v>40</v>
      </c>
      <c r="C49" s="334">
        <v>0</v>
      </c>
      <c r="D49" s="334">
        <v>0</v>
      </c>
      <c r="E49" s="334">
        <v>7</v>
      </c>
      <c r="F49" s="334">
        <v>18782999</v>
      </c>
    </row>
    <row r="50" spans="1:6">
      <c r="A50" s="348" t="s">
        <v>32</v>
      </c>
      <c r="B50" s="348" t="s">
        <v>41</v>
      </c>
      <c r="C50" s="334">
        <v>3</v>
      </c>
      <c r="D50" s="334">
        <v>156562</v>
      </c>
      <c r="E50" s="334">
        <v>8</v>
      </c>
      <c r="F50" s="334">
        <v>168872</v>
      </c>
    </row>
    <row r="51" spans="1:6">
      <c r="A51" s="348" t="s">
        <v>42</v>
      </c>
      <c r="B51" s="348" t="s">
        <v>43</v>
      </c>
      <c r="C51" s="334">
        <v>5</v>
      </c>
      <c r="D51" s="334">
        <v>94386</v>
      </c>
      <c r="E51" s="334">
        <v>183</v>
      </c>
      <c r="F51" s="334">
        <v>3550589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107</v>
      </c>
      <c r="F54" s="334">
        <v>1070268</v>
      </c>
    </row>
    <row r="55" spans="1:6">
      <c r="A55" s="348" t="s">
        <v>46</v>
      </c>
      <c r="B55" s="348" t="s">
        <v>29</v>
      </c>
      <c r="C55" s="334">
        <v>0</v>
      </c>
      <c r="D55" s="334">
        <v>0</v>
      </c>
      <c r="E55" s="334">
        <v>0</v>
      </c>
      <c r="F55" s="334">
        <v>0</v>
      </c>
    </row>
    <row r="56" spans="1:6">
      <c r="A56" s="348" t="s">
        <v>48</v>
      </c>
      <c r="B56" s="348" t="s">
        <v>29</v>
      </c>
      <c r="C56" s="334">
        <v>49</v>
      </c>
      <c r="D56" s="334">
        <v>698932</v>
      </c>
      <c r="E56" s="334">
        <v>134</v>
      </c>
      <c r="F56" s="334">
        <v>472924</v>
      </c>
    </row>
    <row r="57" spans="1:6">
      <c r="A57" s="348" t="s">
        <v>49</v>
      </c>
      <c r="B57" s="348" t="s">
        <v>50</v>
      </c>
      <c r="C57" s="334">
        <v>25</v>
      </c>
      <c r="D57" s="334">
        <v>737708</v>
      </c>
      <c r="E57" s="334">
        <v>85</v>
      </c>
      <c r="F57" s="334">
        <v>3108635</v>
      </c>
    </row>
    <row r="58" spans="1:6">
      <c r="A58" s="348" t="s">
        <v>49</v>
      </c>
      <c r="B58" s="348" t="s">
        <v>51</v>
      </c>
      <c r="C58" s="334">
        <v>24</v>
      </c>
      <c r="D58" s="334">
        <v>2391114</v>
      </c>
      <c r="E58" s="334">
        <v>42</v>
      </c>
      <c r="F58" s="334">
        <v>1584917</v>
      </c>
    </row>
    <row r="59" spans="1:6">
      <c r="A59" s="348" t="s">
        <v>49</v>
      </c>
      <c r="B59" s="348" t="s">
        <v>52</v>
      </c>
      <c r="C59" s="334">
        <v>66</v>
      </c>
      <c r="D59" s="334">
        <v>3849928</v>
      </c>
      <c r="E59" s="334">
        <v>206</v>
      </c>
      <c r="F59" s="334">
        <v>7253932</v>
      </c>
    </row>
    <row r="60" spans="1:6">
      <c r="A60" s="348" t="s">
        <v>49</v>
      </c>
      <c r="B60" s="348" t="s">
        <v>53</v>
      </c>
      <c r="C60" s="334">
        <v>43</v>
      </c>
      <c r="D60" s="334">
        <v>28002189</v>
      </c>
      <c r="E60" s="334">
        <v>65</v>
      </c>
      <c r="F60" s="334">
        <v>7115691</v>
      </c>
    </row>
    <row r="61" spans="1:6">
      <c r="A61" s="348" t="s">
        <v>49</v>
      </c>
      <c r="B61" s="348" t="s">
        <v>54</v>
      </c>
      <c r="C61" s="334">
        <v>83</v>
      </c>
      <c r="D61" s="334">
        <v>5883818</v>
      </c>
      <c r="E61" s="334">
        <v>293</v>
      </c>
      <c r="F61" s="334">
        <v>4300941</v>
      </c>
    </row>
    <row r="62" spans="1:6">
      <c r="A62" s="348" t="s">
        <v>49</v>
      </c>
      <c r="B62" s="348" t="s">
        <v>55</v>
      </c>
      <c r="C62" s="334">
        <v>19</v>
      </c>
      <c r="D62" s="334">
        <v>2322195</v>
      </c>
      <c r="E62" s="334">
        <v>18</v>
      </c>
      <c r="F62" s="334">
        <v>406947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64524</v>
      </c>
      <c r="E68" s="334">
        <v>11</v>
      </c>
      <c r="F68" s="334">
        <v>94102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85522440</v>
      </c>
      <c r="E73" s="475">
        <v>87573387.122335836</v>
      </c>
    </row>
    <row r="74" spans="1:6">
      <c r="A74" s="348" t="s">
        <v>64</v>
      </c>
      <c r="B74" s="348" t="s">
        <v>667</v>
      </c>
      <c r="C74" s="1294" t="s">
        <v>669</v>
      </c>
      <c r="D74" s="475">
        <v>6950188.3796970118</v>
      </c>
      <c r="E74" s="475">
        <v>7094371.0598303182</v>
      </c>
    </row>
    <row r="75" spans="1:6">
      <c r="A75" s="348" t="s">
        <v>65</v>
      </c>
      <c r="B75" s="348" t="s">
        <v>666</v>
      </c>
      <c r="C75" s="1294" t="s">
        <v>670</v>
      </c>
      <c r="D75" s="475">
        <v>40437364</v>
      </c>
      <c r="E75" s="475">
        <v>41433013.003997959</v>
      </c>
    </row>
    <row r="76" spans="1:6">
      <c r="A76" s="348" t="s">
        <v>65</v>
      </c>
      <c r="B76" s="348" t="s">
        <v>667</v>
      </c>
      <c r="C76" s="1294" t="s">
        <v>671</v>
      </c>
      <c r="D76" s="475">
        <v>709620.37969701167</v>
      </c>
      <c r="E76" s="475">
        <v>733583.4370796174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730713.24060597667</v>
      </c>
      <c r="C83" s="475">
        <v>730713.24060597667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6875.5915891788127</v>
      </c>
    </row>
    <row r="92" spans="1:6">
      <c r="A92" s="341" t="s">
        <v>69</v>
      </c>
      <c r="B92" s="342">
        <v>3692.0625637149778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903</v>
      </c>
    </row>
    <row r="98" spans="1:6">
      <c r="A98" s="348" t="s">
        <v>72</v>
      </c>
      <c r="B98" s="334">
        <v>5</v>
      </c>
    </row>
    <row r="99" spans="1:6">
      <c r="A99" s="348" t="s">
        <v>73</v>
      </c>
      <c r="B99" s="334">
        <v>58</v>
      </c>
    </row>
    <row r="100" spans="1:6">
      <c r="A100" s="348" t="s">
        <v>74</v>
      </c>
      <c r="B100" s="334">
        <v>226</v>
      </c>
    </row>
    <row r="101" spans="1:6">
      <c r="A101" s="348" t="s">
        <v>75</v>
      </c>
      <c r="B101" s="334">
        <v>79</v>
      </c>
    </row>
    <row r="102" spans="1:6">
      <c r="A102" s="348" t="s">
        <v>76</v>
      </c>
      <c r="B102" s="334">
        <v>57</v>
      </c>
    </row>
    <row r="103" spans="1:6">
      <c r="A103" s="348" t="s">
        <v>77</v>
      </c>
      <c r="B103" s="334">
        <v>102</v>
      </c>
    </row>
    <row r="104" spans="1:6">
      <c r="A104" s="348" t="s">
        <v>78</v>
      </c>
      <c r="B104" s="334">
        <v>3908</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37</v>
      </c>
      <c r="C123" s="334">
        <v>43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249</v>
      </c>
    </row>
    <row r="130" spans="1:6">
      <c r="A130" s="348" t="s">
        <v>295</v>
      </c>
      <c r="B130" s="334">
        <v>2</v>
      </c>
    </row>
    <row r="131" spans="1:6">
      <c r="A131" s="348" t="s">
        <v>296</v>
      </c>
      <c r="B131" s="334">
        <v>1</v>
      </c>
    </row>
    <row r="132" spans="1:6">
      <c r="A132" s="341" t="s">
        <v>297</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81556.037410420511</v>
      </c>
      <c r="C3" s="43" t="s">
        <v>170</v>
      </c>
      <c r="D3" s="43"/>
      <c r="E3" s="154"/>
      <c r="F3" s="43"/>
      <c r="G3" s="43"/>
      <c r="H3" s="43"/>
      <c r="I3" s="43"/>
      <c r="J3" s="43"/>
      <c r="K3" s="96"/>
    </row>
    <row r="4" spans="1:11">
      <c r="A4" s="383" t="s">
        <v>171</v>
      </c>
      <c r="B4" s="49">
        <f>IF(ISERROR('SEAP template'!B78+'SEAP template'!C78),0,'SEAP template'!B78+'SEAP template'!C78)</f>
        <v>10611.30415289379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0.19224555959005077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1070.268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1070.268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0.19224555959005077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205.75427057132447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22092.71</v>
      </c>
      <c r="C5" s="17">
        <f>IF(ISERROR('Eigen informatie GS &amp; warmtenet'!B57),0,'Eigen informatie GS &amp; warmtenet'!B57)</f>
        <v>0</v>
      </c>
      <c r="D5" s="30">
        <f>(SUM(HH_hh_gas_kWh,HH_rest_gas_kWh)/1000)*0.902</f>
        <v>38725.429798000005</v>
      </c>
      <c r="E5" s="17">
        <f>B46*B57</f>
        <v>5209.0428674714358</v>
      </c>
      <c r="F5" s="17">
        <f>B51*B62</f>
        <v>48114.70186964699</v>
      </c>
      <c r="G5" s="18"/>
      <c r="H5" s="17"/>
      <c r="I5" s="17"/>
      <c r="J5" s="17">
        <f>B50*B61+C50*C61</f>
        <v>0</v>
      </c>
      <c r="K5" s="17"/>
      <c r="L5" s="17"/>
      <c r="M5" s="17"/>
      <c r="N5" s="17">
        <f>B48*B59+C48*C59</f>
        <v>20150.482782427527</v>
      </c>
      <c r="O5" s="17">
        <f>B69*B70*B71</f>
        <v>456.4933333333334</v>
      </c>
      <c r="P5" s="17">
        <f>B77*B78*B79/1000-B77*B78*B79/1000/B80</f>
        <v>1716</v>
      </c>
    </row>
    <row r="6" spans="1:16">
      <c r="A6" s="16" t="s">
        <v>624</v>
      </c>
      <c r="B6" s="788">
        <f>kWh_PV_kleiner_dan_10kW</f>
        <v>6875.5915891788127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28968.301589178813</v>
      </c>
      <c r="C8" s="21">
        <f>C5</f>
        <v>0</v>
      </c>
      <c r="D8" s="21">
        <f>D5</f>
        <v>38725.429798000005</v>
      </c>
      <c r="E8" s="21">
        <f>E5</f>
        <v>5209.0428674714358</v>
      </c>
      <c r="F8" s="21">
        <f>F5</f>
        <v>48114.70186964699</v>
      </c>
      <c r="G8" s="21"/>
      <c r="H8" s="21"/>
      <c r="I8" s="21"/>
      <c r="J8" s="21">
        <f>J5</f>
        <v>0</v>
      </c>
      <c r="K8" s="21"/>
      <c r="L8" s="21">
        <f>L5</f>
        <v>0</v>
      </c>
      <c r="M8" s="21">
        <f>M5</f>
        <v>0</v>
      </c>
      <c r="N8" s="21">
        <f>N5</f>
        <v>20150.482782427527</v>
      </c>
      <c r="O8" s="21">
        <f>O5</f>
        <v>456.4933333333334</v>
      </c>
      <c r="P8" s="21">
        <f>P5</f>
        <v>1716</v>
      </c>
    </row>
    <row r="9" spans="1:16">
      <c r="B9" s="19"/>
      <c r="C9" s="19"/>
      <c r="D9" s="258"/>
      <c r="E9" s="19"/>
      <c r="F9" s="19"/>
      <c r="G9" s="19"/>
      <c r="H9" s="19"/>
      <c r="I9" s="19"/>
      <c r="J9" s="19"/>
      <c r="K9" s="19"/>
      <c r="L9" s="19"/>
      <c r="M9" s="19"/>
      <c r="N9" s="19"/>
      <c r="O9" s="19"/>
      <c r="P9" s="19"/>
    </row>
    <row r="10" spans="1:16">
      <c r="A10" s="24" t="s">
        <v>214</v>
      </c>
      <c r="B10" s="25">
        <f ca="1">'EF ele_warmte'!B12</f>
        <v>0.19224555959005077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5569.0273493850382</v>
      </c>
      <c r="C12" s="23">
        <f ca="1">C10*C8</f>
        <v>0</v>
      </c>
      <c r="D12" s="23">
        <f>D8*D10</f>
        <v>7822.5368191960015</v>
      </c>
      <c r="E12" s="23">
        <f>E10*E8</f>
        <v>1182.452730916016</v>
      </c>
      <c r="F12" s="23">
        <f>F10*F8</f>
        <v>12846.625399195747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903</v>
      </c>
      <c r="C18" s="166" t="s">
        <v>111</v>
      </c>
      <c r="D18" s="228"/>
      <c r="E18" s="15"/>
    </row>
    <row r="19" spans="1:7">
      <c r="A19" s="171" t="s">
        <v>72</v>
      </c>
      <c r="B19" s="37">
        <f>aantalw2001_ander</f>
        <v>5</v>
      </c>
      <c r="C19" s="166" t="s">
        <v>111</v>
      </c>
      <c r="D19" s="229"/>
      <c r="E19" s="15"/>
    </row>
    <row r="20" spans="1:7">
      <c r="A20" s="171" t="s">
        <v>73</v>
      </c>
      <c r="B20" s="37">
        <f>aantalw2001_propaan</f>
        <v>58</v>
      </c>
      <c r="C20" s="167">
        <f>IF(ISERROR(B20/SUM($B$20,$B$21,$B$22)*100),0,B20/SUM($B$20,$B$21,$B$22)*100)</f>
        <v>15.977961432506888</v>
      </c>
      <c r="D20" s="229"/>
      <c r="E20" s="15"/>
    </row>
    <row r="21" spans="1:7">
      <c r="A21" s="171" t="s">
        <v>74</v>
      </c>
      <c r="B21" s="37">
        <f>aantalw2001_elektriciteit</f>
        <v>226</v>
      </c>
      <c r="C21" s="167">
        <f>IF(ISERROR(B21/SUM($B$20,$B$21,$B$22)*100),0,B21/SUM($B$20,$B$21,$B$22)*100)</f>
        <v>62.258953168044073</v>
      </c>
      <c r="D21" s="229"/>
      <c r="E21" s="15"/>
    </row>
    <row r="22" spans="1:7">
      <c r="A22" s="171" t="s">
        <v>75</v>
      </c>
      <c r="B22" s="37">
        <f>aantalw2001_hout</f>
        <v>79</v>
      </c>
      <c r="C22" s="167">
        <f>IF(ISERROR(B22/SUM($B$20,$B$21,$B$22)*100),0,B22/SUM($B$20,$B$21,$B$22)*100)</f>
        <v>21.763085399449036</v>
      </c>
      <c r="D22" s="229"/>
      <c r="E22" s="15"/>
    </row>
    <row r="23" spans="1:7">
      <c r="A23" s="171" t="s">
        <v>76</v>
      </c>
      <c r="B23" s="37">
        <f>aantalw2001_niet_gespec</f>
        <v>57</v>
      </c>
      <c r="C23" s="166" t="s">
        <v>111</v>
      </c>
      <c r="D23" s="228"/>
      <c r="E23" s="15"/>
    </row>
    <row r="24" spans="1:7">
      <c r="A24" s="171" t="s">
        <v>77</v>
      </c>
      <c r="B24" s="37">
        <f>aantalw2001_steenkool</f>
        <v>102</v>
      </c>
      <c r="C24" s="166" t="s">
        <v>111</v>
      </c>
      <c r="D24" s="229"/>
      <c r="E24" s="15"/>
    </row>
    <row r="25" spans="1:7">
      <c r="A25" s="171" t="s">
        <v>78</v>
      </c>
      <c r="B25" s="37">
        <f>aantalw2001_stookolie</f>
        <v>3908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6557</v>
      </c>
      <c r="C28" s="36"/>
      <c r="D28" s="228"/>
    </row>
    <row r="29" spans="1:7" s="15" customFormat="1">
      <c r="A29" s="230" t="s">
        <v>699</v>
      </c>
      <c r="B29" s="37">
        <f>SUM(HH_hh_gas_aantal,HH_rest_gas_aantal)</f>
        <v>3049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3049</v>
      </c>
      <c r="C32" s="167">
        <f>IF(ISERROR(B32/SUM($B$32,$B$34,$B$35,$B$36,$B$38,$B$39)*100),0,B32/SUM($B$32,$B$34,$B$35,$B$36,$B$38,$B$39)*100)</f>
        <v>47.147054275552804</v>
      </c>
      <c r="D32" s="233"/>
      <c r="G32" s="15"/>
    </row>
    <row r="33" spans="1:7">
      <c r="A33" s="171" t="s">
        <v>72</v>
      </c>
      <c r="B33" s="34" t="s">
        <v>111</v>
      </c>
      <c r="C33" s="167"/>
      <c r="D33" s="233"/>
      <c r="G33" s="15"/>
    </row>
    <row r="34" spans="1:7">
      <c r="A34" s="171" t="s">
        <v>73</v>
      </c>
      <c r="B34" s="33">
        <f>IF((($B$28-$B$32-$B$39-$B$77-$B$38)*C20/100)&lt;0,0,($B$28-$B$32-$B$39-$B$77-$B$38)*C20/100)</f>
        <v>230.30633608815432</v>
      </c>
      <c r="C34" s="167">
        <f>IF(ISERROR(B34/SUM($B$32,$B$34,$B$35,$B$36,$B$38,$B$39)*100),0,B34/SUM($B$32,$B$34,$B$35,$B$36,$B$38,$B$39)*100)</f>
        <v>3.5612546171045976</v>
      </c>
      <c r="D34" s="233"/>
      <c r="G34" s="15"/>
    </row>
    <row r="35" spans="1:7">
      <c r="A35" s="171" t="s">
        <v>74</v>
      </c>
      <c r="B35" s="33">
        <f>IF((($B$28-$B$32-$B$39-$B$77-$B$38)*C21/100)&lt;0,0,($B$28-$B$32-$B$39-$B$77-$B$38)*C21/100)</f>
        <v>897.40055096418723</v>
      </c>
      <c r="C35" s="167">
        <f>IF(ISERROR(B35/SUM($B$32,$B$34,$B$35,$B$36,$B$38,$B$39)*100),0,B35/SUM($B$32,$B$34,$B$35,$B$36,$B$38,$B$39)*100)</f>
        <v>13.876612818373083</v>
      </c>
      <c r="D35" s="233"/>
      <c r="G35" s="15"/>
    </row>
    <row r="36" spans="1:7">
      <c r="A36" s="171" t="s">
        <v>75</v>
      </c>
      <c r="B36" s="33">
        <f>IF((($B$28-$B$32-$B$39-$B$77-$B$38)*C22/100)&lt;0,0,($B$28-$B$32-$B$39-$B$77-$B$38)*C22/100)</f>
        <v>313.69311294765839</v>
      </c>
      <c r="C36" s="167">
        <f>IF(ISERROR(B36/SUM($B$32,$B$34,$B$35,$B$36,$B$38,$B$39)*100),0,B36/SUM($B$32,$B$34,$B$35,$B$36,$B$38,$B$39)*100)</f>
        <v>4.8506743922631577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1976.6</v>
      </c>
      <c r="C39" s="167">
        <f>IF(ISERROR(B39/SUM($B$32,$B$34,$B$35,$B$36,$B$38,$B$39)*100),0,B39/SUM($B$32,$B$34,$B$35,$B$36,$B$38,$B$39)*100)</f>
        <v>30.564403896706356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3049</v>
      </c>
      <c r="C44" s="34" t="s">
        <v>111</v>
      </c>
      <c r="D44" s="174"/>
    </row>
    <row r="45" spans="1:7">
      <c r="A45" s="171" t="s">
        <v>72</v>
      </c>
      <c r="B45" s="33" t="str">
        <f t="shared" si="0"/>
        <v>-</v>
      </c>
      <c r="C45" s="34" t="s">
        <v>111</v>
      </c>
      <c r="D45" s="174"/>
    </row>
    <row r="46" spans="1:7">
      <c r="A46" s="171" t="s">
        <v>73</v>
      </c>
      <c r="B46" s="33">
        <f t="shared" si="0"/>
        <v>230.30633608815432</v>
      </c>
      <c r="C46" s="34" t="s">
        <v>111</v>
      </c>
      <c r="D46" s="174"/>
    </row>
    <row r="47" spans="1:7">
      <c r="A47" s="171" t="s">
        <v>74</v>
      </c>
      <c r="B47" s="33">
        <f t="shared" si="0"/>
        <v>897.40055096418723</v>
      </c>
      <c r="C47" s="34" t="s">
        <v>111</v>
      </c>
      <c r="D47" s="174"/>
    </row>
    <row r="48" spans="1:7">
      <c r="A48" s="171" t="s">
        <v>75</v>
      </c>
      <c r="B48" s="33">
        <f t="shared" si="0"/>
        <v>313.69311294765839</v>
      </c>
      <c r="C48" s="33">
        <f>B48*10</f>
        <v>3136.9311294765839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1976.6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23771.063000000002</v>
      </c>
      <c r="C5" s="17">
        <f>IF(ISERROR('Eigen informatie GS &amp; warmtenet'!B58),0,'Eigen informatie GS &amp; warmtenet'!B58)</f>
        <v>0</v>
      </c>
      <c r="D5" s="30">
        <f>SUM(D6:D12)</f>
        <v>38954.63070400001</v>
      </c>
      <c r="E5" s="17">
        <f>SUM(E6:E12)</f>
        <v>526.33012158966187</v>
      </c>
      <c r="F5" s="17">
        <f>SUM(F6:F12)</f>
        <v>6783.4250061735784</v>
      </c>
      <c r="G5" s="18"/>
      <c r="H5" s="17"/>
      <c r="I5" s="17"/>
      <c r="J5" s="17">
        <f>SUM(J6:J12)</f>
        <v>0</v>
      </c>
      <c r="K5" s="17"/>
      <c r="L5" s="17"/>
      <c r="M5" s="17"/>
      <c r="N5" s="17">
        <f>SUM(N6:N12)</f>
        <v>2483.8246137253032</v>
      </c>
      <c r="O5" s="17">
        <f>B38*B39*B40</f>
        <v>3.1266666666666669</v>
      </c>
      <c r="P5" s="17">
        <f>B46*B47*B48/1000-B46*B47*B48/1000/B49</f>
        <v>38.133333333333333</v>
      </c>
      <c r="R5" s="32"/>
    </row>
    <row r="6" spans="1:18">
      <c r="A6" s="32" t="s">
        <v>54</v>
      </c>
      <c r="B6" s="37">
        <f>B26</f>
        <v>4300.9409999999998</v>
      </c>
      <c r="C6" s="33"/>
      <c r="D6" s="37">
        <f>IF(ISERROR(TER_kantoor_gas_kWh/1000),0,TER_kantoor_gas_kWh/1000)*0.902</f>
        <v>5307.2038360000006</v>
      </c>
      <c r="E6" s="33">
        <f>$C$26*'E Balans VL '!I12/100/3.6*1000000</f>
        <v>56.30461568108197</v>
      </c>
      <c r="F6" s="33">
        <f>$C$26*('E Balans VL '!L12+'E Balans VL '!N12)/100/3.6*1000000</f>
        <v>1096.695510735917</v>
      </c>
      <c r="G6" s="34"/>
      <c r="H6" s="33"/>
      <c r="I6" s="33"/>
      <c r="J6" s="33">
        <f>$C$26*('E Balans VL '!D12+'E Balans VL '!E12)/100/3.6*1000000</f>
        <v>0</v>
      </c>
      <c r="K6" s="33"/>
      <c r="L6" s="33"/>
      <c r="M6" s="33"/>
      <c r="N6" s="33">
        <f>$C$26*'E Balans VL '!Y12/100/3.6*1000000</f>
        <v>4.3154241884470173</v>
      </c>
      <c r="O6" s="33"/>
      <c r="P6" s="33"/>
      <c r="R6" s="32"/>
    </row>
    <row r="7" spans="1:18">
      <c r="A7" s="32" t="s">
        <v>53</v>
      </c>
      <c r="B7" s="37">
        <f t="shared" ref="B7:B12" si="0">B27</f>
        <v>7115.6909999999998</v>
      </c>
      <c r="C7" s="33"/>
      <c r="D7" s="37">
        <f>IF(ISERROR(TER_horeca_gas_kWh/1000),0,TER_horeca_gas_kWh/1000)*0.902</f>
        <v>25257.974478</v>
      </c>
      <c r="E7" s="33">
        <f>$C$27*'E Balans VL '!I9/100/3.6*1000000</f>
        <v>235.48608880362588</v>
      </c>
      <c r="F7" s="33">
        <f>$C$27*('E Balans VL '!L9+'E Balans VL '!N9)/100/3.6*1000000</f>
        <v>3059.719859368844</v>
      </c>
      <c r="G7" s="34"/>
      <c r="H7" s="33"/>
      <c r="I7" s="33"/>
      <c r="J7" s="33">
        <f>$C$27*('E Balans VL '!D9+'E Balans VL '!E9)/100/3.6*1000000</f>
        <v>0</v>
      </c>
      <c r="K7" s="33"/>
      <c r="L7" s="33"/>
      <c r="M7" s="33"/>
      <c r="N7" s="33">
        <f>$C$27*'E Balans VL '!Y9/100/3.6*1000000</f>
        <v>1.712850154872974</v>
      </c>
      <c r="O7" s="33"/>
      <c r="P7" s="33"/>
      <c r="R7" s="32"/>
    </row>
    <row r="8" spans="1:18">
      <c r="A8" s="6" t="s">
        <v>52</v>
      </c>
      <c r="B8" s="37">
        <f t="shared" si="0"/>
        <v>7253.9319999999998</v>
      </c>
      <c r="C8" s="33"/>
      <c r="D8" s="37">
        <f>IF(ISERROR(TER_handel_gas_kWh/1000),0,TER_handel_gas_kWh/1000)*0.902</f>
        <v>3472.6350560000001</v>
      </c>
      <c r="E8" s="33">
        <f>$C$28*'E Balans VL '!I13/100/3.6*1000000</f>
        <v>228.94517759817279</v>
      </c>
      <c r="F8" s="33">
        <f>$C$28*('E Balans VL '!L13+'E Balans VL '!N13)/100/3.6*1000000</f>
        <v>1422.6237990121019</v>
      </c>
      <c r="G8" s="34"/>
      <c r="H8" s="33"/>
      <c r="I8" s="33"/>
      <c r="J8" s="33">
        <f>$C$28*('E Balans VL '!D13+'E Balans VL '!E13)/100/3.6*1000000</f>
        <v>0</v>
      </c>
      <c r="K8" s="33"/>
      <c r="L8" s="33"/>
      <c r="M8" s="33"/>
      <c r="N8" s="33">
        <f>$C$28*'E Balans VL '!Y13/100/3.6*1000000</f>
        <v>8.6090089503915621</v>
      </c>
      <c r="O8" s="33"/>
      <c r="P8" s="33"/>
      <c r="R8" s="32"/>
    </row>
    <row r="9" spans="1:18">
      <c r="A9" s="32" t="s">
        <v>51</v>
      </c>
      <c r="B9" s="37">
        <f t="shared" si="0"/>
        <v>1584.9169999999999</v>
      </c>
      <c r="C9" s="33"/>
      <c r="D9" s="37">
        <f>IF(ISERROR(TER_gezond_gas_kWh/1000),0,TER_gezond_gas_kWh/1000)*0.902</f>
        <v>2156.7848280000003</v>
      </c>
      <c r="E9" s="33">
        <f>$C$29*'E Balans VL '!I10/100/3.6*1000000</f>
        <v>0.20291574171806664</v>
      </c>
      <c r="F9" s="33">
        <f>$C$29*('E Balans VL '!L10+'E Balans VL '!N10)/100/3.6*1000000</f>
        <v>330.20464105933621</v>
      </c>
      <c r="G9" s="34"/>
      <c r="H9" s="33"/>
      <c r="I9" s="33"/>
      <c r="J9" s="33">
        <f>$C$29*('E Balans VL '!D10+'E Balans VL '!E10)/100/3.6*1000000</f>
        <v>0</v>
      </c>
      <c r="K9" s="33"/>
      <c r="L9" s="33"/>
      <c r="M9" s="33"/>
      <c r="N9" s="33">
        <f>$C$29*'E Balans VL '!Y10/100/3.6*1000000</f>
        <v>18.61559929525923</v>
      </c>
      <c r="O9" s="33"/>
      <c r="P9" s="33"/>
      <c r="R9" s="32"/>
    </row>
    <row r="10" spans="1:18">
      <c r="A10" s="32" t="s">
        <v>50</v>
      </c>
      <c r="B10" s="37">
        <f t="shared" si="0"/>
        <v>3108.6350000000002</v>
      </c>
      <c r="C10" s="33"/>
      <c r="D10" s="37">
        <f>IF(ISERROR(TER_ander_gas_kWh/1000),0,TER_ander_gas_kWh/1000)*0.902</f>
        <v>665.41261599999996</v>
      </c>
      <c r="E10" s="33">
        <f>$C$30*'E Balans VL '!I14/100/3.6*1000000</f>
        <v>4.6746559960225946</v>
      </c>
      <c r="F10" s="33">
        <f>$C$30*('E Balans VL '!L14+'E Balans VL '!N14)/100/3.6*1000000</f>
        <v>686.28640240359368</v>
      </c>
      <c r="G10" s="34"/>
      <c r="H10" s="33"/>
      <c r="I10" s="33"/>
      <c r="J10" s="33">
        <f>$C$30*('E Balans VL '!D14+'E Balans VL '!E14)/100/3.6*1000000</f>
        <v>0</v>
      </c>
      <c r="K10" s="33"/>
      <c r="L10" s="33"/>
      <c r="M10" s="33"/>
      <c r="N10" s="33">
        <f>$C$30*'E Balans VL '!Y14/100/3.6*1000000</f>
        <v>2449.8135832477524</v>
      </c>
      <c r="O10" s="33"/>
      <c r="P10" s="33"/>
      <c r="R10" s="32"/>
    </row>
    <row r="11" spans="1:18">
      <c r="A11" s="32" t="s">
        <v>55</v>
      </c>
      <c r="B11" s="37">
        <f t="shared" si="0"/>
        <v>406.947</v>
      </c>
      <c r="C11" s="33"/>
      <c r="D11" s="37">
        <f>IF(ISERROR(TER_onderwijs_gas_kWh/1000),0,TER_onderwijs_gas_kWh/1000)*0.902</f>
        <v>2094.6198900000004</v>
      </c>
      <c r="E11" s="33">
        <f>$C$31*'E Balans VL '!I11/100/3.6*1000000</f>
        <v>0.7166677690407216</v>
      </c>
      <c r="F11" s="33">
        <f>$C$31*('E Balans VL '!L11+'E Balans VL '!N11)/100/3.6*1000000</f>
        <v>187.89479359378598</v>
      </c>
      <c r="G11" s="34"/>
      <c r="H11" s="33"/>
      <c r="I11" s="33"/>
      <c r="J11" s="33">
        <f>$C$31*('E Balans VL '!D11+'E Balans VL '!E11)/100/3.6*1000000</f>
        <v>0</v>
      </c>
      <c r="K11" s="33"/>
      <c r="L11" s="33"/>
      <c r="M11" s="33"/>
      <c r="N11" s="33">
        <f>$C$31*'E Balans VL '!Y11/100/3.6*1000000</f>
        <v>0.75814788858001014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23771.063000000002</v>
      </c>
      <c r="C16" s="21">
        <f t="shared" ca="1" si="1"/>
        <v>0</v>
      </c>
      <c r="D16" s="21">
        <f t="shared" ca="1" si="1"/>
        <v>38954.63070400001</v>
      </c>
      <c r="E16" s="21">
        <f t="shared" si="1"/>
        <v>526.33012158966187</v>
      </c>
      <c r="F16" s="21">
        <f t="shared" ca="1" si="1"/>
        <v>6783.4250061735784</v>
      </c>
      <c r="G16" s="21">
        <f t="shared" si="1"/>
        <v>0</v>
      </c>
      <c r="H16" s="21">
        <f t="shared" si="1"/>
        <v>0</v>
      </c>
      <c r="I16" s="21">
        <f t="shared" si="1"/>
        <v>0</v>
      </c>
      <c r="J16" s="21">
        <f t="shared" si="1"/>
        <v>0</v>
      </c>
      <c r="K16" s="21">
        <f t="shared" si="1"/>
        <v>0</v>
      </c>
      <c r="L16" s="21">
        <f t="shared" ca="1" si="1"/>
        <v>0</v>
      </c>
      <c r="M16" s="21">
        <f t="shared" si="1"/>
        <v>0</v>
      </c>
      <c r="N16" s="21">
        <f t="shared" ca="1" si="1"/>
        <v>2483.8246137253032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0.19224555959005077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4569.8813084853509</v>
      </c>
      <c r="C20" s="23">
        <f t="shared" ref="C20:P20" ca="1" si="2">C16*C18</f>
        <v>0</v>
      </c>
      <c r="D20" s="23">
        <f t="shared" ca="1" si="2"/>
        <v>7868.835402208003</v>
      </c>
      <c r="E20" s="23">
        <f t="shared" si="2"/>
        <v>119.47693760085325</v>
      </c>
      <c r="F20" s="23">
        <f t="shared" ca="1" si="2"/>
        <v>1811.1744766483455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4300.9409999999998</v>
      </c>
      <c r="C26" s="39">
        <f>IF(ISERROR(B26*3.6/1000000/'E Balans VL '!Z12*100),0,B26*3.6/1000000/'E Balans VL '!Z12*100)</f>
        <v>9.2129497490955378E-2</v>
      </c>
      <c r="D26" s="237" t="s">
        <v>660</v>
      </c>
      <c r="F26" s="6"/>
    </row>
    <row r="27" spans="1:18">
      <c r="A27" s="231" t="s">
        <v>53</v>
      </c>
      <c r="B27" s="33">
        <f>IF(ISERROR(TER_horeca_ele_kWh/1000),0,TER_horeca_ele_kWh/1000)</f>
        <v>7115.6909999999998</v>
      </c>
      <c r="C27" s="39">
        <f>IF(ISERROR(B27*3.6/1000000/'E Balans VL '!Z9*100),0,B27*3.6/1000000/'E Balans VL '!Z9*100)</f>
        <v>0.57100946886054693</v>
      </c>
      <c r="D27" s="237" t="s">
        <v>660</v>
      </c>
      <c r="F27" s="6"/>
    </row>
    <row r="28" spans="1:18">
      <c r="A28" s="171" t="s">
        <v>52</v>
      </c>
      <c r="B28" s="33">
        <f>IF(ISERROR(TER_handel_ele_kWh/1000),0,TER_handel_ele_kWh/1000)</f>
        <v>7253.9319999999998</v>
      </c>
      <c r="C28" s="39">
        <f>IF(ISERROR(B28*3.6/1000000/'E Balans VL '!Z13*100),0,B28*3.6/1000000/'E Balans VL '!Z13*100)</f>
        <v>0.21394938710561223</v>
      </c>
      <c r="D28" s="237" t="s">
        <v>660</v>
      </c>
      <c r="F28" s="6"/>
    </row>
    <row r="29" spans="1:18">
      <c r="A29" s="231" t="s">
        <v>51</v>
      </c>
      <c r="B29" s="33">
        <f>IF(ISERROR(TER_gezond_ele_kWh/1000),0,TER_gezond_ele_kWh/1000)</f>
        <v>1584.9169999999999</v>
      </c>
      <c r="C29" s="39">
        <f>IF(ISERROR(B29*3.6/1000000/'E Balans VL '!Z10*100),0,B29*3.6/1000000/'E Balans VL '!Z10*100)</f>
        <v>0.16922664238174745</v>
      </c>
      <c r="D29" s="237" t="s">
        <v>660</v>
      </c>
      <c r="F29" s="6"/>
    </row>
    <row r="30" spans="1:18">
      <c r="A30" s="231" t="s">
        <v>50</v>
      </c>
      <c r="B30" s="33">
        <f>IF(ISERROR(TER_ander_ele_kWh/1000),0,TER_ander_ele_kWh/1000)</f>
        <v>3108.6350000000002</v>
      </c>
      <c r="C30" s="39">
        <f>IF(ISERROR(B30*3.6/1000000/'E Balans VL '!Z14*100),0,B30*3.6/1000000/'E Balans VL '!Z14*100)</f>
        <v>0.2348074086672505</v>
      </c>
      <c r="D30" s="237" t="s">
        <v>660</v>
      </c>
      <c r="F30" s="6"/>
    </row>
    <row r="31" spans="1:18">
      <c r="A31" s="231" t="s">
        <v>55</v>
      </c>
      <c r="B31" s="33">
        <f>IF(ISERROR(TER_onderwijs_ele_kWh/1000),0,TER_onderwijs_ele_kWh/1000)</f>
        <v>406.947</v>
      </c>
      <c r="C31" s="39">
        <f>IF(ISERROR(B31*3.6/1000000/'E Balans VL '!Z11*100),0,B31*3.6/1000000/'E Balans VL '!Z11*100)</f>
        <v>8.2176184240353861E-2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23693.375</v>
      </c>
      <c r="C5" s="17">
        <f>IF(ISERROR('Eigen informatie GS &amp; warmtenet'!B59),0,'Eigen informatie GS &amp; warmtenet'!B59)</f>
        <v>0</v>
      </c>
      <c r="D5" s="30">
        <f>SUM(D6:D15)</f>
        <v>2524.709726</v>
      </c>
      <c r="E5" s="17">
        <f>SUM(E6:E15)</f>
        <v>664.01724309599592</v>
      </c>
      <c r="F5" s="17">
        <f>SUM(F6:F15)</f>
        <v>3217.493875513605</v>
      </c>
      <c r="G5" s="18"/>
      <c r="H5" s="17"/>
      <c r="I5" s="17"/>
      <c r="J5" s="17">
        <f>SUM(J6:J15)</f>
        <v>124.46999525534292</v>
      </c>
      <c r="K5" s="17"/>
      <c r="L5" s="17"/>
      <c r="M5" s="17"/>
      <c r="N5" s="17">
        <f>SUM(N6:N15)</f>
        <v>4197.4188970497698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277.93</v>
      </c>
      <c r="C8" s="33"/>
      <c r="D8" s="37">
        <f>IF( ISERROR(IND_metaal_Gas_kWH/1000),0,IND_metaal_Gas_kWH/1000)*0.902</f>
        <v>139.15063800000001</v>
      </c>
      <c r="E8" s="33">
        <f>C30*'E Balans VL '!I18/100/3.6*1000000</f>
        <v>10.000762195245834</v>
      </c>
      <c r="F8" s="33">
        <f>C30*'E Balans VL '!L18/100/3.6*1000000+C30*'E Balans VL '!N18/100/3.6*1000000</f>
        <v>121.36302147873322</v>
      </c>
      <c r="G8" s="34"/>
      <c r="H8" s="33"/>
      <c r="I8" s="33"/>
      <c r="J8" s="40">
        <f>C30*'E Balans VL '!D18/100/3.6*1000000+C30*'E Balans VL '!E18/100/3.6*1000000</f>
        <v>0</v>
      </c>
      <c r="K8" s="33"/>
      <c r="L8" s="33"/>
      <c r="M8" s="33"/>
      <c r="N8" s="33">
        <f>C30*'E Balans VL '!Y18/100/3.6*1000000</f>
        <v>13.929662726552044</v>
      </c>
      <c r="O8" s="33"/>
      <c r="P8" s="33"/>
      <c r="R8" s="32"/>
    </row>
    <row r="9" spans="1:18">
      <c r="A9" s="6" t="s">
        <v>33</v>
      </c>
      <c r="B9" s="37">
        <f t="shared" si="0"/>
        <v>2262.625</v>
      </c>
      <c r="C9" s="33"/>
      <c r="D9" s="37">
        <f>IF( ISERROR(IND_andere_gas_kWh/1000),0,IND_andere_gas_kWh/1000)*0.902</f>
        <v>1614.9895079999999</v>
      </c>
      <c r="E9" s="33">
        <f>C31*'E Balans VL '!I19/100/3.6*1000000</f>
        <v>577.37070667550336</v>
      </c>
      <c r="F9" s="33">
        <f>C31*'E Balans VL '!L19/100/3.6*1000000+C31*'E Balans VL '!N19/100/3.6*1000000</f>
        <v>1947.9500594934211</v>
      </c>
      <c r="G9" s="34"/>
      <c r="H9" s="33"/>
      <c r="I9" s="33"/>
      <c r="J9" s="40">
        <f>C31*'E Balans VL '!D19/100/3.6*1000000+C31*'E Balans VL '!E19/100/3.6*1000000</f>
        <v>0</v>
      </c>
      <c r="K9" s="33"/>
      <c r="L9" s="33"/>
      <c r="M9" s="33"/>
      <c r="N9" s="33">
        <f>C31*'E Balans VL '!Y19/100/3.6*1000000</f>
        <v>707.60032431362185</v>
      </c>
      <c r="O9" s="33"/>
      <c r="P9" s="33"/>
      <c r="R9" s="32"/>
    </row>
    <row r="10" spans="1:18">
      <c r="A10" s="6" t="s">
        <v>41</v>
      </c>
      <c r="B10" s="37">
        <f t="shared" si="0"/>
        <v>168.87200000000001</v>
      </c>
      <c r="C10" s="33"/>
      <c r="D10" s="37">
        <f>IF( ISERROR(IND_voed_gas_kWh/1000),0,IND_voed_gas_kWh/1000)*0.902</f>
        <v>141.21892400000002</v>
      </c>
      <c r="E10" s="33">
        <f>C32*'E Balans VL '!I20/100/3.6*1000000</f>
        <v>4.292958120258195</v>
      </c>
      <c r="F10" s="33">
        <f>C32*'E Balans VL '!L20/100/3.6*1000000+C32*'E Balans VL '!N20/100/3.6*1000000</f>
        <v>38.213198612662559</v>
      </c>
      <c r="G10" s="34"/>
      <c r="H10" s="33"/>
      <c r="I10" s="33"/>
      <c r="J10" s="40">
        <f>C32*'E Balans VL '!D20/100/3.6*1000000+C32*'E Balans VL '!E20/100/3.6*1000000</f>
        <v>0</v>
      </c>
      <c r="K10" s="33"/>
      <c r="L10" s="33"/>
      <c r="M10" s="33"/>
      <c r="N10" s="33">
        <f>C32*'E Balans VL '!Y20/100/3.6*1000000</f>
        <v>63.331577455608091</v>
      </c>
      <c r="O10" s="33"/>
      <c r="P10" s="33"/>
      <c r="R10" s="32"/>
    </row>
    <row r="11" spans="1:18">
      <c r="A11" s="6" t="s">
        <v>40</v>
      </c>
      <c r="B11" s="37">
        <f t="shared" si="0"/>
        <v>18782.999</v>
      </c>
      <c r="C11" s="33"/>
      <c r="D11" s="37">
        <f>IF( ISERROR(IND_textiel_gas_kWh/1000),0,IND_textiel_gas_kWh/1000)*0.902</f>
        <v>0</v>
      </c>
      <c r="E11" s="33">
        <f>C33*'E Balans VL '!I21/100/3.6*1000000</f>
        <v>51.564383432626109</v>
      </c>
      <c r="F11" s="33">
        <f>C33*'E Balans VL '!L21/100/3.6*1000000+C33*'E Balans VL '!N21/100/3.6*1000000</f>
        <v>995.79632813662897</v>
      </c>
      <c r="G11" s="34"/>
      <c r="H11" s="33"/>
      <c r="I11" s="33"/>
      <c r="J11" s="40">
        <f>C33*'E Balans VL '!D21/100/3.6*1000000+C33*'E Balans VL '!E21/100/3.6*1000000</f>
        <v>0</v>
      </c>
      <c r="K11" s="33"/>
      <c r="L11" s="33"/>
      <c r="M11" s="33"/>
      <c r="N11" s="33">
        <f>C33*'E Balans VL '!Y21/100/3.6*1000000</f>
        <v>37.750719730372154</v>
      </c>
      <c r="O11" s="33"/>
      <c r="P11" s="33"/>
      <c r="R11" s="32"/>
    </row>
    <row r="12" spans="1:18">
      <c r="A12" s="6" t="s">
        <v>37</v>
      </c>
      <c r="B12" s="37">
        <f t="shared" si="0"/>
        <v>207.61099999999999</v>
      </c>
      <c r="C12" s="33"/>
      <c r="D12" s="37">
        <f>IF( ISERROR(IND_min_gas_kWh/1000),0,IND_min_gas_kWh/1000)*0.902</f>
        <v>0</v>
      </c>
      <c r="E12" s="33">
        <f>C34*'E Balans VL '!I22/100/3.6*1000000</f>
        <v>4.4112134306997266</v>
      </c>
      <c r="F12" s="33">
        <f>C34*'E Balans VL '!L22/100/3.6*1000000+C34*'E Balans VL '!N22/100/3.6*1000000</f>
        <v>33.873503931415669</v>
      </c>
      <c r="G12" s="34"/>
      <c r="H12" s="33"/>
      <c r="I12" s="33"/>
      <c r="J12" s="40">
        <f>C34*'E Balans VL '!D22/100/3.6*1000000+C34*'E Balans VL '!E22/100/3.6*1000000</f>
        <v>0.24188618936480649</v>
      </c>
      <c r="K12" s="33"/>
      <c r="L12" s="33"/>
      <c r="M12" s="33"/>
      <c r="N12" s="33">
        <f>C34*'E Balans VL '!Y22/100/3.6*1000000</f>
        <v>0</v>
      </c>
      <c r="O12" s="33"/>
      <c r="P12" s="33"/>
      <c r="R12" s="32"/>
    </row>
    <row r="13" spans="1:18">
      <c r="A13" s="6" t="s">
        <v>39</v>
      </c>
      <c r="B13" s="37">
        <f t="shared" si="0"/>
        <v>1836.721</v>
      </c>
      <c r="C13" s="33"/>
      <c r="D13" s="37">
        <f>IF( ISERROR(IND_papier_gas_kWh/1000),0,IND_papier_gas_kWh/1000)*0.902</f>
        <v>0</v>
      </c>
      <c r="E13" s="33">
        <f>C35*'E Balans VL '!I23/100/3.6*1000000</f>
        <v>7.8771620341976414</v>
      </c>
      <c r="F13" s="33">
        <f>C35*'E Balans VL '!L23/100/3.6*1000000+C35*'E Balans VL '!N23/100/3.6*1000000</f>
        <v>46.162499549069615</v>
      </c>
      <c r="G13" s="34"/>
      <c r="H13" s="33"/>
      <c r="I13" s="33"/>
      <c r="J13" s="40">
        <f>C35*'E Balans VL '!D23/100/3.6*1000000+C35*'E Balans VL '!E23/100/3.6*1000000</f>
        <v>122.95839694971868</v>
      </c>
      <c r="K13" s="33"/>
      <c r="L13" s="33"/>
      <c r="M13" s="33"/>
      <c r="N13" s="33">
        <f>C35*'E Balans VL '!Y23/100/3.6*1000000</f>
        <v>3343.2690089183316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156.61699999999999</v>
      </c>
      <c r="C15" s="33"/>
      <c r="D15" s="37">
        <f>IF( ISERROR(IND_rest_gas_kWh/1000),0,IND_rest_gas_kWh/1000)*0.902</f>
        <v>629.35065599999996</v>
      </c>
      <c r="E15" s="33">
        <f>C37*'E Balans VL '!I15/100/3.6*1000000</f>
        <v>8.5000572074651934</v>
      </c>
      <c r="F15" s="33">
        <f>C37*'E Balans VL '!L15/100/3.6*1000000+C37*'E Balans VL '!N15/100/3.6*1000000</f>
        <v>34.135264311673851</v>
      </c>
      <c r="G15" s="34"/>
      <c r="H15" s="33"/>
      <c r="I15" s="33"/>
      <c r="J15" s="40">
        <f>C37*'E Balans VL '!D15/100/3.6*1000000+C37*'E Balans VL '!E15/100/3.6*1000000</f>
        <v>1.2697121162594418</v>
      </c>
      <c r="K15" s="33"/>
      <c r="L15" s="33"/>
      <c r="M15" s="33"/>
      <c r="N15" s="33">
        <f>C37*'E Balans VL '!Y15/100/3.6*1000000</f>
        <v>31.537603905284492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23693.375</v>
      </c>
      <c r="C18" s="21">
        <f>C5+C16</f>
        <v>0</v>
      </c>
      <c r="D18" s="21">
        <f>MAX((D5+D16),0)</f>
        <v>2524.709726</v>
      </c>
      <c r="E18" s="21">
        <f>MAX((E5+E16),0)</f>
        <v>664.01724309599592</v>
      </c>
      <c r="F18" s="21">
        <f>MAX((F5+F16),0)</f>
        <v>3217.493875513605</v>
      </c>
      <c r="G18" s="21"/>
      <c r="H18" s="21"/>
      <c r="I18" s="21"/>
      <c r="J18" s="21">
        <f>MAX((J5+J16),0)</f>
        <v>124.46999525534292</v>
      </c>
      <c r="K18" s="21"/>
      <c r="L18" s="21">
        <f>MAX((L5+L16),0)</f>
        <v>0</v>
      </c>
      <c r="M18" s="21"/>
      <c r="N18" s="21">
        <f>MAX((N5+N16),0)</f>
        <v>4197.4188970497698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0.19224555959005077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4554.946135451919</v>
      </c>
      <c r="C22" s="23">
        <f ca="1">C18*C20</f>
        <v>0</v>
      </c>
      <c r="D22" s="23">
        <f>D18*D20</f>
        <v>509.99136465200002</v>
      </c>
      <c r="E22" s="23">
        <f>E18*E20</f>
        <v>150.73191418279109</v>
      </c>
      <c r="F22" s="23">
        <f>F18*F20</f>
        <v>859.0708647621326</v>
      </c>
      <c r="G22" s="23"/>
      <c r="H22" s="23"/>
      <c r="I22" s="23"/>
      <c r="J22" s="23">
        <f>J18*J20</f>
        <v>44.062378320391389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277.93</v>
      </c>
      <c r="C30" s="39">
        <f>IF(ISERROR(B30*3.6/1000000/'E Balans VL '!Z18*100),0,B30*3.6/1000000/'E Balans VL '!Z18*100)</f>
        <v>5.8887408337843769E-2</v>
      </c>
      <c r="D30" s="237" t="s">
        <v>660</v>
      </c>
    </row>
    <row r="31" spans="1:18">
      <c r="A31" s="6" t="s">
        <v>33</v>
      </c>
      <c r="B31" s="37">
        <f>IF( ISERROR(IND_ander_ele_kWh/1000),0,IND_ander_ele_kWh/1000)</f>
        <v>2262.625</v>
      </c>
      <c r="C31" s="39">
        <f>IF(ISERROR(B31*3.6/1000000/'E Balans VL '!Z19*100),0,B31*3.6/1000000/'E Balans VL '!Z19*100)</f>
        <v>9.5239023913703799E-2</v>
      </c>
      <c r="D31" s="237" t="s">
        <v>660</v>
      </c>
    </row>
    <row r="32" spans="1:18">
      <c r="A32" s="171" t="s">
        <v>41</v>
      </c>
      <c r="B32" s="37">
        <f>IF( ISERROR(IND_voed_ele_kWh/1000),0,IND_voed_ele_kWh/1000)</f>
        <v>168.87200000000001</v>
      </c>
      <c r="C32" s="39">
        <f>IF(ISERROR(B32*3.6/1000000/'E Balans VL '!Z20*100),0,B32*3.6/1000000/'E Balans VL '!Z20*100)</f>
        <v>2.821197825527149E-2</v>
      </c>
      <c r="D32" s="237" t="s">
        <v>660</v>
      </c>
    </row>
    <row r="33" spans="1:5">
      <c r="A33" s="171" t="s">
        <v>40</v>
      </c>
      <c r="B33" s="37">
        <f>IF( ISERROR(IND_textiel_ele_kWh/1000),0,IND_textiel_ele_kWh/1000)</f>
        <v>18782.999</v>
      </c>
      <c r="C33" s="39">
        <f>IF(ISERROR(B33*3.6/1000000/'E Balans VL '!Z21*100),0,B33*3.6/1000000/'E Balans VL '!Z21*100)</f>
        <v>1.0966076900616457</v>
      </c>
      <c r="D33" s="237" t="s">
        <v>660</v>
      </c>
    </row>
    <row r="34" spans="1:5">
      <c r="A34" s="171" t="s">
        <v>37</v>
      </c>
      <c r="B34" s="37">
        <f>IF( ISERROR(IND_min_ele_kWh/1000),0,IND_min_ele_kWh/1000)</f>
        <v>207.61099999999999</v>
      </c>
      <c r="C34" s="39">
        <f>IF(ISERROR(B34*3.6/1000000/'E Balans VL '!Z22*100),0,B34*3.6/1000000/'E Balans VL '!Z22*100)</f>
        <v>2.6315813892816172E-2</v>
      </c>
      <c r="D34" s="237" t="s">
        <v>660</v>
      </c>
    </row>
    <row r="35" spans="1:5">
      <c r="A35" s="171" t="s">
        <v>39</v>
      </c>
      <c r="B35" s="37">
        <f>IF( ISERROR(IND_papier_ele_kWh/1000),0,IND_papier_ele_kWh/1000)</f>
        <v>1836.721</v>
      </c>
      <c r="C35" s="39">
        <f>IF(ISERROR(B35*3.6/1000000/'E Balans VL '!Z22*100),0,B35*3.6/1000000/'E Balans VL '!Z22*100)</f>
        <v>0.23281429215709776</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156.61699999999999</v>
      </c>
      <c r="C37" s="39">
        <f>IF(ISERROR(B37*3.6/1000000/'E Balans VL '!Z15*100),0,B37*3.6/1000000/'E Balans VL '!Z15*100)</f>
        <v>1.2644296858819819E-3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3550.5889999999999</v>
      </c>
      <c r="C5" s="17">
        <f>'Eigen informatie GS &amp; warmtenet'!B60</f>
        <v>0</v>
      </c>
      <c r="D5" s="30">
        <f>IF(ISERROR(SUM(LB_lb_gas_kWh,LB_rest_gas_kWh)/1000),0,SUM(LB_lb_gas_kWh,LB_rest_gas_kWh)/1000)*0.902</f>
        <v>85.136172000000002</v>
      </c>
      <c r="E5" s="17">
        <f>B17*'E Balans VL '!I25/3.6*1000000/100</f>
        <v>91.556057624379648</v>
      </c>
      <c r="F5" s="17">
        <f>B17*('E Balans VL '!L25/3.6*1000000+'E Balans VL '!N25/3.6*1000000)/100</f>
        <v>12978.078971828312</v>
      </c>
      <c r="G5" s="18"/>
      <c r="H5" s="17"/>
      <c r="I5" s="17"/>
      <c r="J5" s="17">
        <f>('E Balans VL '!D25+'E Balans VL '!E25)/3.6*1000000*landbouw!B17/100</f>
        <v>511.15420170004586</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3550.5889999999999</v>
      </c>
      <c r="C8" s="21">
        <f>C5+C6</f>
        <v>62.357142857142847</v>
      </c>
      <c r="D8" s="21">
        <f>MAX((D5+D6),0)</f>
        <v>85.136172000000002</v>
      </c>
      <c r="E8" s="21">
        <f>MAX((E5+E6),0)</f>
        <v>91.556057624379648</v>
      </c>
      <c r="F8" s="21">
        <f>MAX((F5+F6),0)</f>
        <v>12978.078971828312</v>
      </c>
      <c r="G8" s="21"/>
      <c r="H8" s="21"/>
      <c r="I8" s="21"/>
      <c r="J8" s="21">
        <f>MAX((J5+J6),0)</f>
        <v>511.15420170004586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0.19224555959005077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682.5849691792788</v>
      </c>
      <c r="C12" s="23">
        <f ca="1">C8*C10</f>
        <v>0</v>
      </c>
      <c r="D12" s="23">
        <f>D8*D10</f>
        <v>17.197506744000002</v>
      </c>
      <c r="E12" s="23">
        <f>E8*E10</f>
        <v>20.78322508073418</v>
      </c>
      <c r="F12" s="23">
        <f>F8*F10</f>
        <v>3465.1470854781596</v>
      </c>
      <c r="G12" s="23"/>
      <c r="H12" s="23"/>
      <c r="I12" s="23"/>
      <c r="J12" s="23">
        <f>J8*J10</f>
        <v>180.94858740181621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0.50065656757418198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1011.9936124999239</v>
      </c>
      <c r="C26" s="247">
        <f>B26*'GWP N2O_CH4'!B5</f>
        <v>21251.865862498402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360.65107181814818</v>
      </c>
      <c r="C27" s="247">
        <f>B27*'GWP N2O_CH4'!B5</f>
        <v>7573.6725081811119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12.61744738875953</v>
      </c>
      <c r="C28" s="247">
        <f>B28*'GWP N2O_CH4'!B4</f>
        <v>3911.4086905154541</v>
      </c>
      <c r="D28" s="50"/>
    </row>
    <row r="29" spans="1:4">
      <c r="A29" s="41" t="s">
        <v>277</v>
      </c>
      <c r="B29" s="247">
        <f>B34*'ha_N2O bodem landbouw'!B4</f>
        <v>34.475089853213035</v>
      </c>
      <c r="C29" s="247">
        <f>B29*'GWP N2O_CH4'!B4</f>
        <v>10687.27785449604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7.7587686478525278E-3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1.0626055647007488E-4</v>
      </c>
      <c r="C5" s="463" t="s">
        <v>211</v>
      </c>
      <c r="D5" s="448">
        <f>SUM(D6:D11)</f>
        <v>2.6337801728826537E-4</v>
      </c>
      <c r="E5" s="448">
        <f>SUM(E6:E11)</f>
        <v>1.0009793305459213E-3</v>
      </c>
      <c r="F5" s="461" t="s">
        <v>211</v>
      </c>
      <c r="G5" s="448">
        <f>SUM(G6:G11)</f>
        <v>0.30640140435586016</v>
      </c>
      <c r="H5" s="448">
        <f>SUM(H6:H11)</f>
        <v>7.0342500927425708E-2</v>
      </c>
      <c r="I5" s="463" t="s">
        <v>211</v>
      </c>
      <c r="J5" s="463" t="s">
        <v>211</v>
      </c>
      <c r="K5" s="463" t="s">
        <v>211</v>
      </c>
      <c r="L5" s="463" t="s">
        <v>211</v>
      </c>
      <c r="M5" s="448">
        <f>SUM(M6:M11)</f>
        <v>1.1761069190625842E-2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7.2147318243513545E-5</v>
      </c>
      <c r="C6" s="449"/>
      <c r="D6" s="892">
        <f>vkm_2011_GW_PW*SUMIFS(TableVerdeelsleutelVkm[CNG],TableVerdeelsleutelVkm[Voertuigtype],"Lichte voertuigen")*SUMIFS(TableECFTransport[EnergieConsumptieFactor (PJ per km)],TableECFTransport[Index],CONCATENATE($A6,"_CNG_CNG"))</f>
        <v>1.4335798512084773E-4</v>
      </c>
      <c r="E6" s="892">
        <f>vkm_2011_GW_PW*SUMIFS(TableVerdeelsleutelVkm[LPG],TableVerdeelsleutelVkm[Voertuigtype],"Lichte voertuigen")*SUMIFS(TableECFTransport[EnergieConsumptieFactor (PJ per km)],TableECFTransport[Index],CONCATENATE($A6,"_LPG_LPG"))</f>
        <v>5.6416506143577882E-4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0.13413909397739399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3.8811319401848253E-2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5.3892945856439649E-3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6.6598078999567295E-2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2.1514024154425887E-5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2.0984035691496562E-3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3.4113238226561338E-5</v>
      </c>
      <c r="C8" s="449"/>
      <c r="D8" s="451">
        <f>vkm_2011_NGW_PW*SUMIFS(TableVerdeelsleutelVkm[CNG],TableVerdeelsleutelVkm[Voertuigtype],"Lichte voertuigen")*SUMIFS(TableECFTransport[EnergieConsumptieFactor (PJ per km)],TableECFTransport[Index],CONCATENATE($A8,"_CNG_CNG"))</f>
        <v>1.2002003216741762E-4</v>
      </c>
      <c r="E8" s="451">
        <f>vkm_2011_NGW_PW*SUMIFS(TableVerdeelsleutelVkm[LPG],TableVerdeelsleutelVkm[Voertuigtype],"Lichte voertuigen")*SUMIFS(TableECFTransport[EnergieConsumptieFactor (PJ per km)],TableECFTransport[Index],CONCATENATE($A8,"_LPG_LPG"))</f>
        <v>4.3681426911014237E-4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9.6985047038617808E-2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3.1507015937015347E-2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3.9999077815368444E-3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8.6791843402810875E-3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2.6515644076742631E-6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2.7346325429537566E-4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29.516821241687467</v>
      </c>
      <c r="C14" s="21"/>
      <c r="D14" s="21">
        <f t="shared" ref="D14:M14" si="0">((D5)*10^9/3600)+D12</f>
        <v>73.16056035785148</v>
      </c>
      <c r="E14" s="21">
        <f t="shared" si="0"/>
        <v>278.0498140405337</v>
      </c>
      <c r="F14" s="21"/>
      <c r="G14" s="21">
        <f t="shared" si="0"/>
        <v>85111.501209961163</v>
      </c>
      <c r="H14" s="21">
        <f t="shared" si="0"/>
        <v>19539.583590951588</v>
      </c>
      <c r="I14" s="21"/>
      <c r="J14" s="21"/>
      <c r="K14" s="21"/>
      <c r="L14" s="21"/>
      <c r="M14" s="21">
        <f t="shared" si="0"/>
        <v>3266.9636640627341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0.19224555959005077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5.6744778169277046</v>
      </c>
      <c r="C18" s="23"/>
      <c r="D18" s="23">
        <f t="shared" ref="D18:M18" si="1">D14*D16</f>
        <v>14.778433192286</v>
      </c>
      <c r="E18" s="23">
        <f t="shared" si="1"/>
        <v>63.117307787201156</v>
      </c>
      <c r="F18" s="23"/>
      <c r="G18" s="23">
        <f t="shared" si="1"/>
        <v>22724.770823059633</v>
      </c>
      <c r="H18" s="23">
        <f t="shared" si="1"/>
        <v>4865.3563141469458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9.4994697781152944E-3</v>
      </c>
      <c r="H50" s="321">
        <f t="shared" si="2"/>
        <v>0</v>
      </c>
      <c r="I50" s="321">
        <f t="shared" si="2"/>
        <v>0</v>
      </c>
      <c r="J50" s="321">
        <f t="shared" si="2"/>
        <v>0</v>
      </c>
      <c r="K50" s="321">
        <f t="shared" si="2"/>
        <v>0</v>
      </c>
      <c r="L50" s="321">
        <f t="shared" si="2"/>
        <v>0</v>
      </c>
      <c r="M50" s="321">
        <f t="shared" si="2"/>
        <v>2.9465230047350205E-4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9.4994697781152944E-3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2.9465230047350205E-4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2638.7416050320262</v>
      </c>
      <c r="H54" s="21">
        <f t="shared" si="3"/>
        <v>0</v>
      </c>
      <c r="I54" s="21">
        <f t="shared" si="3"/>
        <v>0</v>
      </c>
      <c r="J54" s="21">
        <f t="shared" si="3"/>
        <v>0</v>
      </c>
      <c r="K54" s="21">
        <f t="shared" si="3"/>
        <v>0</v>
      </c>
      <c r="L54" s="21">
        <f t="shared" si="3"/>
        <v>0</v>
      </c>
      <c r="M54" s="21">
        <f t="shared" si="3"/>
        <v>81.847861242639453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0.19224555959005077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704.54400854355106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10567.654152893791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10611.30415289379</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72030</v>
      </c>
      <c r="C28" s="796">
        <v>3990</v>
      </c>
      <c r="D28" s="653" t="s">
        <v>890</v>
      </c>
      <c r="E28" s="652" t="s">
        <v>891</v>
      </c>
      <c r="F28" s="652" t="s">
        <v>892</v>
      </c>
      <c r="G28" s="652" t="s">
        <v>893</v>
      </c>
      <c r="H28" s="652" t="s">
        <v>894</v>
      </c>
      <c r="I28" s="652" t="s">
        <v>891</v>
      </c>
      <c r="J28" s="795">
        <v>41236</v>
      </c>
      <c r="K28" s="795">
        <v>41275</v>
      </c>
      <c r="L28" s="652" t="s">
        <v>895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2019-08-12T08:26:26Z</dcterms:modified>
</cp:coreProperties>
</file>