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N19" i="59" s="1"/>
  <c r="J19" i="18"/>
  <c r="I19"/>
  <c r="I89" i="14" s="1"/>
  <c r="I19" i="59" s="1"/>
  <c r="H19" i="18"/>
  <c r="G19"/>
  <c r="H89" i="14" s="1"/>
  <c r="H19" i="59" s="1"/>
  <c r="F19" i="18"/>
  <c r="E19"/>
  <c r="D19"/>
  <c r="E89" i="14" s="1"/>
  <c r="E19" i="59" s="1"/>
  <c r="C19" i="18"/>
  <c r="D89" i="14" s="1"/>
  <c r="D19" i="59" s="1"/>
  <c r="B19" i="18"/>
  <c r="N18"/>
  <c r="M18"/>
  <c r="L18"/>
  <c r="O88" i="14" s="1"/>
  <c r="O18" i="59" s="1"/>
  <c r="K18" i="18"/>
  <c r="N88" i="14" s="1"/>
  <c r="N18" i="59" s="1"/>
  <c r="J18" i="18"/>
  <c r="J88" i="14" s="1"/>
  <c r="J18" i="59" s="1"/>
  <c r="I18" i="18"/>
  <c r="H18"/>
  <c r="G18"/>
  <c r="F18"/>
  <c r="F20" s="1"/>
  <c r="E18"/>
  <c r="D18"/>
  <c r="D20" s="1"/>
  <c r="C18"/>
  <c r="D88" i="14" s="1"/>
  <c r="D18" i="59" s="1"/>
  <c r="B18" i="18"/>
  <c r="L9"/>
  <c r="O77" i="14" s="1"/>
  <c r="K9" i="18"/>
  <c r="G9"/>
  <c r="G10" s="1"/>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C9" s="1"/>
  <c r="D77" i="14" s="1"/>
  <c r="D9" i="59" s="1"/>
  <c r="O89" i="18"/>
  <c r="N89"/>
  <c r="B9" s="1"/>
  <c r="M89"/>
  <c r="W61"/>
  <c r="V61"/>
  <c r="N6" i="17" s="1"/>
  <c r="U61" i="18"/>
  <c r="L6" i="17" s="1"/>
  <c r="T61" i="18"/>
  <c r="S61"/>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G12"/>
  <c r="F12"/>
  <c r="E12"/>
  <c r="D12"/>
  <c r="C12"/>
  <c r="K10"/>
  <c r="F10"/>
  <c r="B6"/>
  <c r="B74" i="14" s="1"/>
  <c r="B6" i="59" s="1"/>
  <c r="B5" i="18"/>
  <c r="B73" i="14" s="1"/>
  <c r="B5" i="59" s="1"/>
  <c r="B4" i="18"/>
  <c r="F6" i="17"/>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M4"/>
  <c r="L4"/>
  <c r="K4"/>
  <c r="I4"/>
  <c r="H4"/>
  <c r="G4"/>
  <c r="P11"/>
  <c r="P29" s="1"/>
  <c r="O11"/>
  <c r="N11"/>
  <c r="M11"/>
  <c r="L11"/>
  <c r="K11"/>
  <c r="J11"/>
  <c r="I11"/>
  <c r="H11"/>
  <c r="G11"/>
  <c r="F11"/>
  <c r="E11"/>
  <c r="D11"/>
  <c r="C11"/>
  <c r="Q11" s="1"/>
  <c r="B11"/>
  <c r="P32"/>
  <c r="O32"/>
  <c r="Q12"/>
  <c r="O29"/>
  <c r="P28"/>
  <c r="O28"/>
  <c r="P25"/>
  <c r="M89" i="14"/>
  <c r="M19" i="59" s="1"/>
  <c r="L89" i="14"/>
  <c r="L19" i="59" s="1"/>
  <c r="K89" i="14"/>
  <c r="K19" i="59" s="1"/>
  <c r="K20" s="1"/>
  <c r="J89" i="14"/>
  <c r="J19" i="59" s="1"/>
  <c r="G89" i="14"/>
  <c r="G19" i="59" s="1"/>
  <c r="M88" i="14"/>
  <c r="M18"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N77" i="14"/>
  <c r="N9"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L54"/>
  <c r="L56" s="1"/>
  <c r="J54"/>
  <c r="J56" s="1"/>
  <c r="I54"/>
  <c r="H54"/>
  <c r="Q24"/>
  <c r="P24"/>
  <c r="P26" s="1"/>
  <c r="N24"/>
  <c r="L24"/>
  <c r="J24"/>
  <c r="I24"/>
  <c r="H24"/>
  <c r="H26" s="1"/>
  <c r="Q50"/>
  <c r="P50"/>
  <c r="O50"/>
  <c r="M50"/>
  <c r="L50"/>
  <c r="K50"/>
  <c r="J50"/>
  <c r="G50"/>
  <c r="D50"/>
  <c r="Q49"/>
  <c r="P49"/>
  <c r="Q20"/>
  <c r="P20"/>
  <c r="O20"/>
  <c r="M20"/>
  <c r="M22" s="1"/>
  <c r="L20"/>
  <c r="K20"/>
  <c r="J20"/>
  <c r="G20"/>
  <c r="G22" s="1"/>
  <c r="D20"/>
  <c r="Q19"/>
  <c r="P19"/>
  <c r="O19"/>
  <c r="M19"/>
  <c r="L19"/>
  <c r="L22" s="1"/>
  <c r="K19"/>
  <c r="J19"/>
  <c r="I19"/>
  <c r="G19"/>
  <c r="F19"/>
  <c r="E19"/>
  <c r="D19"/>
  <c r="D22" s="1"/>
  <c r="Q48"/>
  <c r="P48"/>
  <c r="P52" s="1"/>
  <c r="O48"/>
  <c r="M48"/>
  <c r="L48"/>
  <c r="K48"/>
  <c r="J48"/>
  <c r="G48"/>
  <c r="D48"/>
  <c r="Q18"/>
  <c r="Q22" s="1"/>
  <c r="P18"/>
  <c r="O18"/>
  <c r="M18"/>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I56"/>
  <c r="Q52"/>
  <c r="R44"/>
  <c r="E25"/>
  <c r="E55" s="1"/>
  <c r="C25"/>
  <c r="B14" i="48" s="1"/>
  <c r="Q26" i="14"/>
  <c r="N26"/>
  <c r="L26"/>
  <c r="J26"/>
  <c r="I26"/>
  <c r="P22"/>
  <c r="O22"/>
  <c r="J22"/>
  <c r="R12"/>
  <c r="O78" l="1"/>
  <c r="O9" i="59"/>
  <c r="O10" s="1"/>
  <c r="N20"/>
  <c r="H90" i="14"/>
  <c r="H18" i="59"/>
  <c r="H8"/>
  <c r="K10"/>
  <c r="H20"/>
  <c r="C98" i="18"/>
  <c r="E101" s="1"/>
  <c r="E8" s="1"/>
  <c r="D13" i="15"/>
  <c r="O90" i="14"/>
  <c r="H77"/>
  <c r="H9" i="59" s="1"/>
  <c r="B10" i="18"/>
  <c r="L10"/>
  <c r="G20"/>
  <c r="C13" i="15"/>
  <c r="L78" i="14"/>
  <c r="L8" i="59"/>
  <c r="L10" s="1"/>
  <c r="K90" i="14"/>
  <c r="E20" i="59"/>
  <c r="E88" i="14"/>
  <c r="E18" i="59" s="1"/>
  <c r="N90" i="14"/>
  <c r="E10" i="59"/>
  <c r="E77" i="14"/>
  <c r="E9" i="59" s="1"/>
  <c r="B17" i="18"/>
  <c r="B20" s="1"/>
  <c r="R25" i="14"/>
  <c r="G78"/>
  <c r="N10" i="59"/>
  <c r="L20"/>
  <c r="B8" i="18"/>
  <c r="O19"/>
  <c r="L13" i="15"/>
  <c r="N13"/>
  <c r="Q77" i="14"/>
  <c r="P9" i="59" s="1"/>
  <c r="O9" i="18"/>
  <c r="O18"/>
  <c r="G88" i="14"/>
  <c r="F89"/>
  <c r="B89" s="1"/>
  <c r="B19" i="59" s="1"/>
  <c r="I101" i="18"/>
  <c r="H8" s="1"/>
  <c r="H101"/>
  <c r="D101"/>
  <c r="G101"/>
  <c r="C101"/>
  <c r="F101"/>
  <c r="B101"/>
  <c r="C8" s="1"/>
  <c r="I102"/>
  <c r="H17" s="1"/>
  <c r="E102"/>
  <c r="E17" s="1"/>
  <c r="H102"/>
  <c r="D102"/>
  <c r="G102"/>
  <c r="C102"/>
  <c r="F102"/>
  <c r="B102"/>
  <c r="C17" s="1"/>
  <c r="B77" i="14"/>
  <c r="B9" i="59" s="1"/>
  <c r="Q14" i="48"/>
  <c r="O24"/>
  <c r="O30"/>
  <c r="P24"/>
  <c r="P30"/>
  <c r="C77" i="14"/>
  <c r="C9" i="59" s="1"/>
  <c r="E90" i="14"/>
  <c r="N78"/>
  <c r="C88" l="1"/>
  <c r="C18" i="59" s="1"/>
  <c r="G90" i="14"/>
  <c r="G18" i="59"/>
  <c r="G20" s="1"/>
  <c r="C89" i="14"/>
  <c r="C19" i="59" s="1"/>
  <c r="F19"/>
  <c r="Q88" i="14"/>
  <c r="P18" i="59" s="1"/>
  <c r="E78" i="14"/>
  <c r="B88"/>
  <c r="B18" i="59" s="1"/>
  <c r="H10"/>
  <c r="H78" i="14"/>
  <c r="Q89"/>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F90" i="14"/>
  <c r="F17" i="59"/>
  <c r="F20" s="1"/>
  <c r="G5" i="48"/>
  <c r="H10" i="14"/>
  <c r="H16" s="1"/>
  <c r="M90"/>
  <c r="M17" i="59"/>
  <c r="M20" s="1"/>
  <c r="H5" i="48"/>
  <c r="I10" i="14"/>
  <c r="I16"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2"/>
  <c r="I25"/>
  <c r="I26"/>
  <c r="I30"/>
  <c r="I31"/>
  <c r="I28"/>
  <c r="I24"/>
  <c r="I29"/>
  <c r="E11" i="14"/>
  <c r="D4" i="48"/>
  <c r="D22" s="1"/>
  <c r="H32"/>
  <c r="H28"/>
  <c r="H26"/>
  <c r="H25"/>
  <c r="H24"/>
  <c r="H29"/>
  <c r="H22"/>
  <c r="H30"/>
  <c r="H23"/>
  <c r="N46" i="14"/>
  <c r="J28" i="48"/>
  <c r="J32"/>
  <c r="J29"/>
  <c r="J27"/>
  <c r="J30"/>
  <c r="J31"/>
  <c r="J24"/>
  <c r="C4"/>
  <c r="D11" i="14"/>
  <c r="G32" i="48"/>
  <c r="G29"/>
  <c r="G22"/>
  <c r="G30"/>
  <c r="G26"/>
  <c r="G24"/>
  <c r="G25"/>
  <c r="G23"/>
  <c r="B4"/>
  <c r="C11" i="14"/>
  <c r="F32" i="48"/>
  <c r="F31"/>
  <c r="F27"/>
  <c r="F28"/>
  <c r="F29"/>
  <c r="F30"/>
  <c r="F24"/>
  <c r="N32"/>
  <c r="N31"/>
  <c r="N27"/>
  <c r="N30"/>
  <c r="N29"/>
  <c r="N28"/>
  <c r="N24"/>
  <c r="B10"/>
  <c r="C19" i="14"/>
  <c r="P4" i="48"/>
  <c r="Q11" i="14"/>
  <c r="E31" i="48"/>
  <c r="E29"/>
  <c r="E28"/>
  <c r="E32"/>
  <c r="E30"/>
  <c r="E24"/>
  <c r="M29"/>
  <c r="M32"/>
  <c r="M26"/>
  <c r="M22"/>
  <c r="M24"/>
  <c r="M25"/>
  <c r="M30"/>
  <c r="M23"/>
  <c r="L10" i="14"/>
  <c r="L16" s="1"/>
  <c r="L27" s="1"/>
  <c r="K5" i="48"/>
  <c r="D29"/>
  <c r="D30"/>
  <c r="D31"/>
  <c r="D24"/>
  <c r="D28"/>
  <c r="D32"/>
  <c r="L29"/>
  <c r="L27"/>
  <c r="L32"/>
  <c r="L28"/>
  <c r="L31"/>
  <c r="L24"/>
  <c r="L22"/>
  <c r="L30"/>
  <c r="P5"/>
  <c r="P23" s="1"/>
  <c r="Q10" i="14"/>
  <c r="K32" i="48"/>
  <c r="K31"/>
  <c r="K25"/>
  <c r="K28"/>
  <c r="K27"/>
  <c r="K30"/>
  <c r="K24"/>
  <c r="K29"/>
  <c r="K26"/>
  <c r="K22"/>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O22" i="48"/>
  <c r="M12" i="22"/>
  <c r="M13" i="48"/>
  <c r="M31" s="1"/>
  <c r="N18" i="14"/>
  <c r="H18"/>
  <c r="G13" i="48"/>
  <c r="H13"/>
  <c r="H31" s="1"/>
  <c r="I18" i="14"/>
  <c r="K33" i="48"/>
  <c r="F4"/>
  <c r="F22" s="1"/>
  <c r="G11" i="14"/>
  <c r="P8" i="48"/>
  <c r="P26" s="1"/>
  <c r="Q13" i="14"/>
  <c r="Q16" s="1"/>
  <c r="Q27" s="1"/>
  <c r="I20" i="15"/>
  <c r="J40" i="14" s="1"/>
  <c r="J46" s="1"/>
  <c r="J61" s="1"/>
  <c r="F20"/>
  <c r="F22" s="1"/>
  <c r="E9" i="48"/>
  <c r="E27" s="1"/>
  <c r="P15"/>
  <c r="P22"/>
  <c r="P33" s="1"/>
  <c r="D9"/>
  <c r="D27" s="1"/>
  <c r="E20" i="14"/>
  <c r="E22" s="1"/>
  <c r="O5" i="48"/>
  <c r="O23" s="1"/>
  <c r="P10" i="14"/>
  <c r="J7" i="48"/>
  <c r="J25" s="1"/>
  <c r="K24" i="14"/>
  <c r="K26" s="1"/>
  <c r="K15" i="48"/>
  <c r="K23"/>
  <c r="C20" i="14"/>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E12" i="13"/>
  <c r="F41" i="14" s="1"/>
  <c r="F11"/>
  <c r="E4" i="48"/>
  <c r="P16" i="14"/>
  <c r="P27" s="1"/>
  <c r="J63"/>
  <c r="Q46"/>
  <c r="Q61" s="1"/>
  <c r="Q63" s="1"/>
  <c r="O15" i="48"/>
  <c r="M10"/>
  <c r="M28" s="1"/>
  <c r="N19" i="14"/>
  <c r="N22" s="1"/>
  <c r="N27" s="1"/>
  <c r="G31" i="48"/>
  <c r="Q13"/>
  <c r="N4"/>
  <c r="N22" s="1"/>
  <c r="O11" i="14"/>
  <c r="J4" i="48"/>
  <c r="K11" i="14"/>
  <c r="E7" i="48"/>
  <c r="E25" s="1"/>
  <c r="F24" i="14"/>
  <c r="F26" s="1"/>
  <c r="I23" i="48"/>
  <c r="I33" s="1"/>
  <c r="I15"/>
  <c r="N20" i="14"/>
  <c r="M9" i="48"/>
  <c r="O22" i="16"/>
  <c r="P43" i="14" s="1"/>
  <c r="P46" s="1"/>
  <c r="P61" s="1"/>
  <c r="P63" s="1"/>
  <c r="O8" i="48"/>
  <c r="O26" s="1"/>
  <c r="O33" s="1"/>
  <c r="P13" i="14"/>
  <c r="H20"/>
  <c r="H22" s="1"/>
  <c r="H27" s="1"/>
  <c r="G9" i="48"/>
  <c r="I20" i="14"/>
  <c r="I22" s="1"/>
  <c r="I27" s="1"/>
  <c r="H9" i="48"/>
  <c r="R18" i="14"/>
  <c r="R20"/>
  <c r="C22"/>
  <c r="Q9"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I63"/>
  <c r="G27" i="48"/>
  <c r="G15"/>
  <c r="G28"/>
  <c r="Q10"/>
  <c r="J22"/>
  <c r="R19" i="14"/>
  <c r="R22" s="1"/>
  <c r="E5" i="48"/>
  <c r="E23" s="1"/>
  <c r="F10" i="14"/>
  <c r="H27" i="48"/>
  <c r="H33" s="1"/>
  <c r="H15"/>
  <c r="J5"/>
  <c r="J23" s="1"/>
  <c r="K10" i="14"/>
  <c r="M27" i="48"/>
  <c r="M33" s="1"/>
  <c r="M15"/>
  <c r="R11" i="14"/>
  <c r="E22" i="48"/>
  <c r="Q4"/>
  <c r="Q7"/>
  <c r="E20" i="15"/>
  <c r="F40" i="14" s="1"/>
  <c r="J18" i="16"/>
  <c r="E18"/>
  <c r="F18"/>
  <c r="F22" s="1"/>
  <c r="G43" i="14" s="1"/>
  <c r="N18" i="16"/>
  <c r="G18" i="22"/>
  <c r="H50" i="14" s="1"/>
  <c r="H52" s="1"/>
  <c r="H61" s="1"/>
  <c r="H63" s="1"/>
  <c r="H18" i="22"/>
  <c r="I50" i="14" s="1"/>
  <c r="I52" s="1"/>
  <c r="I61" s="1"/>
  <c r="J22" i="16" l="1"/>
  <c r="K43" i="14" s="1"/>
  <c r="K46" s="1"/>
  <c r="K61" s="1"/>
  <c r="J8" i="48"/>
  <c r="J26" s="1"/>
  <c r="J33" s="1"/>
  <c r="K13" i="14"/>
  <c r="K16" s="1"/>
  <c r="K27" s="1"/>
  <c r="E15" i="48"/>
  <c r="E8"/>
  <c r="E26" s="1"/>
  <c r="F13" i="14"/>
  <c r="F16" s="1"/>
  <c r="F27" s="1"/>
  <c r="F46"/>
  <c r="F61" s="1"/>
  <c r="E33" i="48"/>
  <c r="G33"/>
  <c r="E22" i="16"/>
  <c r="F43" i="14" s="1"/>
  <c r="N8" i="48"/>
  <c r="N26" s="1"/>
  <c r="O13" i="14"/>
  <c r="N22" i="16"/>
  <c r="O43" i="14" s="1"/>
  <c r="G13"/>
  <c r="F8" i="48"/>
  <c r="K63" i="14" l="1"/>
  <c r="R13"/>
  <c r="F6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<sst xmlns="http://schemas.openxmlformats.org/spreadsheetml/2006/main" count="2392" uniqueCount="890">
  <si>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</si>
  <si>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</si>
  <si>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</si>
  <si>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</si>
  <si>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</si>
  <si>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</si>
  <si>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</si>
  <si>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</si>
  <si>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</si>
  <si>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</si>
  <si>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</si>
  <si>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</si>
  <si>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</si>
  <si>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</si>
  <si>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</si>
  <si>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</si>
  <si>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</si>
  <si>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</si>
  <si>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</si>
  <si>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</si>
  <si>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</si>
  <si>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</si>
  <si>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</si>
  <si>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</si>
  <si>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</si>
  <si>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</si>
  <si>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</si>
  <si>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</si>
  <si>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</si>
  <si>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</si>
  <si>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</si>
  <si>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</si>
  <si>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</si>
  <si>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</si>
  <si>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</si>
  <si>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</si>
  <si>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</si>
  <si>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</si>
  <si>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</si>
  <si>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</si>
  <si>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</si>
  <si>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</si>
  <si>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</si>
  <si>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</si>
  <si>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</si>
  <si>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</si>
  <si>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</si>
  <si>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</si>
  <si>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</si>
  <si>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</si>
  <si>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</si>
  <si>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</si>
  <si>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</si>
  <si>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</si>
  <si>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</si>
  <si>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</si>
  <si>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</si>
  <si>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</si>
  <si>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</si>
  <si>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</si>
  <si>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</si>
  <si>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</si>
  <si>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</si>
  <si>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</si>
  <si>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</si>
  <si>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</si>
  <si>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</si>
  <si>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</si>
  <si>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</si>
  <si>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</si>
  <si>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</si>
  <si>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</si>
  <si>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</si>
  <si>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</si>
  <si>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</si>
  <si>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</si>
  <si>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</si>
  <si>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</si>
  <si>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</si>
  <si>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</si>
  <si>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</si>
  <si>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</si>
  <si>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</si>
  <si>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</si>
  <si>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</si>
  <si>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</si>
  <si>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</si>
  <si>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</si>
  <si>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</si>
  <si>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</si>
  <si>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</si>
  <si>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</si>
  <si>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</si>
  <si>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</si>
  <si>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</si>
  <si>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</si>
  <si>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</si>
  <si>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</si>
  <si>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</si>
  <si>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</si>
  <si>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</si>
  <si>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</si>
  <si>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</si>
  <si>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</si>
  <si>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</si>
  <si>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</si>
  <si>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</si>
  <si>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</si>
  <si>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</si>
  <si>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</si>
  <si>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</si>
  <si>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</si>
  <si>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</si>
  <si>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</si>
  <si>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</si>
  <si>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</si>
  <si>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</si>
  <si>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</si>
  <si>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</si>
  <si>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</si>
  <si>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</si>
  <si>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</si>
  <si>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</si>
  <si>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</si>
  <si>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</si>
  <si>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</si>
  <si>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</si>
  <si>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</si>
  <si>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</si>
  <si>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</si>
  <si>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</si>
  <si>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</si>
  <si>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</si>
  <si>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</si>
  <si>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</si>
  <si>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</si>
  <si>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</si>
  <si>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</si>
  <si>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</si>
  <si>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</si>
  <si>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</si>
  <si>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</si>
  <si>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</si>
  <si>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</si>
  <si>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</si>
  <si>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</si>
  <si>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</si>
  <si>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</si>
  <si>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</si>
  <si>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</si>
  <si>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</si>
  <si>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</si>
  <si>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</si>
  <si>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</si>
  <si>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</si>
  <si>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</si>
  <si>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</si>
  <si>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</si>
  <si>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</si>
  <si>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</si>
  <si>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</si>
  <si>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</si>
  <si>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</si>
  <si>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</si>
  <si>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</si>
  <si>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</si>
  <si>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</si>
  <si>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</si>
  <si>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</si>
  <si>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</si>
  <si>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</si>
  <si>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</si>
  <si>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</si>
  <si>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</si>
  <si>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</si>
  <si>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</si>
  <si>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</si>
  <si>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</si>
  <si>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</si>
  <si>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</si>
  <si>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</si>
  <si>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</si>
  <si>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</si>
  <si>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</si>
  <si>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</si>
  <si>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</si>
  <si>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</si>
  <si>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</si>
  <si>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</si>
  <si>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</si>
  <si>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</si>
  <si>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</si>
  <si>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</si>
  <si>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</si>
  <si>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</si>
  <si>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</si>
  <si>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</si>
  <si>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</si>
  <si>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</si>
  <si>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</si>
  <si>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</si>
  <si>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</si>
  <si>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</si>
  <si>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</si>
  <si>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</si>
  <si>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</si>
  <si>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</si>
  <si>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</si>
  <si>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</si>
  <si>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</si>
  <si>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</si>
  <si>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</si>
  <si>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</si>
  <si>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</si>
  <si>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</si>
  <si>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</si>
  <si>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</si>
  <si>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</si>
  <si>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</si>
  <si>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</si>
  <si>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</si>
  <si>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</si>
  <si>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</si>
  <si>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</si>
  <si>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</si>
  <si>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</si>
  <si>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</si>
  <si>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</si>
  <si>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</si>
  <si>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</si>
  <si>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</si>
  <si>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</si>
  <si>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</si>
  <si>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</si>
  <si>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</si>
  <si>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</si>
  <si>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</si>
  <si>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</si>
  <si>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</si>
  <si>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</si>
  <si>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</si>
  <si>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</si>
  <si>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</si>
  <si>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</si>
  <si>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</si>
  <si>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</si>
  <si>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</si>
  <si>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</si>
  <si>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</si>
  <si>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</si>
  <si>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</si>
  <si>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</si>
  <si>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</si>
  <si>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</si>
  <si>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</si>
  <si>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</si>
  <si>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</si>
  <si>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</si>
  <si>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</si>
  <si>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</si>
  <si>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</si>
  <si>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</si>
  <si>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</si>
  <si>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</si>
  <si>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</si>
  <si>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</si>
  <si>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</si>
  <si>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</si>
  <si>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</si>
  <si>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</si>
  <si>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</si>
  <si>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</si>
  <si>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</si>
  <si>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</si>
  <si>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</si>
  <si>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</si>
  <si>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</si>
  <si>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</si>
  <si>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</si>
  <si>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</si>
  <si>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</si>
  <si>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</si>
  <si>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</si>
  <si>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</si>
  <si>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</si>
  <si>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</si>
  <si>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</si>
  <si>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</si>
  <si>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</si>
  <si>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</si>
  <si>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</si>
  <si>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</si>
  <si>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</si>
  <si>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</si>
  <si>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</si>
  <si>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</si>
  <si>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</si>
  <si>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</si>
  <si>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</si>
  <si>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</si>
  <si>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</si>
  <si>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</si>
  <si>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</si>
  <si>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</si>
  <si>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</si>
  <si>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</si>
  <si>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</si>
  <si>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</si>
  <si>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</si>
  <si>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</si>
  <si>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</si>
  <si>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</si>
  <si>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</si>
  <si>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</si>
  <si>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</si>
  <si>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</si>
  <si>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</si>
  <si>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</si>
  <si>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</si>
  <si>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</si>
  <si>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</si>
  <si>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</si>
  <si>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</si>
  <si>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</si>
  <si>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</si>
  <si>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</si>
  <si>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</si>
  <si>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</si>
  <si>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</si>
  <si>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</si>
  <si>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</si>
  <si>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</si>
  <si>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</si>
  <si>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</si>
  <si>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</si>
  <si>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</si>
  <si>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</si>
  <si>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</si>
  <si>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</si>
  <si>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</si>
  <si>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</si>
  <si>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</si>
  <si>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</si>
  <si>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</si>
  <si>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</si>
  <si>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</si>
  <si>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</si>
  <si>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</si>
  <si>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</si>
  <si>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</si>
  <si>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</si>
  <si>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</si>
  <si>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</si>
  <si>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</si>
  <si>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</si>
  <si>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</si>
  <si>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</si>
  <si>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</si>
  <si>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</si>
  <si>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</si>
  <si>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</si>
  <si>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</si>
  <si>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</si>
  <si>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</si>
  <si>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</si>
  <si>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</si>
  <si>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</si>
  <si>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</si>
  <si>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</si>
  <si>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</si>
  <si>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</si>
  <si>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</si>
  <si>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</si>
  <si>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</si>
  <si>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</si>
  <si>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</si>
  <si>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</si>
  <si>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</si>
  <si>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</si>
  <si>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</si>
  <si>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</si>
  <si>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</si>
  <si>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</si>
  <si>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</si>
  <si>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</si>
  <si>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</si>
  <si>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</si>
  <si>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</si>
  <si>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</si>
  <si>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</si>
  <si>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</si>
  <si>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</si>
  <si>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</si>
  <si>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</si>
  <si>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</si>
  <si>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</si>
  <si>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</si>
  <si>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</si>
  <si>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</si>
  <si>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</si>
  <si>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</si>
  <si>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</si>
  <si>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</si>
  <si>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</si>
  <si>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</si>
  <si>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</si>
  <si>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</si>
  <si>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</si>
  <si>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</si>
  <si>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</si>
  <si>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</si>
  <si>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</si>
  <si>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</si>
  <si>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</si>
  <si>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</si>
  <si>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</si>
  <si>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</si>
  <si>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</si>
  <si>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</si>
  <si>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</si>
  <si>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</si>
  <si>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</si>
  <si>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</si>
  <si>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</si>
  <si>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</si>
  <si>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</si>
  <si>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</si>
  <si>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</si>
  <si>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</si>
  <si>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</si>
  <si>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</si>
  <si>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</si>
  <si>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</si>
  <si>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</si>
  <si>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</si>
  <si>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</si>
  <si>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</si>
  <si>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</si>
  <si>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</si>
  <si>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</si>
  <si>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</si>
  <si>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</si>
  <si>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</si>
  <si>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</si>
  <si>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</si>
  <si>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</si>
  <si>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</si>
  <si>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</si>
  <si>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</si>
  <si>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</si>
  <si>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</si>
  <si>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</si>
  <si>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</si>
  <si>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</si>
  <si>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</si>
  <si>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</si>
  <si>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</si>
  <si>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</si>
  <si>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</si>
  <si>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</si>
  <si>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</si>
  <si>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</si>
  <si>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</si>
  <si>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</si>
  <si>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</si>
  <si>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</si>
  <si>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</si>
  <si>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</si>
  <si>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</si>
  <si>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</si>
  <si>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</si>
  <si>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</si>
  <si>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</si>
  <si>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</si>
  <si>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</si>
  <si>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</si>
  <si>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</si>
  <si>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</si>
  <si>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</si>
  <si>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</si>
  <si>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</si>
  <si>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</si>
  <si>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</si>
  <si>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</si>
  <si>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</si>
  <si>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</si>
  <si>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</si>
  <si>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</si>
  <si>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</si>
  <si>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</si>
  <si>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</si>
  <si>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</si>
  <si>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</si>
  <si>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</si>
  <si>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</si>
  <si>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</si>
  <si>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</si>
  <si>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</si>
  <si>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</si>
  <si>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</si>
  <si>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</si>
  <si>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</si>
  <si>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</si>
  <si>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</si>
  <si>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</si>
  <si>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</si>
  <si>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</si>
  <si>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</si>
  <si>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</si>
  <si>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</si>
  <si>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</si>
  <si>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</si>
  <si>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</si>
  <si>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</si>
  <si>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</si>
  <si>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</si>
  <si>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</si>
  <si>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</si>
  <si>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</si>
  <si>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</si>
  <si>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</si>
  <si>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</si>
  <si>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</si>
  <si>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</si>
  <si>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</si>
  <si>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</si>
  <si>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</si>
  <si>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</si>
  <si>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</si>
  <si>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</si>
  <si>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</si>
  <si>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</si>
  <si>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</si>
  <si>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</si>
  <si>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</si>
  <si>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</si>
  <si>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</si>
  <si>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</si>
  <si>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</si>
  <si>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</si>
  <si>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</si>
  <si>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</si>
  <si>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</si>
  <si>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</si>
  <si>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</si>
  <si>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</si>
  <si>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</si>
  <si>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</si>
  <si>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</si>
  <si>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</si>
  <si>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</si>
  <si>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</si>
  <si>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</si>
  <si>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</si>
  <si>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</si>
  <si>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</si>
  <si>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</si>
  <si>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</si>
  <si>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</si>
  <si>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</si>
  <si>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</si>
  <si>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</si>
  <si>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</si>
  <si>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</si>
  <si>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</si>
  <si>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</si>
  <si>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</si>
  <si>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</si>
  <si>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</si>
  <si>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</si>
  <si>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</si>
  <si>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</si>
  <si>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</si>
  <si>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</si>
  <si>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</si>
  <si>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</si>
  <si>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</si>
  <si>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</si>
  <si>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</si>
  <si>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</si>
  <si>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</si>
  <si>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</si>
  <si>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</si>
  <si>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</si>
  <si>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</si>
  <si>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</si>
  <si>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</si>
  <si>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</si>
  <si>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</si>
  <si>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</si>
  <si>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</si>
  <si>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</si>
  <si>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</si>
  <si>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</si>
  <si>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</si>
  <si>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</si>
  <si>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</si>
  <si>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</si>
  <si>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</si>
  <si>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</si>
  <si>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</si>
  <si>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</si>
  <si>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</si>
  <si>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</si>
  <si>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</si>
  <si>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</si>
  <si>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</si>
  <si>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</si>
  <si>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</si>
  <si>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</si>
  <si>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</si>
  <si>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</si>
  <si>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</si>
  <si>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</si>
  <si>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</si>
  <si>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</si>
  <si>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</si>
  <si>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</si>
  <si>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</si>
  <si>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</si>
  <si>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</si>
  <si>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</si>
  <si>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</si>
  <si>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</si>
  <si>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</si>
  <si>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</si>
  <si>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</si>
  <si>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</si>
  <si>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</si>
  <si>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</si>
  <si>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</si>
  <si>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</si>
  <si>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</si>
  <si>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</si>
  <si>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</si>
  <si>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</si>
  <si>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</si>
  <si>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</si>
  <si>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</si>
  <si>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</si>
  <si>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</si>
  <si>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</si>
  <si>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</si>
  <si>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</si>
  <si>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</si>
  <si>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</si>
  <si>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</si>
  <si>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</si>
  <si>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</si>
  <si>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</si>
  <si>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</si>
  <si>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</si>
  <si>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</si>
  <si>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</si>
  <si>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</si>
  <si>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</si>
  <si>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</si>
  <si>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</si>
  <si>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</si>
  <si>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</si>
  <si>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</si>
  <si>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</si>
  <si>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</si>
  <si>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</si>
  <si>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</si>
  <si>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</si>
  <si>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</si>
  <si>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</si>
  <si>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</si>
  <si>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</si>
  <si>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</si>
  <si>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</si>
  <si>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</si>
  <si>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</si>
  <si>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</si>
  <si>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</si>
  <si>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</si>
  <si>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</si>
  <si>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</si>
  <si>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</si>
  <si>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</si>
  <si>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</si>
  <si>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</si>
  <si>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</si>
  <si>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</si>
  <si>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</si>
  <si>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</si>
  <si>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</si>
  <si>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</si>
  <si>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</si>
  <si>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</si>
  <si>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</si>
  <si>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</si>
  <si>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</si>
  <si>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</si>
  <si>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</si>
  <si>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</si>
  <si>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</si>
  <si>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</si>
  <si>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</si>
  <si>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</si>
  <si>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</si>
  <si>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</si>
  <si>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</si>
  <si>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</si>
  <si>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</si>
  <si>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</si>
  <si>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</si>
  <si>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</si>
  <si>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</si>
  <si>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</si>
  <si>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</si>
  <si>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</si>
  <si>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</si>
  <si>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</si>
  <si>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</si>
  <si>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</si>
  <si>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</si>
  <si>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</si>
  <si>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</si>
  <si>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</si>
  <si>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</si>
  <si>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</si>
  <si>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</si>
  <si>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</si>
  <si>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</si>
  <si>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</si>
  <si>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</si>
  <si>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</si>
  <si>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</si>
  <si>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</si>
  <si>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</si>
  <si>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</si>
  <si>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</si>
  <si>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</si>
  <si>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</si>
  <si>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</si>
  <si>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</si>
  <si>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</si>
  <si>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</si>
  <si>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</si>
  <si>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</si>
  <si>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</si>
  <si>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</si>
  <si>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</si>
  <si>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</si>
  <si>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</si>
  <si>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</si>
  <si>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</si>
  <si>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</si>
  <si>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</si>
  <si>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</si>
  <si>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</si>
  <si>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</si>
  <si>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</si>
  <si>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</si>
  <si>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</si>
  <si>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</si>
  <si>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</si>
  <si>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</si>
  <si>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</si>
  <si>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</si>
  <si>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</si>
  <si>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</si>
  <si>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</si>
  <si>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</si>
  <si>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</si>
  <si>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</si>
  <si>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</si>
  <si>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</si>
  <si>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</si>
  <si>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</si>
  <si>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</si>
  <si>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</si>
  <si>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</si>
  <si>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</si>
  <si>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</si>
  <si>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</si>
  <si>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</si>
  <si>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</si>
  <si>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</si>
  <si>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</si>
  <si>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</si>
  <si>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</si>
  <si>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</si>
  <si>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</si>
  <si>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</si>
  <si>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</si>
  <si>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</si>
  <si>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</si>
  <si>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</si>
  <si>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</si>
  <si>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</si>
  <si>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</si>
  <si>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</si>
  <si>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</si>
  <si>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</si>
  <si>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</si>
  <si>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</si>
  <si>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</si>
  <si>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</si>
  <si>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</si>
  <si>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</si>
  <si>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</si>
  <si>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</si>
  <si>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</si>
  <si>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</si>
  <si>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</si>
  <si>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</si>
  <si>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</si>
  <si>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</si>
  <si>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</si>
  <si>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</si>
  <si>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</si>
  <si>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</si>
  <si>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</si>
  <si>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</si>
  <si>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</si>
  <si>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</si>
  <si>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</si>
  <si>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</si>
  <si>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</si>
  <si>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</si>
  <si>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</si>
  <si>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</si>
  <si>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</si>
  <si>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</si>
  <si>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</si>
  <si>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</si>
  <si>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</si>
  <si>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</si>
  <si>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</si>
  <si>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</si>
  <si>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</si>
  <si>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</si>
  <si>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</si>
  <si>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</si>
  <si>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</si>
  <si>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</si>
  <si>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</si>
  <si>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</si>
  <si>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</si>
  <si>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</si>
  <si>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</si>
  <si>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</si>
  <si>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</si>
  <si>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</si>
  <si>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</si>
  <si>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</si>
  <si>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</si>
  <si>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</si>
  <si>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</si>
  <si>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</si>
  <si>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</si>
  <si>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</si>
  <si>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</si>
  <si>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</si>
  <si>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</si>
  <si>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</si>
  <si>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</si>
  <si>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</si>
  <si>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</si>
  <si>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</si>
  <si>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</si>
  <si>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</si>
  <si>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</si>
  <si>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</si>
  <si>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</si>
  <si>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</si>
  <si>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</si>
  <si>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</si>
  <si>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</si>
  <si>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</si>
  <si>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</si>
  <si>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</si>
  <si>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</si>
  <si>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</si>
  <si>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</si>
  <si>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</si>
  <si>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</si>
  <si>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</si>
  <si>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</si>
  <si>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72025</t>
  </si>
  <si>
    <t>NEERPELT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</si>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</sst>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140339.77772188516</c:v>
                </c:pt>
                <c:pt idx="1">
                  <c:v>39351.928258511856</c:v>
                </c:pt>
                <c:pt idx="2">
                  <c:v>1141.5920000000001</c:v>
                </c:pt>
                <c:pt idx="3">
                  <c:v>6807.827149673356</c:v>
                </c:pt>
                <c:pt idx="4">
                  <c:v>4948.0755911341876</c:v>
                </c:pt>
                <c:pt idx="5">
                  <c:v>54812.41792444951</c:v>
                </c:pt>
                <c:pt idx="6">
                  <c:v>1742.0927682317711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140339.77772188516</c:v>
                </c:pt>
                <c:pt idx="1">
                  <c:v>39351.928258511856</c:v>
                </c:pt>
                <c:pt idx="2">
                  <c:v>1141.5920000000001</c:v>
                </c:pt>
                <c:pt idx="3">
                  <c:v>6807.827149673356</c:v>
                </c:pt>
                <c:pt idx="4">
                  <c:v>4948.0755911341876</c:v>
                </c:pt>
                <c:pt idx="5">
                  <c:v>54812.41792444951</c:v>
                </c:pt>
                <c:pt idx="6">
                  <c:v>1742.0927682317711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25771.836073359696</c:v>
                </c:pt>
                <c:pt idx="2">
                  <c:v>7596.5334625544592</c:v>
                </c:pt>
                <c:pt idx="3">
                  <c:v>217.5587873997533</c:v>
                </c:pt>
                <c:pt idx="4">
                  <c:v>1711.6759243477557</c:v>
                </c:pt>
                <c:pt idx="5">
                  <c:v>974.3664331382231</c:v>
                </c:pt>
                <c:pt idx="6">
                  <c:v>14007.693550146298</c:v>
                </c:pt>
                <c:pt idx="7">
                  <c:v>451.14525267401342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25771.836073359696</c:v>
                </c:pt>
                <c:pt idx="2">
                  <c:v>7596.5334625544592</c:v>
                </c:pt>
                <c:pt idx="3">
                  <c:v>217.5587873997533</c:v>
                </c:pt>
                <c:pt idx="4">
                  <c:v>1711.6759243477557</c:v>
                </c:pt>
                <c:pt idx="5">
                  <c:v>974.3664331382231</c:v>
                </c:pt>
                <c:pt idx="6">
                  <c:v>14007.693550146298</c:v>
                </c:pt>
                <c:pt idx="7">
                  <c:v>451.14525267401342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72025</v>
      </c>
      <c r="B6" s="415"/>
      <c r="C6" s="416"/>
    </row>
    <row r="7" spans="1:7" s="413" customFormat="1" ht="15.75" customHeight="1">
      <c r="A7" s="417" t="str">
        <f>txtMunicipality</f>
        <v>NEERPELT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16376.672</v>
      </c>
      <c r="D10" s="1012">
        <f ca="1">tertiair!C16</f>
        <v>0</v>
      </c>
      <c r="E10" s="1012">
        <f ca="1">tertiair!D16</f>
        <v>17757.869734</v>
      </c>
      <c r="F10" s="1012">
        <f>tertiair!E16</f>
        <v>265.73881309419261</v>
      </c>
      <c r="G10" s="1012">
        <f ca="1">tertiair!F16</f>
        <v>3916.4686742620279</v>
      </c>
      <c r="H10" s="1012">
        <f>tertiair!G16</f>
        <v>0</v>
      </c>
      <c r="I10" s="1012">
        <f>tertiair!H16</f>
        <v>0</v>
      </c>
      <c r="J10" s="1012">
        <f>tertiair!I16</f>
        <v>0</v>
      </c>
      <c r="K10" s="1012">
        <f>tertiair!J16</f>
        <v>0</v>
      </c>
      <c r="L10" s="1012">
        <f>tertiair!K16</f>
        <v>0</v>
      </c>
      <c r="M10" s="1012">
        <f ca="1">tertiair!L16</f>
        <v>0</v>
      </c>
      <c r="N10" s="1012">
        <f>tertiair!M16</f>
        <v>0</v>
      </c>
      <c r="O10" s="1012">
        <f ca="1">tertiair!N16</f>
        <v>2157.7043704889697</v>
      </c>
      <c r="P10" s="1012">
        <f>tertiair!O16</f>
        <v>0</v>
      </c>
      <c r="Q10" s="1013">
        <f>tertiair!P16</f>
        <v>19.066666666666666</v>
      </c>
      <c r="R10" s="700">
        <f ca="1">SUM(C10:Q10)</f>
        <v>40493.520258511853</v>
      </c>
      <c r="S10" s="67"/>
    </row>
    <row r="11" spans="1:19" s="473" customFormat="1">
      <c r="A11" s="809" t="s">
        <v>225</v>
      </c>
      <c r="B11" s="814"/>
      <c r="C11" s="1012">
        <f>huishoudens!B8</f>
        <v>31713.166228026566</v>
      </c>
      <c r="D11" s="1012">
        <f>huishoudens!C8</f>
        <v>0</v>
      </c>
      <c r="E11" s="1012">
        <f>huishoudens!D8</f>
        <v>66608.151213999998</v>
      </c>
      <c r="F11" s="1012">
        <f>huishoudens!E8</f>
        <v>6001.5115391964455</v>
      </c>
      <c r="G11" s="1012">
        <f>huishoudens!F8</f>
        <v>18392.931666854834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16213.240407140642</v>
      </c>
      <c r="P11" s="1012">
        <f>huishoudens!O8</f>
        <v>495.57666666666671</v>
      </c>
      <c r="Q11" s="1013">
        <f>huishoudens!P8</f>
        <v>915.2</v>
      </c>
      <c r="R11" s="700">
        <f>SUM(C11:Q11)</f>
        <v>140339.77772188516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1456.2750000000001</v>
      </c>
      <c r="D13" s="1012">
        <f>industrie!C18</f>
        <v>0</v>
      </c>
      <c r="E13" s="1012">
        <f>industrie!D18</f>
        <v>1743.0193880000002</v>
      </c>
      <c r="F13" s="1012">
        <f>industrie!E18</f>
        <v>287.51891453707674</v>
      </c>
      <c r="G13" s="1012">
        <f>industrie!F18</f>
        <v>1046.0821268183968</v>
      </c>
      <c r="H13" s="1012">
        <f>industrie!G18</f>
        <v>0</v>
      </c>
      <c r="I13" s="1012">
        <f>industrie!H18</f>
        <v>0</v>
      </c>
      <c r="J13" s="1012">
        <f>industrie!I18</f>
        <v>0</v>
      </c>
      <c r="K13" s="1012">
        <f>industrie!J18</f>
        <v>0.49809307234121358</v>
      </c>
      <c r="L13" s="1012">
        <f>industrie!K18</f>
        <v>0</v>
      </c>
      <c r="M13" s="1012">
        <f>industrie!L18</f>
        <v>0</v>
      </c>
      <c r="N13" s="1012">
        <f>industrie!M18</f>
        <v>0</v>
      </c>
      <c r="O13" s="1012">
        <f>industrie!N18</f>
        <v>414.68206870637141</v>
      </c>
      <c r="P13" s="1012">
        <f>industrie!O18</f>
        <v>0</v>
      </c>
      <c r="Q13" s="1013">
        <f>industrie!P18</f>
        <v>0</v>
      </c>
      <c r="R13" s="700">
        <f>SUM(C13:Q13)</f>
        <v>4948.0755911341876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49546.113228026567</v>
      </c>
      <c r="D16" s="732">
        <f t="shared" ref="D16:R16" ca="1" si="0">SUM(D9:D15)</f>
        <v>0</v>
      </c>
      <c r="E16" s="732">
        <f t="shared" ca="1" si="0"/>
        <v>86109.040335999991</v>
      </c>
      <c r="F16" s="732">
        <f t="shared" si="0"/>
        <v>6554.769266827715</v>
      </c>
      <c r="G16" s="732">
        <f t="shared" ca="1" si="0"/>
        <v>23355.482467935261</v>
      </c>
      <c r="H16" s="732">
        <f t="shared" si="0"/>
        <v>0</v>
      </c>
      <c r="I16" s="732">
        <f t="shared" si="0"/>
        <v>0</v>
      </c>
      <c r="J16" s="732">
        <f t="shared" si="0"/>
        <v>0</v>
      </c>
      <c r="K16" s="732">
        <f t="shared" si="0"/>
        <v>0.49809307234121358</v>
      </c>
      <c r="L16" s="732">
        <f t="shared" si="0"/>
        <v>0</v>
      </c>
      <c r="M16" s="732">
        <f t="shared" ca="1" si="0"/>
        <v>0</v>
      </c>
      <c r="N16" s="732">
        <f t="shared" si="0"/>
        <v>0</v>
      </c>
      <c r="O16" s="732">
        <f t="shared" ca="1" si="0"/>
        <v>18785.626846335981</v>
      </c>
      <c r="P16" s="732">
        <f t="shared" si="0"/>
        <v>495.57666666666671</v>
      </c>
      <c r="Q16" s="732">
        <f t="shared" si="0"/>
        <v>934.26666666666677</v>
      </c>
      <c r="R16" s="732">
        <f t="shared" ca="1" si="0"/>
        <v>185781.37357153121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1689.6825942846945</v>
      </c>
      <c r="I19" s="1012">
        <f>transport!H54</f>
        <v>0</v>
      </c>
      <c r="J19" s="1012">
        <f>transport!I54</f>
        <v>0</v>
      </c>
      <c r="K19" s="1012">
        <f>transport!J54</f>
        <v>0</v>
      </c>
      <c r="L19" s="1012">
        <f>transport!K54</f>
        <v>0</v>
      </c>
      <c r="M19" s="1012">
        <f>transport!L54</f>
        <v>0</v>
      </c>
      <c r="N19" s="1012">
        <f>transport!M54</f>
        <v>52.410173947076665</v>
      </c>
      <c r="O19" s="1012">
        <f>transport!N54</f>
        <v>0</v>
      </c>
      <c r="P19" s="1012">
        <f>transport!O54</f>
        <v>0</v>
      </c>
      <c r="Q19" s="1013">
        <f>transport!P54</f>
        <v>0</v>
      </c>
      <c r="R19" s="700">
        <f>SUM(C19:Q19)</f>
        <v>1742.0927682317711</v>
      </c>
      <c r="S19" s="67"/>
    </row>
    <row r="20" spans="1:19" s="473" customFormat="1">
      <c r="A20" s="809" t="s">
        <v>307</v>
      </c>
      <c r="B20" s="814"/>
      <c r="C20" s="1012">
        <f>transport!B14</f>
        <v>14.341837312252812</v>
      </c>
      <c r="D20" s="1012">
        <f>transport!C14</f>
        <v>0</v>
      </c>
      <c r="E20" s="1012">
        <f>transport!D14</f>
        <v>36.813357293110499</v>
      </c>
      <c r="F20" s="1012">
        <f>transport!E14</f>
        <v>139.22106231079997</v>
      </c>
      <c r="G20" s="1012">
        <f>transport!F14</f>
        <v>0</v>
      </c>
      <c r="H20" s="1012">
        <f>transport!G14</f>
        <v>43155.284406589788</v>
      </c>
      <c r="I20" s="1012">
        <f>transport!H14</f>
        <v>9813.0921284340948</v>
      </c>
      <c r="J20" s="1012">
        <f>transport!I14</f>
        <v>0</v>
      </c>
      <c r="K20" s="1012">
        <f>transport!J14</f>
        <v>0</v>
      </c>
      <c r="L20" s="1012">
        <f>transport!K14</f>
        <v>0</v>
      </c>
      <c r="M20" s="1012">
        <f>transport!L14</f>
        <v>0</v>
      </c>
      <c r="N20" s="1012">
        <f>transport!M14</f>
        <v>1653.6651325094617</v>
      </c>
      <c r="O20" s="1012">
        <f>transport!N14</f>
        <v>0</v>
      </c>
      <c r="P20" s="1012">
        <f>transport!O14</f>
        <v>0</v>
      </c>
      <c r="Q20" s="1013">
        <f>transport!P14</f>
        <v>0</v>
      </c>
      <c r="R20" s="700">
        <f>SUM(C20:Q20)</f>
        <v>54812.41792444951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14.341837312252812</v>
      </c>
      <c r="D22" s="812">
        <f t="shared" ref="D22:R22" si="1">SUM(D18:D21)</f>
        <v>0</v>
      </c>
      <c r="E22" s="812">
        <f t="shared" si="1"/>
        <v>36.813357293110499</v>
      </c>
      <c r="F22" s="812">
        <f t="shared" si="1"/>
        <v>139.22106231079997</v>
      </c>
      <c r="G22" s="812">
        <f t="shared" si="1"/>
        <v>0</v>
      </c>
      <c r="H22" s="812">
        <f t="shared" si="1"/>
        <v>44844.96700087448</v>
      </c>
      <c r="I22" s="812">
        <f t="shared" si="1"/>
        <v>9813.0921284340948</v>
      </c>
      <c r="J22" s="812">
        <f t="shared" si="1"/>
        <v>0</v>
      </c>
      <c r="K22" s="812">
        <f t="shared" si="1"/>
        <v>0</v>
      </c>
      <c r="L22" s="812">
        <f t="shared" si="1"/>
        <v>0</v>
      </c>
      <c r="M22" s="812">
        <f t="shared" si="1"/>
        <v>0</v>
      </c>
      <c r="N22" s="812">
        <f t="shared" si="1"/>
        <v>1706.0753064565383</v>
      </c>
      <c r="O22" s="812">
        <f t="shared" si="1"/>
        <v>0</v>
      </c>
      <c r="P22" s="812">
        <f t="shared" si="1"/>
        <v>0</v>
      </c>
      <c r="Q22" s="812">
        <f t="shared" si="1"/>
        <v>0</v>
      </c>
      <c r="R22" s="812">
        <f t="shared" si="1"/>
        <v>56554.51069268128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1353.0730000000001</v>
      </c>
      <c r="D24" s="1012">
        <f>+landbouw!C8</f>
        <v>0</v>
      </c>
      <c r="E24" s="1012">
        <f>+landbouw!D8</f>
        <v>279.33136000000002</v>
      </c>
      <c r="F24" s="1012">
        <f>+landbouw!E8</f>
        <v>34.890557470321752</v>
      </c>
      <c r="G24" s="1012">
        <f>+landbouw!F8</f>
        <v>4945.7394952354816</v>
      </c>
      <c r="H24" s="1012">
        <f>+landbouw!G8</f>
        <v>0</v>
      </c>
      <c r="I24" s="1012">
        <f>+landbouw!H8</f>
        <v>0</v>
      </c>
      <c r="J24" s="1012">
        <f>+landbouw!I8</f>
        <v>0</v>
      </c>
      <c r="K24" s="1012">
        <f>+landbouw!J8</f>
        <v>194.79273696755277</v>
      </c>
      <c r="L24" s="1012">
        <f>+landbouw!K8</f>
        <v>0</v>
      </c>
      <c r="M24" s="1012">
        <f>+landbouw!L8</f>
        <v>0</v>
      </c>
      <c r="N24" s="1012">
        <f>+landbouw!M8</f>
        <v>0</v>
      </c>
      <c r="O24" s="1012">
        <f>+landbouw!N8</f>
        <v>0</v>
      </c>
      <c r="P24" s="1012">
        <f>+landbouw!O8</f>
        <v>0</v>
      </c>
      <c r="Q24" s="1013">
        <f>+landbouw!P8</f>
        <v>0</v>
      </c>
      <c r="R24" s="700">
        <f>SUM(C24:Q24)</f>
        <v>6807.827149673356</v>
      </c>
      <c r="S24" s="67"/>
    </row>
    <row r="25" spans="1:19" s="473" customFormat="1" ht="15" thickBot="1">
      <c r="A25" s="831" t="s">
        <v>848</v>
      </c>
      <c r="B25" s="1015"/>
      <c r="C25" s="1016">
        <f>IF(Onbekend_ele_kWh="---",0,Onbekend_ele_kWh)/1000+IF(REST_rest_ele_kWh="---",0,REST_rest_ele_kWh)/1000</f>
        <v>490.91699999999997</v>
      </c>
      <c r="D25" s="1016"/>
      <c r="E25" s="1016">
        <f>IF(onbekend_gas_kWh="---",0,onbekend_gas_kWh)/1000+IF(REST_rest_gas_kWh="---",0,REST_rest_gas_kWh)/1000</f>
        <v>893.46100000000001</v>
      </c>
      <c r="F25" s="1016"/>
      <c r="G25" s="1016"/>
      <c r="H25" s="1016"/>
      <c r="I25" s="1016"/>
      <c r="J25" s="1016"/>
      <c r="K25" s="1016"/>
      <c r="L25" s="1016"/>
      <c r="M25" s="1016"/>
      <c r="N25" s="1016"/>
      <c r="O25" s="1016"/>
      <c r="P25" s="1016"/>
      <c r="Q25" s="1017"/>
      <c r="R25" s="700">
        <f>SUM(C25:Q25)</f>
        <v>1384.3779999999999</v>
      </c>
      <c r="S25" s="67"/>
    </row>
    <row r="26" spans="1:19" s="473" customFormat="1" ht="15.75" thickBot="1">
      <c r="A26" s="705" t="s">
        <v>849</v>
      </c>
      <c r="B26" s="817"/>
      <c r="C26" s="812">
        <f>SUM(C24:C25)</f>
        <v>1843.99</v>
      </c>
      <c r="D26" s="812">
        <f t="shared" ref="D26:R26" si="2">SUM(D24:D25)</f>
        <v>0</v>
      </c>
      <c r="E26" s="812">
        <f t="shared" si="2"/>
        <v>1172.7923599999999</v>
      </c>
      <c r="F26" s="812">
        <f t="shared" si="2"/>
        <v>34.890557470321752</v>
      </c>
      <c r="G26" s="812">
        <f t="shared" si="2"/>
        <v>4945.7394952354816</v>
      </c>
      <c r="H26" s="812">
        <f t="shared" si="2"/>
        <v>0</v>
      </c>
      <c r="I26" s="812">
        <f t="shared" si="2"/>
        <v>0</v>
      </c>
      <c r="J26" s="812">
        <f t="shared" si="2"/>
        <v>0</v>
      </c>
      <c r="K26" s="812">
        <f t="shared" si="2"/>
        <v>194.79273696755277</v>
      </c>
      <c r="L26" s="812">
        <f t="shared" si="2"/>
        <v>0</v>
      </c>
      <c r="M26" s="812">
        <f t="shared" si="2"/>
        <v>0</v>
      </c>
      <c r="N26" s="812">
        <f t="shared" si="2"/>
        <v>0</v>
      </c>
      <c r="O26" s="812">
        <f t="shared" si="2"/>
        <v>0</v>
      </c>
      <c r="P26" s="812">
        <f t="shared" si="2"/>
        <v>0</v>
      </c>
      <c r="Q26" s="812">
        <f t="shared" si="2"/>
        <v>0</v>
      </c>
      <c r="R26" s="812">
        <f t="shared" si="2"/>
        <v>8192.2051496733566</v>
      </c>
      <c r="S26" s="67"/>
    </row>
    <row r="27" spans="1:19" s="473" customFormat="1" ht="17.25" thickTop="1" thickBot="1">
      <c r="A27" s="706" t="s">
        <v>116</v>
      </c>
      <c r="B27" s="805"/>
      <c r="C27" s="707">
        <f ca="1">C22+C16+C26</f>
        <v>51404.445065338819</v>
      </c>
      <c r="D27" s="707">
        <f t="shared" ref="D27:R27" ca="1" si="3">D22+D16+D26</f>
        <v>0</v>
      </c>
      <c r="E27" s="707">
        <f t="shared" ca="1" si="3"/>
        <v>87318.646053293109</v>
      </c>
      <c r="F27" s="707">
        <f t="shared" si="3"/>
        <v>6728.8808866088375</v>
      </c>
      <c r="G27" s="707">
        <f t="shared" ca="1" si="3"/>
        <v>28301.221963170741</v>
      </c>
      <c r="H27" s="707">
        <f t="shared" si="3"/>
        <v>44844.96700087448</v>
      </c>
      <c r="I27" s="707">
        <f t="shared" si="3"/>
        <v>9813.0921284340948</v>
      </c>
      <c r="J27" s="707">
        <f t="shared" si="3"/>
        <v>0</v>
      </c>
      <c r="K27" s="707">
        <f t="shared" si="3"/>
        <v>195.29083003989399</v>
      </c>
      <c r="L27" s="707">
        <f t="shared" si="3"/>
        <v>0</v>
      </c>
      <c r="M27" s="707">
        <f t="shared" ca="1" si="3"/>
        <v>0</v>
      </c>
      <c r="N27" s="707">
        <f t="shared" si="3"/>
        <v>1706.0753064565383</v>
      </c>
      <c r="O27" s="707">
        <f t="shared" ca="1" si="3"/>
        <v>18785.626846335981</v>
      </c>
      <c r="P27" s="707">
        <f t="shared" si="3"/>
        <v>495.57666666666671</v>
      </c>
      <c r="Q27" s="707">
        <f t="shared" si="3"/>
        <v>934.26666666666677</v>
      </c>
      <c r="R27" s="707">
        <f t="shared" ca="1" si="3"/>
        <v>250528.08941388584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3120.9827170858698</v>
      </c>
      <c r="D40" s="1012">
        <f ca="1">tertiair!C20</f>
        <v>0</v>
      </c>
      <c r="E40" s="1012">
        <f ca="1">tertiair!D20</f>
        <v>3587.0896862680002</v>
      </c>
      <c r="F40" s="1012">
        <f>tertiair!E20</f>
        <v>60.322710572381723</v>
      </c>
      <c r="G40" s="1012">
        <f ca="1">tertiair!F20</f>
        <v>1045.6971360279615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7814.092249954213</v>
      </c>
    </row>
    <row r="41" spans="1:18">
      <c r="A41" s="822" t="s">
        <v>225</v>
      </c>
      <c r="B41" s="829"/>
      <c r="C41" s="1012">
        <f ca="1">huishoudens!B12</f>
        <v>6043.733653683862</v>
      </c>
      <c r="D41" s="1012">
        <f ca="1">huishoudens!C12</f>
        <v>0</v>
      </c>
      <c r="E41" s="1012">
        <f>huishoudens!D12</f>
        <v>13454.846545228</v>
      </c>
      <c r="F41" s="1012">
        <f>huishoudens!E12</f>
        <v>1362.3431193975932</v>
      </c>
      <c r="G41" s="1012">
        <f>huishoudens!F12</f>
        <v>4910.9127550502408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25771.836073359696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277.52947035418583</v>
      </c>
      <c r="D43" s="1012">
        <f ca="1">industrie!C22</f>
        <v>0</v>
      </c>
      <c r="E43" s="1012">
        <f>industrie!D22</f>
        <v>352.08991637600008</v>
      </c>
      <c r="F43" s="1012">
        <f>industrie!E22</f>
        <v>65.266793599916426</v>
      </c>
      <c r="G43" s="1012">
        <f>industrie!F22</f>
        <v>279.30392786051198</v>
      </c>
      <c r="H43" s="1012">
        <f>industrie!G22</f>
        <v>0</v>
      </c>
      <c r="I43" s="1012">
        <f>industrie!H22</f>
        <v>0</v>
      </c>
      <c r="J43" s="1012">
        <f>industrie!I22</f>
        <v>0</v>
      </c>
      <c r="K43" s="1012">
        <f>industrie!J22</f>
        <v>0.17632494760878961</v>
      </c>
      <c r="L43" s="1012">
        <f>industrie!K22</f>
        <v>0</v>
      </c>
      <c r="M43" s="1012">
        <f>industrie!L22</f>
        <v>0</v>
      </c>
      <c r="N43" s="1012">
        <f>industrie!M22</f>
        <v>0</v>
      </c>
      <c r="O43" s="1012">
        <f>industrie!N22</f>
        <v>0</v>
      </c>
      <c r="P43" s="1012">
        <f>industrie!O22</f>
        <v>0</v>
      </c>
      <c r="Q43" s="774">
        <f>industrie!P22</f>
        <v>0</v>
      </c>
      <c r="R43" s="849">
        <f t="shared" ca="1" si="4"/>
        <v>974.3664331382231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9442.2458411239186</v>
      </c>
      <c r="D46" s="732">
        <f t="shared" ref="D46:Q46" ca="1" si="5">SUM(D39:D45)</f>
        <v>0</v>
      </c>
      <c r="E46" s="732">
        <f t="shared" ca="1" si="5"/>
        <v>17394.026147872002</v>
      </c>
      <c r="F46" s="732">
        <f t="shared" si="5"/>
        <v>1487.9326235698913</v>
      </c>
      <c r="G46" s="732">
        <f t="shared" ca="1" si="5"/>
        <v>6235.913818938714</v>
      </c>
      <c r="H46" s="732">
        <f t="shared" si="5"/>
        <v>0</v>
      </c>
      <c r="I46" s="732">
        <f t="shared" si="5"/>
        <v>0</v>
      </c>
      <c r="J46" s="732">
        <f t="shared" si="5"/>
        <v>0</v>
      </c>
      <c r="K46" s="732">
        <f t="shared" si="5"/>
        <v>0.17632494760878961</v>
      </c>
      <c r="L46" s="732">
        <f t="shared" si="5"/>
        <v>0</v>
      </c>
      <c r="M46" s="732">
        <f t="shared" ca="1" si="5"/>
        <v>0</v>
      </c>
      <c r="N46" s="732">
        <f t="shared" si="5"/>
        <v>0</v>
      </c>
      <c r="O46" s="732">
        <f t="shared" ca="1" si="5"/>
        <v>0</v>
      </c>
      <c r="P46" s="732">
        <f t="shared" si="5"/>
        <v>0</v>
      </c>
      <c r="Q46" s="732">
        <f t="shared" si="5"/>
        <v>0</v>
      </c>
      <c r="R46" s="732">
        <f ca="1">SUM(R39:R45)</f>
        <v>34560.294756452131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451.14525267401342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451.14525267401342</v>
      </c>
    </row>
    <row r="50" spans="1:18">
      <c r="A50" s="825" t="s">
        <v>307</v>
      </c>
      <c r="B50" s="835"/>
      <c r="C50" s="703">
        <f ca="1">transport!B18</f>
        <v>2.7331942889738703</v>
      </c>
      <c r="D50" s="703">
        <f>transport!C18</f>
        <v>0</v>
      </c>
      <c r="E50" s="703">
        <f>transport!D18</f>
        <v>7.4362981732083213</v>
      </c>
      <c r="F50" s="703">
        <f>transport!E18</f>
        <v>31.603181144551595</v>
      </c>
      <c r="G50" s="703">
        <f>transport!F18</f>
        <v>0</v>
      </c>
      <c r="H50" s="703">
        <f>transport!G18</f>
        <v>11522.460936559473</v>
      </c>
      <c r="I50" s="703">
        <f>transport!H18</f>
        <v>2443.4599399800895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14007.693550146298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2.7331942889738703</v>
      </c>
      <c r="D52" s="732">
        <f t="shared" ref="D52:Q52" ca="1" si="6">SUM(D48:D51)</f>
        <v>0</v>
      </c>
      <c r="E52" s="732">
        <f t="shared" si="6"/>
        <v>7.4362981732083213</v>
      </c>
      <c r="F52" s="732">
        <f t="shared" si="6"/>
        <v>31.603181144551595</v>
      </c>
      <c r="G52" s="732">
        <f t="shared" si="6"/>
        <v>0</v>
      </c>
      <c r="H52" s="732">
        <f t="shared" si="6"/>
        <v>11973.606189233487</v>
      </c>
      <c r="I52" s="732">
        <f t="shared" si="6"/>
        <v>2443.4599399800895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14458.838802820312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257.86175896760523</v>
      </c>
      <c r="D54" s="703">
        <f ca="1">+landbouw!C12</f>
        <v>0</v>
      </c>
      <c r="E54" s="703">
        <f>+landbouw!D12</f>
        <v>56.42493472000001</v>
      </c>
      <c r="F54" s="703">
        <f>+landbouw!E12</f>
        <v>7.9201565457630378</v>
      </c>
      <c r="G54" s="703">
        <f>+landbouw!F12</f>
        <v>1320.5124452278737</v>
      </c>
      <c r="H54" s="703">
        <f>+landbouw!G12</f>
        <v>0</v>
      </c>
      <c r="I54" s="703">
        <f>+landbouw!H12</f>
        <v>0</v>
      </c>
      <c r="J54" s="703">
        <f>+landbouw!I12</f>
        <v>0</v>
      </c>
      <c r="K54" s="703">
        <f>+landbouw!J12</f>
        <v>68.956628886513684</v>
      </c>
      <c r="L54" s="703">
        <f>+landbouw!K12</f>
        <v>0</v>
      </c>
      <c r="M54" s="703">
        <f>+landbouw!L12</f>
        <v>0</v>
      </c>
      <c r="N54" s="703">
        <f>+landbouw!M12</f>
        <v>0</v>
      </c>
      <c r="O54" s="703">
        <f>+landbouw!N12</f>
        <v>0</v>
      </c>
      <c r="P54" s="703">
        <f>+landbouw!O12</f>
        <v>0</v>
      </c>
      <c r="Q54" s="704">
        <f>+landbouw!P12</f>
        <v>0</v>
      </c>
      <c r="R54" s="731">
        <f ca="1">SUM(C54:Q54)</f>
        <v>1711.6759243477557</v>
      </c>
    </row>
    <row r="55" spans="1:18" ht="15" thickBot="1">
      <c r="A55" s="825" t="s">
        <v>848</v>
      </c>
      <c r="B55" s="835"/>
      <c r="C55" s="703">
        <f ca="1">C25*'EF ele_warmte'!B12</f>
        <v>93.556460831824921</v>
      </c>
      <c r="D55" s="703"/>
      <c r="E55" s="703">
        <f>E25*EF_CO2_aardgas</f>
        <v>180.47912200000002</v>
      </c>
      <c r="F55" s="703"/>
      <c r="G55" s="703"/>
      <c r="H55" s="703"/>
      <c r="I55" s="703"/>
      <c r="J55" s="703"/>
      <c r="K55" s="703"/>
      <c r="L55" s="703"/>
      <c r="M55" s="703"/>
      <c r="N55" s="703"/>
      <c r="O55" s="703"/>
      <c r="P55" s="703"/>
      <c r="Q55" s="704"/>
      <c r="R55" s="731">
        <f ca="1">SUM(C55:Q55)</f>
        <v>274.03558283182497</v>
      </c>
    </row>
    <row r="56" spans="1:18" ht="15.75" thickBot="1">
      <c r="A56" s="823" t="s">
        <v>849</v>
      </c>
      <c r="B56" s="836"/>
      <c r="C56" s="732">
        <f ca="1">SUM(C54:C55)</f>
        <v>351.41821979943018</v>
      </c>
      <c r="D56" s="732">
        <f t="shared" ref="D56:Q56" ca="1" si="7">SUM(D54:D55)</f>
        <v>0</v>
      </c>
      <c r="E56" s="732">
        <f t="shared" si="7"/>
        <v>236.90405672000003</v>
      </c>
      <c r="F56" s="732">
        <f t="shared" si="7"/>
        <v>7.9201565457630378</v>
      </c>
      <c r="G56" s="732">
        <f t="shared" si="7"/>
        <v>1320.5124452278737</v>
      </c>
      <c r="H56" s="732">
        <f t="shared" si="7"/>
        <v>0</v>
      </c>
      <c r="I56" s="732">
        <f t="shared" si="7"/>
        <v>0</v>
      </c>
      <c r="J56" s="732">
        <f t="shared" si="7"/>
        <v>0</v>
      </c>
      <c r="K56" s="732">
        <f t="shared" si="7"/>
        <v>68.956628886513684</v>
      </c>
      <c r="L56" s="732">
        <f t="shared" si="7"/>
        <v>0</v>
      </c>
      <c r="M56" s="732">
        <f t="shared" si="7"/>
        <v>0</v>
      </c>
      <c r="N56" s="732">
        <f t="shared" si="7"/>
        <v>0</v>
      </c>
      <c r="O56" s="732">
        <f t="shared" si="7"/>
        <v>0</v>
      </c>
      <c r="P56" s="732">
        <f t="shared" si="7"/>
        <v>0</v>
      </c>
      <c r="Q56" s="733">
        <f t="shared" si="7"/>
        <v>0</v>
      </c>
      <c r="R56" s="734">
        <f ca="1">SUM(R54:R55)</f>
        <v>1985.7115071795806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9796.3972552123232</v>
      </c>
      <c r="D61" s="740">
        <f t="shared" ref="D61:Q61" ca="1" si="8">D46+D52+D56</f>
        <v>0</v>
      </c>
      <c r="E61" s="740">
        <f t="shared" ca="1" si="8"/>
        <v>17638.36650276521</v>
      </c>
      <c r="F61" s="740">
        <f t="shared" si="8"/>
        <v>1527.4559612602061</v>
      </c>
      <c r="G61" s="740">
        <f t="shared" ca="1" si="8"/>
        <v>7556.4262641665882</v>
      </c>
      <c r="H61" s="740">
        <f t="shared" si="8"/>
        <v>11973.606189233487</v>
      </c>
      <c r="I61" s="740">
        <f t="shared" si="8"/>
        <v>2443.4599399800895</v>
      </c>
      <c r="J61" s="740">
        <f t="shared" si="8"/>
        <v>0</v>
      </c>
      <c r="K61" s="740">
        <f t="shared" si="8"/>
        <v>69.132953834122475</v>
      </c>
      <c r="L61" s="740">
        <f t="shared" si="8"/>
        <v>0</v>
      </c>
      <c r="M61" s="740">
        <f t="shared" ca="1" si="8"/>
        <v>0</v>
      </c>
      <c r="N61" s="740">
        <f t="shared" si="8"/>
        <v>0</v>
      </c>
      <c r="O61" s="740">
        <f t="shared" ca="1" si="8"/>
        <v>0</v>
      </c>
      <c r="P61" s="740">
        <f t="shared" si="8"/>
        <v>0</v>
      </c>
      <c r="Q61" s="740">
        <f t="shared" si="8"/>
        <v>0</v>
      </c>
      <c r="R61" s="740">
        <f ca="1">R46+R52+R56</f>
        <v>51004.845066452021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0.19057490539505648</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7076.8556752378199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7076.8556752378199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31713.166228026566</v>
      </c>
      <c r="C4" s="477">
        <f>huishoudens!C8</f>
        <v>0</v>
      </c>
      <c r="D4" s="477">
        <f>huishoudens!D8</f>
        <v>66608.151213999998</v>
      </c>
      <c r="E4" s="477">
        <f>huishoudens!E8</f>
        <v>6001.5115391964455</v>
      </c>
      <c r="F4" s="477">
        <f>huishoudens!F8</f>
        <v>18392.931666854834</v>
      </c>
      <c r="G4" s="477">
        <f>huishoudens!G8</f>
        <v>0</v>
      </c>
      <c r="H4" s="477">
        <f>huishoudens!H8</f>
        <v>0</v>
      </c>
      <c r="I4" s="477">
        <f>huishoudens!I8</f>
        <v>0</v>
      </c>
      <c r="J4" s="477">
        <f>huishoudens!J8</f>
        <v>0</v>
      </c>
      <c r="K4" s="477">
        <f>huishoudens!K8</f>
        <v>0</v>
      </c>
      <c r="L4" s="477">
        <f>huishoudens!L8</f>
        <v>0</v>
      </c>
      <c r="M4" s="477">
        <f>huishoudens!M8</f>
        <v>0</v>
      </c>
      <c r="N4" s="477">
        <f>huishoudens!N8</f>
        <v>16213.240407140642</v>
      </c>
      <c r="O4" s="477">
        <f>huishoudens!O8</f>
        <v>495.57666666666671</v>
      </c>
      <c r="P4" s="478">
        <f>huishoudens!P8</f>
        <v>915.2</v>
      </c>
      <c r="Q4" s="479">
        <f>SUM(B4:P4)</f>
        <v>140339.77772188516</v>
      </c>
    </row>
    <row r="5" spans="1:17">
      <c r="A5" s="476" t="s">
        <v>156</v>
      </c>
      <c r="B5" s="477">
        <f ca="1">tertiair!B16</f>
        <v>15235.08</v>
      </c>
      <c r="C5" s="477">
        <f ca="1">tertiair!C16</f>
        <v>0</v>
      </c>
      <c r="D5" s="477">
        <f ca="1">tertiair!D16</f>
        <v>17757.869734</v>
      </c>
      <c r="E5" s="477">
        <f>tertiair!E16</f>
        <v>265.73881309419261</v>
      </c>
      <c r="F5" s="477">
        <f ca="1">tertiair!F16</f>
        <v>3916.4686742620279</v>
      </c>
      <c r="G5" s="477">
        <f>tertiair!G16</f>
        <v>0</v>
      </c>
      <c r="H5" s="477">
        <f>tertiair!H16</f>
        <v>0</v>
      </c>
      <c r="I5" s="477">
        <f>tertiair!I16</f>
        <v>0</v>
      </c>
      <c r="J5" s="477">
        <f>tertiair!J16</f>
        <v>0</v>
      </c>
      <c r="K5" s="477">
        <f>tertiair!K16</f>
        <v>0</v>
      </c>
      <c r="L5" s="477">
        <f ca="1">tertiair!L16</f>
        <v>0</v>
      </c>
      <c r="M5" s="477">
        <f>tertiair!M16</f>
        <v>0</v>
      </c>
      <c r="N5" s="477">
        <f ca="1">tertiair!N16</f>
        <v>2157.7043704889697</v>
      </c>
      <c r="O5" s="477">
        <f>tertiair!O16</f>
        <v>0</v>
      </c>
      <c r="P5" s="478">
        <f>tertiair!P16</f>
        <v>19.066666666666666</v>
      </c>
      <c r="Q5" s="476">
        <f t="shared" ref="Q5:Q14" ca="1" si="0">SUM(B5:P5)</f>
        <v>39351.928258511856</v>
      </c>
    </row>
    <row r="6" spans="1:17">
      <c r="A6" s="476" t="s">
        <v>194</v>
      </c>
      <c r="B6" s="477">
        <f>'openbare verlichting'!B8</f>
        <v>1141.5920000000001</v>
      </c>
      <c r="C6" s="477"/>
      <c r="D6" s="477"/>
      <c r="E6" s="477"/>
      <c r="F6" s="477"/>
      <c r="G6" s="477"/>
      <c r="H6" s="477"/>
      <c r="I6" s="477"/>
      <c r="J6" s="477"/>
      <c r="K6" s="477"/>
      <c r="L6" s="477"/>
      <c r="M6" s="477"/>
      <c r="N6" s="477"/>
      <c r="O6" s="477"/>
      <c r="P6" s="478"/>
      <c r="Q6" s="476">
        <f t="shared" si="0"/>
        <v>1141.5920000000001</v>
      </c>
    </row>
    <row r="7" spans="1:17">
      <c r="A7" s="476" t="s">
        <v>112</v>
      </c>
      <c r="B7" s="477">
        <f>landbouw!B8</f>
        <v>1353.0730000000001</v>
      </c>
      <c r="C7" s="477">
        <f>landbouw!C8</f>
        <v>0</v>
      </c>
      <c r="D7" s="477">
        <f>landbouw!D8</f>
        <v>279.33136000000002</v>
      </c>
      <c r="E7" s="477">
        <f>landbouw!E8</f>
        <v>34.890557470321752</v>
      </c>
      <c r="F7" s="477">
        <f>landbouw!F8</f>
        <v>4945.7394952354816</v>
      </c>
      <c r="G7" s="477">
        <f>landbouw!G8</f>
        <v>0</v>
      </c>
      <c r="H7" s="477">
        <f>landbouw!H8</f>
        <v>0</v>
      </c>
      <c r="I7" s="477">
        <f>landbouw!I8</f>
        <v>0</v>
      </c>
      <c r="J7" s="477">
        <f>landbouw!J8</f>
        <v>194.79273696755277</v>
      </c>
      <c r="K7" s="477">
        <f>landbouw!K8</f>
        <v>0</v>
      </c>
      <c r="L7" s="477">
        <f>landbouw!L8</f>
        <v>0</v>
      </c>
      <c r="M7" s="477">
        <f>landbouw!M8</f>
        <v>0</v>
      </c>
      <c r="N7" s="477">
        <f>landbouw!N8</f>
        <v>0</v>
      </c>
      <c r="O7" s="477">
        <f>landbouw!O8</f>
        <v>0</v>
      </c>
      <c r="P7" s="478">
        <f>landbouw!P8</f>
        <v>0</v>
      </c>
      <c r="Q7" s="476">
        <f t="shared" si="0"/>
        <v>6807.827149673356</v>
      </c>
    </row>
    <row r="8" spans="1:17">
      <c r="A8" s="476" t="s">
        <v>638</v>
      </c>
      <c r="B8" s="477">
        <f>industrie!B18</f>
        <v>1456.2750000000001</v>
      </c>
      <c r="C8" s="477">
        <f>industrie!C18</f>
        <v>0</v>
      </c>
      <c r="D8" s="477">
        <f>industrie!D18</f>
        <v>1743.0193880000002</v>
      </c>
      <c r="E8" s="477">
        <f>industrie!E18</f>
        <v>287.51891453707674</v>
      </c>
      <c r="F8" s="477">
        <f>industrie!F18</f>
        <v>1046.0821268183968</v>
      </c>
      <c r="G8" s="477">
        <f>industrie!G18</f>
        <v>0</v>
      </c>
      <c r="H8" s="477">
        <f>industrie!H18</f>
        <v>0</v>
      </c>
      <c r="I8" s="477">
        <f>industrie!I18</f>
        <v>0</v>
      </c>
      <c r="J8" s="477">
        <f>industrie!J18</f>
        <v>0.49809307234121358</v>
      </c>
      <c r="K8" s="477">
        <f>industrie!K18</f>
        <v>0</v>
      </c>
      <c r="L8" s="477">
        <f>industrie!L18</f>
        <v>0</v>
      </c>
      <c r="M8" s="477">
        <f>industrie!M18</f>
        <v>0</v>
      </c>
      <c r="N8" s="477">
        <f>industrie!N18</f>
        <v>414.68206870637141</v>
      </c>
      <c r="O8" s="477">
        <f>industrie!O18</f>
        <v>0</v>
      </c>
      <c r="P8" s="478">
        <f>industrie!P18</f>
        <v>0</v>
      </c>
      <c r="Q8" s="476">
        <f t="shared" si="0"/>
        <v>4948.0755911341876</v>
      </c>
    </row>
    <row r="9" spans="1:17" s="482" customFormat="1">
      <c r="A9" s="480" t="s">
        <v>564</v>
      </c>
      <c r="B9" s="481">
        <f>transport!B14</f>
        <v>14.341837312252812</v>
      </c>
      <c r="C9" s="481">
        <f>transport!C14</f>
        <v>0</v>
      </c>
      <c r="D9" s="481">
        <f>transport!D14</f>
        <v>36.813357293110499</v>
      </c>
      <c r="E9" s="481">
        <f>transport!E14</f>
        <v>139.22106231079997</v>
      </c>
      <c r="F9" s="481">
        <f>transport!F14</f>
        <v>0</v>
      </c>
      <c r="G9" s="481">
        <f>transport!G14</f>
        <v>43155.284406589788</v>
      </c>
      <c r="H9" s="481">
        <f>transport!H14</f>
        <v>9813.0921284340948</v>
      </c>
      <c r="I9" s="481">
        <f>transport!I14</f>
        <v>0</v>
      </c>
      <c r="J9" s="481">
        <f>transport!J14</f>
        <v>0</v>
      </c>
      <c r="K9" s="481">
        <f>transport!K14</f>
        <v>0</v>
      </c>
      <c r="L9" s="481">
        <f>transport!L14</f>
        <v>0</v>
      </c>
      <c r="M9" s="481">
        <f>transport!M14</f>
        <v>1653.6651325094617</v>
      </c>
      <c r="N9" s="481">
        <f>transport!N14</f>
        <v>0</v>
      </c>
      <c r="O9" s="481">
        <f>transport!O14</f>
        <v>0</v>
      </c>
      <c r="P9" s="481">
        <f>transport!P14</f>
        <v>0</v>
      </c>
      <c r="Q9" s="480">
        <f>SUM(B9:P9)</f>
        <v>54812.41792444951</v>
      </c>
    </row>
    <row r="10" spans="1:17">
      <c r="A10" s="476" t="s">
        <v>554</v>
      </c>
      <c r="B10" s="477">
        <f>transport!B54</f>
        <v>0</v>
      </c>
      <c r="C10" s="477">
        <f>transport!C54</f>
        <v>0</v>
      </c>
      <c r="D10" s="477">
        <f>transport!D54</f>
        <v>0</v>
      </c>
      <c r="E10" s="477">
        <f>transport!E54</f>
        <v>0</v>
      </c>
      <c r="F10" s="477">
        <f>transport!F54</f>
        <v>0</v>
      </c>
      <c r="G10" s="477">
        <f>transport!G54</f>
        <v>1689.6825942846945</v>
      </c>
      <c r="H10" s="477">
        <f>transport!H54</f>
        <v>0</v>
      </c>
      <c r="I10" s="477">
        <f>transport!I54</f>
        <v>0</v>
      </c>
      <c r="J10" s="477">
        <f>transport!J54</f>
        <v>0</v>
      </c>
      <c r="K10" s="477">
        <f>transport!K54</f>
        <v>0</v>
      </c>
      <c r="L10" s="477">
        <f>transport!L54</f>
        <v>0</v>
      </c>
      <c r="M10" s="477">
        <f>transport!M54</f>
        <v>52.410173947076665</v>
      </c>
      <c r="N10" s="477">
        <f>transport!N54</f>
        <v>0</v>
      </c>
      <c r="O10" s="477">
        <f>transport!O54</f>
        <v>0</v>
      </c>
      <c r="P10" s="478">
        <f>transport!P54</f>
        <v>0</v>
      </c>
      <c r="Q10" s="476">
        <f t="shared" si="0"/>
        <v>1742.0927682317711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490.91699999999997</v>
      </c>
      <c r="C14" s="484"/>
      <c r="D14" s="484">
        <f>'SEAP template'!E25</f>
        <v>893.46100000000001</v>
      </c>
      <c r="E14" s="484"/>
      <c r="F14" s="484"/>
      <c r="G14" s="484"/>
      <c r="H14" s="484"/>
      <c r="I14" s="484"/>
      <c r="J14" s="484"/>
      <c r="K14" s="484"/>
      <c r="L14" s="484"/>
      <c r="M14" s="484"/>
      <c r="N14" s="484"/>
      <c r="O14" s="484"/>
      <c r="P14" s="485"/>
      <c r="Q14" s="476">
        <f t="shared" si="0"/>
        <v>1384.3779999999999</v>
      </c>
    </row>
    <row r="15" spans="1:17" s="486" customFormat="1">
      <c r="A15" s="1038" t="s">
        <v>558</v>
      </c>
      <c r="B15" s="978">
        <f ca="1">SUM(B4:B14)</f>
        <v>51404.445065338819</v>
      </c>
      <c r="C15" s="978">
        <f t="shared" ref="C15:Q15" ca="1" si="1">SUM(C4:C14)</f>
        <v>0</v>
      </c>
      <c r="D15" s="978">
        <f t="shared" ca="1" si="1"/>
        <v>87318.646053293094</v>
      </c>
      <c r="E15" s="978">
        <f t="shared" si="1"/>
        <v>6728.8808866088375</v>
      </c>
      <c r="F15" s="978">
        <f t="shared" ca="1" si="1"/>
        <v>28301.221963170741</v>
      </c>
      <c r="G15" s="978">
        <f t="shared" si="1"/>
        <v>44844.96700087448</v>
      </c>
      <c r="H15" s="978">
        <f t="shared" si="1"/>
        <v>9813.0921284340948</v>
      </c>
      <c r="I15" s="978">
        <f t="shared" si="1"/>
        <v>0</v>
      </c>
      <c r="J15" s="978">
        <f t="shared" si="1"/>
        <v>195.29083003989399</v>
      </c>
      <c r="K15" s="978">
        <f t="shared" si="1"/>
        <v>0</v>
      </c>
      <c r="L15" s="978">
        <f t="shared" ca="1" si="1"/>
        <v>0</v>
      </c>
      <c r="M15" s="978">
        <f t="shared" si="1"/>
        <v>1706.0753064565383</v>
      </c>
      <c r="N15" s="978">
        <f t="shared" ca="1" si="1"/>
        <v>18785.626846335981</v>
      </c>
      <c r="O15" s="978">
        <f t="shared" si="1"/>
        <v>495.57666666666671</v>
      </c>
      <c r="P15" s="978">
        <f t="shared" si="1"/>
        <v>934.26666666666677</v>
      </c>
      <c r="Q15" s="978">
        <f t="shared" ca="1" si="1"/>
        <v>250528.08941388587</v>
      </c>
    </row>
    <row r="17" spans="1:17">
      <c r="A17" s="487" t="s">
        <v>559</v>
      </c>
      <c r="B17" s="786">
        <f ca="1">huishoudens!B10</f>
        <v>0.19057490539505645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6043.733653683862</v>
      </c>
      <c r="C22" s="477">
        <f t="shared" ref="C22:C32" ca="1" si="3">C4*$C$17</f>
        <v>0</v>
      </c>
      <c r="D22" s="477">
        <f t="shared" ref="D22:D32" si="4">D4*$D$17</f>
        <v>13454.846545228</v>
      </c>
      <c r="E22" s="477">
        <f t="shared" ref="E22:E32" si="5">E4*$E$17</f>
        <v>1362.3431193975932</v>
      </c>
      <c r="F22" s="477">
        <f t="shared" ref="F22:F32" si="6">F4*$F$17</f>
        <v>4910.9127550502408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25771.836073359696</v>
      </c>
    </row>
    <row r="23" spans="1:17">
      <c r="A23" s="476" t="s">
        <v>156</v>
      </c>
      <c r="B23" s="477">
        <f t="shared" ca="1" si="2"/>
        <v>2903.4239296861165</v>
      </c>
      <c r="C23" s="477">
        <f t="shared" ca="1" si="3"/>
        <v>0</v>
      </c>
      <c r="D23" s="477">
        <f t="shared" ca="1" si="4"/>
        <v>3587.0896862680002</v>
      </c>
      <c r="E23" s="477">
        <f t="shared" si="5"/>
        <v>60.322710572381723</v>
      </c>
      <c r="F23" s="477">
        <f t="shared" ca="1" si="6"/>
        <v>1045.6971360279615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7596.5334625544592</v>
      </c>
    </row>
    <row r="24" spans="1:17">
      <c r="A24" s="476" t="s">
        <v>194</v>
      </c>
      <c r="B24" s="477">
        <f t="shared" ca="1" si="2"/>
        <v>217.5587873997533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217.5587873997533</v>
      </c>
    </row>
    <row r="25" spans="1:17">
      <c r="A25" s="476" t="s">
        <v>112</v>
      </c>
      <c r="B25" s="477">
        <f t="shared" ca="1" si="2"/>
        <v>257.86175896760523</v>
      </c>
      <c r="C25" s="477">
        <f t="shared" ca="1" si="3"/>
        <v>0</v>
      </c>
      <c r="D25" s="477">
        <f t="shared" si="4"/>
        <v>56.42493472000001</v>
      </c>
      <c r="E25" s="477">
        <f t="shared" si="5"/>
        <v>7.9201565457630378</v>
      </c>
      <c r="F25" s="477">
        <f t="shared" si="6"/>
        <v>1320.5124452278737</v>
      </c>
      <c r="G25" s="477">
        <f t="shared" si="7"/>
        <v>0</v>
      </c>
      <c r="H25" s="477">
        <f t="shared" si="8"/>
        <v>0</v>
      </c>
      <c r="I25" s="477">
        <f t="shared" si="9"/>
        <v>0</v>
      </c>
      <c r="J25" s="477">
        <f t="shared" si="10"/>
        <v>68.956628886513684</v>
      </c>
      <c r="K25" s="477">
        <f t="shared" si="11"/>
        <v>0</v>
      </c>
      <c r="L25" s="477">
        <f t="shared" si="12"/>
        <v>0</v>
      </c>
      <c r="M25" s="477">
        <f t="shared" si="13"/>
        <v>0</v>
      </c>
      <c r="N25" s="477">
        <f t="shared" si="14"/>
        <v>0</v>
      </c>
      <c r="O25" s="477">
        <f t="shared" si="15"/>
        <v>0</v>
      </c>
      <c r="P25" s="478">
        <f t="shared" si="16"/>
        <v>0</v>
      </c>
      <c r="Q25" s="476">
        <f t="shared" ca="1" si="17"/>
        <v>1711.6759243477557</v>
      </c>
    </row>
    <row r="26" spans="1:17">
      <c r="A26" s="476" t="s">
        <v>638</v>
      </c>
      <c r="B26" s="477">
        <f t="shared" ca="1" si="2"/>
        <v>277.52947035418583</v>
      </c>
      <c r="C26" s="477">
        <f t="shared" ca="1" si="3"/>
        <v>0</v>
      </c>
      <c r="D26" s="477">
        <f t="shared" si="4"/>
        <v>352.08991637600008</v>
      </c>
      <c r="E26" s="477">
        <f t="shared" si="5"/>
        <v>65.266793599916426</v>
      </c>
      <c r="F26" s="477">
        <f t="shared" si="6"/>
        <v>279.30392786051198</v>
      </c>
      <c r="G26" s="477">
        <f t="shared" si="7"/>
        <v>0</v>
      </c>
      <c r="H26" s="477">
        <f t="shared" si="8"/>
        <v>0</v>
      </c>
      <c r="I26" s="477">
        <f t="shared" si="9"/>
        <v>0</v>
      </c>
      <c r="J26" s="477">
        <f t="shared" si="10"/>
        <v>0.17632494760878961</v>
      </c>
      <c r="K26" s="477">
        <f t="shared" si="11"/>
        <v>0</v>
      </c>
      <c r="L26" s="477">
        <f t="shared" si="12"/>
        <v>0</v>
      </c>
      <c r="M26" s="477">
        <f t="shared" si="13"/>
        <v>0</v>
      </c>
      <c r="N26" s="477">
        <f t="shared" si="14"/>
        <v>0</v>
      </c>
      <c r="O26" s="477">
        <f t="shared" si="15"/>
        <v>0</v>
      </c>
      <c r="P26" s="478">
        <f t="shared" si="16"/>
        <v>0</v>
      </c>
      <c r="Q26" s="476">
        <f t="shared" ca="1" si="17"/>
        <v>974.3664331382231</v>
      </c>
    </row>
    <row r="27" spans="1:17" s="482" customFormat="1">
      <c r="A27" s="480" t="s">
        <v>564</v>
      </c>
      <c r="B27" s="780">
        <f t="shared" ca="1" si="2"/>
        <v>2.7331942889738703</v>
      </c>
      <c r="C27" s="481">
        <f t="shared" ca="1" si="3"/>
        <v>0</v>
      </c>
      <c r="D27" s="481">
        <f t="shared" si="4"/>
        <v>7.4362981732083213</v>
      </c>
      <c r="E27" s="481">
        <f t="shared" si="5"/>
        <v>31.603181144551595</v>
      </c>
      <c r="F27" s="481">
        <f t="shared" si="6"/>
        <v>0</v>
      </c>
      <c r="G27" s="481">
        <f t="shared" si="7"/>
        <v>11522.460936559473</v>
      </c>
      <c r="H27" s="481">
        <f t="shared" si="8"/>
        <v>2443.4599399800895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14007.693550146298</v>
      </c>
    </row>
    <row r="28" spans="1:17">
      <c r="A28" s="476" t="s">
        <v>554</v>
      </c>
      <c r="B28" s="477">
        <f t="shared" ca="1" si="2"/>
        <v>0</v>
      </c>
      <c r="C28" s="477">
        <f t="shared" ca="1" si="3"/>
        <v>0</v>
      </c>
      <c r="D28" s="477">
        <f t="shared" si="4"/>
        <v>0</v>
      </c>
      <c r="E28" s="477">
        <f t="shared" si="5"/>
        <v>0</v>
      </c>
      <c r="F28" s="477">
        <f t="shared" si="6"/>
        <v>0</v>
      </c>
      <c r="G28" s="477">
        <f t="shared" si="7"/>
        <v>451.14525267401342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451.14525267401342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93.556460831824921</v>
      </c>
      <c r="C32" s="477">
        <f t="shared" ca="1" si="3"/>
        <v>0</v>
      </c>
      <c r="D32" s="477">
        <f t="shared" si="4"/>
        <v>180.47912200000002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274.03558283182497</v>
      </c>
    </row>
    <row r="33" spans="1:17" s="486" customFormat="1">
      <c r="A33" s="1038" t="s">
        <v>558</v>
      </c>
      <c r="B33" s="978">
        <f ca="1">SUM(B22:B32)</f>
        <v>9796.3972552123232</v>
      </c>
      <c r="C33" s="978">
        <f t="shared" ref="C33:Q33" ca="1" si="18">SUM(C22:C32)</f>
        <v>0</v>
      </c>
      <c r="D33" s="978">
        <f t="shared" ca="1" si="18"/>
        <v>17638.36650276521</v>
      </c>
      <c r="E33" s="978">
        <f t="shared" si="18"/>
        <v>1527.4559612602061</v>
      </c>
      <c r="F33" s="978">
        <f t="shared" ca="1" si="18"/>
        <v>7556.4262641665882</v>
      </c>
      <c r="G33" s="978">
        <f t="shared" si="18"/>
        <v>11973.606189233487</v>
      </c>
      <c r="H33" s="978">
        <f t="shared" si="18"/>
        <v>2443.4599399800895</v>
      </c>
      <c r="I33" s="978">
        <f t="shared" si="18"/>
        <v>0</v>
      </c>
      <c r="J33" s="978">
        <f t="shared" si="18"/>
        <v>69.132953834122475</v>
      </c>
      <c r="K33" s="978">
        <f t="shared" si="18"/>
        <v>0</v>
      </c>
      <c r="L33" s="978">
        <f t="shared" ca="1" si="18"/>
        <v>0</v>
      </c>
      <c r="M33" s="978">
        <f t="shared" si="18"/>
        <v>0</v>
      </c>
      <c r="N33" s="978">
        <f t="shared" ca="1" si="18"/>
        <v>0</v>
      </c>
      <c r="O33" s="978">
        <f t="shared" si="18"/>
        <v>0</v>
      </c>
      <c r="P33" s="978">
        <f t="shared" si="18"/>
        <v>0</v>
      </c>
      <c r="Q33" s="978">
        <f t="shared" ca="1" si="18"/>
        <v>51004.845066452028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7076.8556752378199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7076.8556752378199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0.19057490539505645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0.19057490539505645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0.19057490539505645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0.19057490539505645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6949</v>
      </c>
      <c r="C9" s="342">
        <v>6883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1735.4</v>
      </c>
    </row>
    <row r="15" spans="1:6">
      <c r="A15" s="348" t="s">
        <v>184</v>
      </c>
      <c r="B15" s="334">
        <v>1511</v>
      </c>
    </row>
    <row r="16" spans="1:6">
      <c r="A16" s="348" t="s">
        <v>6</v>
      </c>
      <c r="B16" s="334">
        <v>1688</v>
      </c>
    </row>
    <row r="17" spans="1:6">
      <c r="A17" s="348" t="s">
        <v>7</v>
      </c>
      <c r="B17" s="334">
        <v>211</v>
      </c>
    </row>
    <row r="18" spans="1:6">
      <c r="A18" s="348" t="s">
        <v>8</v>
      </c>
      <c r="B18" s="334">
        <v>977</v>
      </c>
    </row>
    <row r="19" spans="1:6">
      <c r="A19" s="348" t="s">
        <v>9</v>
      </c>
      <c r="B19" s="334">
        <v>806</v>
      </c>
    </row>
    <row r="20" spans="1:6">
      <c r="A20" s="348" t="s">
        <v>10</v>
      </c>
      <c r="B20" s="334">
        <v>438</v>
      </c>
    </row>
    <row r="21" spans="1:6">
      <c r="A21" s="348" t="s">
        <v>11</v>
      </c>
      <c r="B21" s="334">
        <v>3550</v>
      </c>
    </row>
    <row r="22" spans="1:6">
      <c r="A22" s="348" t="s">
        <v>12</v>
      </c>
      <c r="B22" s="334">
        <v>10525</v>
      </c>
    </row>
    <row r="23" spans="1:6">
      <c r="A23" s="348" t="s">
        <v>13</v>
      </c>
      <c r="B23" s="334">
        <v>230</v>
      </c>
    </row>
    <row r="24" spans="1:6">
      <c r="A24" s="348" t="s">
        <v>14</v>
      </c>
      <c r="B24" s="334">
        <v>9</v>
      </c>
    </row>
    <row r="25" spans="1:6">
      <c r="A25" s="348" t="s">
        <v>15</v>
      </c>
      <c r="B25" s="334">
        <v>1046</v>
      </c>
    </row>
    <row r="26" spans="1:6">
      <c r="A26" s="348" t="s">
        <v>16</v>
      </c>
      <c r="B26" s="334">
        <v>156</v>
      </c>
    </row>
    <row r="27" spans="1:6">
      <c r="A27" s="348" t="s">
        <v>17</v>
      </c>
      <c r="B27" s="334">
        <v>4</v>
      </c>
    </row>
    <row r="28" spans="1:6" s="356" customFormat="1">
      <c r="A28" s="355" t="s">
        <v>18</v>
      </c>
      <c r="B28" s="355">
        <v>164402</v>
      </c>
    </row>
    <row r="29" spans="1:6">
      <c r="A29" s="355" t="s">
        <v>884</v>
      </c>
      <c r="B29" s="355">
        <v>75</v>
      </c>
      <c r="C29" s="356"/>
      <c r="D29" s="356"/>
      <c r="E29" s="356"/>
      <c r="F29" s="356"/>
    </row>
    <row r="30" spans="1:6">
      <c r="A30" s="355" t="s">
        <v>885</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70740</v>
      </c>
    </row>
    <row r="39" spans="1:6">
      <c r="A39" s="348" t="s">
        <v>30</v>
      </c>
      <c r="B39" s="348" t="s">
        <v>31</v>
      </c>
      <c r="C39" s="334">
        <v>4631</v>
      </c>
      <c r="D39" s="334">
        <v>73844957</v>
      </c>
      <c r="E39" s="334">
        <v>7016</v>
      </c>
      <c r="F39" s="334">
        <v>25672906</v>
      </c>
    </row>
    <row r="40" spans="1:6">
      <c r="A40" s="348" t="s">
        <v>30</v>
      </c>
      <c r="B40" s="348" t="s">
        <v>29</v>
      </c>
      <c r="C40" s="334">
        <v>0</v>
      </c>
      <c r="D40" s="334">
        <v>0</v>
      </c>
      <c r="E40" s="334">
        <v>0</v>
      </c>
      <c r="F40" s="334">
        <v>0</v>
      </c>
    </row>
    <row r="41" spans="1:6">
      <c r="A41" s="348" t="s">
        <v>32</v>
      </c>
      <c r="B41" s="348" t="s">
        <v>33</v>
      </c>
      <c r="C41" s="334">
        <v>42</v>
      </c>
      <c r="D41" s="334">
        <v>855279</v>
      </c>
      <c r="E41" s="334">
        <v>117</v>
      </c>
      <c r="F41" s="334">
        <v>1074949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340462</v>
      </c>
      <c r="E44" s="334">
        <v>16</v>
      </c>
      <c r="F44" s="334">
        <v>165676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265586</v>
      </c>
      <c r="E48" s="334">
        <v>6</v>
      </c>
      <c r="F48" s="334">
        <v>61439</v>
      </c>
    </row>
    <row r="49" spans="1:6">
      <c r="A49" s="348" t="s">
        <v>32</v>
      </c>
      <c r="B49" s="348" t="s">
        <v>40</v>
      </c>
      <c r="C49" s="334">
        <v>0</v>
      </c>
      <c r="D49" s="334">
        <v>0</v>
      </c>
      <c r="E49" s="334">
        <v>0</v>
      </c>
      <c r="F49" s="334">
        <v>0</v>
      </c>
    </row>
    <row r="50" spans="1:6">
      <c r="A50" s="348" t="s">
        <v>32</v>
      </c>
      <c r="B50" s="348" t="s">
        <v>41</v>
      </c>
      <c r="C50" s="334">
        <v>3</v>
      </c>
      <c r="D50" s="334">
        <v>471067</v>
      </c>
      <c r="E50" s="334">
        <v>5</v>
      </c>
      <c r="F50" s="334">
        <v>154211</v>
      </c>
    </row>
    <row r="51" spans="1:6">
      <c r="A51" s="348" t="s">
        <v>42</v>
      </c>
      <c r="B51" s="348" t="s">
        <v>43</v>
      </c>
      <c r="C51" s="334">
        <v>11</v>
      </c>
      <c r="D51" s="334">
        <v>309680</v>
      </c>
      <c r="E51" s="334">
        <v>61</v>
      </c>
      <c r="F51" s="334">
        <v>1353073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82</v>
      </c>
      <c r="F54" s="334">
        <v>1141592</v>
      </c>
    </row>
    <row r="55" spans="1:6">
      <c r="A55" s="348" t="s">
        <v>46</v>
      </c>
      <c r="B55" s="348" t="s">
        <v>29</v>
      </c>
      <c r="C55" s="334">
        <v>0</v>
      </c>
      <c r="D55" s="334">
        <v>0</v>
      </c>
      <c r="E55" s="334">
        <v>0</v>
      </c>
      <c r="F55" s="334">
        <v>0</v>
      </c>
    </row>
    <row r="56" spans="1:6">
      <c r="A56" s="348" t="s">
        <v>48</v>
      </c>
      <c r="B56" s="348" t="s">
        <v>29</v>
      </c>
      <c r="C56" s="334">
        <v>43</v>
      </c>
      <c r="D56" s="334">
        <v>893461</v>
      </c>
      <c r="E56" s="334">
        <v>127</v>
      </c>
      <c r="F56" s="334">
        <v>490917</v>
      </c>
    </row>
    <row r="57" spans="1:6">
      <c r="A57" s="348" t="s">
        <v>49</v>
      </c>
      <c r="B57" s="348" t="s">
        <v>50</v>
      </c>
      <c r="C57" s="334">
        <v>43</v>
      </c>
      <c r="D57" s="334">
        <v>1171992</v>
      </c>
      <c r="E57" s="334">
        <v>95</v>
      </c>
      <c r="F57" s="334">
        <v>2703405</v>
      </c>
    </row>
    <row r="58" spans="1:6">
      <c r="A58" s="348" t="s">
        <v>49</v>
      </c>
      <c r="B58" s="348" t="s">
        <v>51</v>
      </c>
      <c r="C58" s="334">
        <v>38</v>
      </c>
      <c r="D58" s="334">
        <v>3385351</v>
      </c>
      <c r="E58" s="334">
        <v>51</v>
      </c>
      <c r="F58" s="334">
        <v>1356738</v>
      </c>
    </row>
    <row r="59" spans="1:6">
      <c r="A59" s="348" t="s">
        <v>49</v>
      </c>
      <c r="B59" s="348" t="s">
        <v>52</v>
      </c>
      <c r="C59" s="334">
        <v>86</v>
      </c>
      <c r="D59" s="334">
        <v>3386483</v>
      </c>
      <c r="E59" s="334">
        <v>165</v>
      </c>
      <c r="F59" s="334">
        <v>4708396</v>
      </c>
    </row>
    <row r="60" spans="1:6">
      <c r="A60" s="348" t="s">
        <v>49</v>
      </c>
      <c r="B60" s="348" t="s">
        <v>53</v>
      </c>
      <c r="C60" s="334">
        <v>47</v>
      </c>
      <c r="D60" s="334">
        <v>2840241</v>
      </c>
      <c r="E60" s="334">
        <v>61</v>
      </c>
      <c r="F60" s="334">
        <v>1814820</v>
      </c>
    </row>
    <row r="61" spans="1:6">
      <c r="A61" s="348" t="s">
        <v>49</v>
      </c>
      <c r="B61" s="348" t="s">
        <v>54</v>
      </c>
      <c r="C61" s="334">
        <v>144</v>
      </c>
      <c r="D61" s="334">
        <v>6119387</v>
      </c>
      <c r="E61" s="334">
        <v>320</v>
      </c>
      <c r="F61" s="334">
        <v>3940291</v>
      </c>
    </row>
    <row r="62" spans="1:6">
      <c r="A62" s="348" t="s">
        <v>49</v>
      </c>
      <c r="B62" s="348" t="s">
        <v>55</v>
      </c>
      <c r="C62" s="334">
        <v>13</v>
      </c>
      <c r="D62" s="334">
        <v>2783763</v>
      </c>
      <c r="E62" s="334">
        <v>17</v>
      </c>
      <c r="F62" s="334">
        <v>711430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51701</v>
      </c>
      <c r="E68" s="334">
        <v>8</v>
      </c>
      <c r="F68" s="334">
        <v>77410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38027217</v>
      </c>
      <c r="E73" s="475">
        <v>38854571.112193324</v>
      </c>
    </row>
    <row r="74" spans="1:6">
      <c r="A74" s="348" t="s">
        <v>64</v>
      </c>
      <c r="B74" s="348" t="s">
        <v>667</v>
      </c>
      <c r="C74" s="1294" t="s">
        <v>669</v>
      </c>
      <c r="D74" s="475">
        <v>3727710.8162784134</v>
      </c>
      <c r="E74" s="475">
        <v>3800770.8510518023</v>
      </c>
    </row>
    <row r="75" spans="1:6">
      <c r="A75" s="348" t="s">
        <v>65</v>
      </c>
      <c r="B75" s="348" t="s">
        <v>666</v>
      </c>
      <c r="C75" s="1294" t="s">
        <v>670</v>
      </c>
      <c r="D75" s="475">
        <v>23175004</v>
      </c>
      <c r="E75" s="475">
        <v>23718035.638614967</v>
      </c>
    </row>
    <row r="76" spans="1:6">
      <c r="A76" s="348" t="s">
        <v>65</v>
      </c>
      <c r="B76" s="348" t="s">
        <v>667</v>
      </c>
      <c r="C76" s="1294" t="s">
        <v>671</v>
      </c>
      <c r="D76" s="475">
        <v>360727.81627841358</v>
      </c>
      <c r="E76" s="475">
        <v>375205.84012157499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467902.36744317284</v>
      </c>
      <c r="C83" s="475">
        <v>467902.36744317284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6040.2602280265664</v>
      </c>
    </row>
    <row r="92" spans="1:6">
      <c r="A92" s="341" t="s">
        <v>69</v>
      </c>
      <c r="B92" s="342">
        <v>1036.5954472112535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14</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302</v>
      </c>
    </row>
    <row r="130" spans="1:6">
      <c r="A130" s="348" t="s">
        <v>295</v>
      </c>
      <c r="B130" s="334">
        <v>0</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51404.445065338819</v>
      </c>
      <c r="C3" s="43" t="s">
        <v>170</v>
      </c>
      <c r="D3" s="43"/>
      <c r="E3" s="154"/>
      <c r="F3" s="43"/>
      <c r="G3" s="43"/>
      <c r="H3" s="43"/>
      <c r="I3" s="43"/>
      <c r="J3" s="43"/>
      <c r="K3" s="96"/>
    </row>
    <row r="4" spans="1:11">
      <c r="A4" s="383" t="s">
        <v>171</v>
      </c>
      <c r="B4" s="49">
        <f>IF(ISERROR('SEAP template'!B78+'SEAP template'!C78),0,'SEAP template'!B78+'SEAP template'!C78)</f>
        <v>7076.8556752378199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0.19057490539505645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1141.5920000000001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1141.5920000000001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0.19057490539505645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217.5587873997533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25672.905999999999</v>
      </c>
      <c r="C5" s="17">
        <f>IF(ISERROR('Eigen informatie GS &amp; warmtenet'!B57),0,'Eigen informatie GS &amp; warmtenet'!B57)</f>
        <v>0</v>
      </c>
      <c r="D5" s="30">
        <f>(SUM(HH_hh_gas_kWh,HH_rest_gas_kWh)/1000)*0.902</f>
        <v>66608.151213999998</v>
      </c>
      <c r="E5" s="17">
        <f>B46*B57</f>
        <v>6001.5115391964455</v>
      </c>
      <c r="F5" s="17">
        <f>B51*B62</f>
        <v>18392.931666854834</v>
      </c>
      <c r="G5" s="18"/>
      <c r="H5" s="17"/>
      <c r="I5" s="17"/>
      <c r="J5" s="17">
        <f>B50*B61+C50*C61</f>
        <v>0</v>
      </c>
      <c r="K5" s="17"/>
      <c r="L5" s="17"/>
      <c r="M5" s="17"/>
      <c r="N5" s="17">
        <f>B48*B59+C48*C59</f>
        <v>16213.240407140642</v>
      </c>
      <c r="O5" s="17">
        <f>B69*B70*B71</f>
        <v>495.57666666666671</v>
      </c>
      <c r="P5" s="17">
        <f>B77*B78*B79/1000-B77*B78*B79/1000/B80</f>
        <v>915.2</v>
      </c>
    </row>
    <row r="6" spans="1:16">
      <c r="A6" s="16" t="s">
        <v>624</v>
      </c>
      <c r="B6" s="788">
        <f>kWh_PV_kleiner_dan_10kW</f>
        <v>6040.2602280265664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31713.166228026566</v>
      </c>
      <c r="C8" s="21">
        <f>C5</f>
        <v>0</v>
      </c>
      <c r="D8" s="21">
        <f>D5</f>
        <v>66608.151213999998</v>
      </c>
      <c r="E8" s="21">
        <f>E5</f>
        <v>6001.5115391964455</v>
      </c>
      <c r="F8" s="21">
        <f>F5</f>
        <v>18392.931666854834</v>
      </c>
      <c r="G8" s="21"/>
      <c r="H8" s="21"/>
      <c r="I8" s="21"/>
      <c r="J8" s="21">
        <f>J5</f>
        <v>0</v>
      </c>
      <c r="K8" s="21"/>
      <c r="L8" s="21">
        <f>L5</f>
        <v>0</v>
      </c>
      <c r="M8" s="21">
        <f>M5</f>
        <v>0</v>
      </c>
      <c r="N8" s="21">
        <f>N5</f>
        <v>16213.240407140642</v>
      </c>
      <c r="O8" s="21">
        <f>O5</f>
        <v>495.57666666666671</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0.19057490539505645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6043.733653683862</v>
      </c>
      <c r="C12" s="23">
        <f ca="1">C10*C8</f>
        <v>0</v>
      </c>
      <c r="D12" s="23">
        <f>D8*D10</f>
        <v>13454.846545228</v>
      </c>
      <c r="E12" s="23">
        <f>E10*E8</f>
        <v>1362.3431193975932</v>
      </c>
      <c r="F12" s="23">
        <f>F10*F8</f>
        <v>4910.9127550502408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6949</v>
      </c>
      <c r="C28" s="36"/>
      <c r="D28" s="228"/>
    </row>
    <row r="29" spans="1:7" s="15" customFormat="1">
      <c r="A29" s="230" t="s">
        <v>699</v>
      </c>
      <c r="B29" s="37">
        <f>SUM(HH_hh_gas_aantal,HH_rest_gas_aantal)</f>
        <v>4631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4631</v>
      </c>
      <c r="C32" s="167">
        <f>IF(ISERROR(B32/SUM($B$32,$B$34,$B$35,$B$36,$B$38,$B$39)*100),0,B32/SUM($B$32,$B$34,$B$35,$B$36,$B$38,$B$39)*100)</f>
        <v>67.106216490363707</v>
      </c>
      <c r="D32" s="233"/>
      <c r="G32" s="15"/>
    </row>
    <row r="33" spans="1:7">
      <c r="A33" s="171" t="s">
        <v>72</v>
      </c>
      <c r="B33" s="34" t="s">
        <v>111</v>
      </c>
      <c r="C33" s="167"/>
      <c r="D33" s="233"/>
      <c r="G33" s="15"/>
    </row>
    <row r="34" spans="1:7">
      <c r="A34" s="171" t="s">
        <v>73</v>
      </c>
      <c r="B34" s="33">
        <f>IF((($B$28-$B$32-$B$39-$B$77-$B$38)*C20/100)&lt;0,0,($B$28-$B$32-$B$39-$B$77-$B$38)*C20/100)</f>
        <v>265.34358974358975</v>
      </c>
      <c r="C34" s="167">
        <f>IF(ISERROR(B34/SUM($B$32,$B$34,$B$35,$B$36,$B$38,$B$39)*100),0,B34/SUM($B$32,$B$34,$B$35,$B$36,$B$38,$B$39)*100)</f>
        <v>3.8450020249759418</v>
      </c>
      <c r="D34" s="233"/>
      <c r="G34" s="15"/>
    </row>
    <row r="35" spans="1:7">
      <c r="A35" s="171" t="s">
        <v>74</v>
      </c>
      <c r="B35" s="33">
        <f>IF((($B$28-$B$32-$B$39-$B$77-$B$38)*C21/100)&lt;0,0,($B$28-$B$32-$B$39-$B$77-$B$38)*C21/100)</f>
        <v>996.65641025641014</v>
      </c>
      <c r="C35" s="167">
        <f>IF(ISERROR(B35/SUM($B$32,$B$34,$B$35,$B$36,$B$38,$B$39)*100),0,B35/SUM($B$32,$B$34,$B$35,$B$36,$B$38,$B$39)*100)</f>
        <v>14.442202727958414</v>
      </c>
      <c r="D35" s="233"/>
      <c r="G35" s="15"/>
    </row>
    <row r="36" spans="1:7">
      <c r="A36" s="171" t="s">
        <v>75</v>
      </c>
      <c r="B36" s="33">
        <f>IF((($B$28-$B$32-$B$39-$B$77-$B$38)*C22/100)&lt;0,0,($B$28-$B$32-$B$39-$B$77-$B$38)*C22/100)</f>
        <v>252.39999999999998</v>
      </c>
      <c r="C36" s="167">
        <f>IF(ISERROR(B36/SUM($B$32,$B$34,$B$35,$B$36,$B$38,$B$39)*100),0,B36/SUM($B$32,$B$34,$B$35,$B$36,$B$38,$B$39)*100)</f>
        <v>3.6574409505868708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755.59999999999991</v>
      </c>
      <c r="C39" s="167">
        <f>IF(ISERROR(B39/SUM($B$32,$B$34,$B$35,$B$36,$B$38,$B$39)*100),0,B39/SUM($B$32,$B$34,$B$35,$B$36,$B$38,$B$39)*100)</f>
        <v>10.949137806115054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4631</v>
      </c>
      <c r="C44" s="34" t="s">
        <v>111</v>
      </c>
      <c r="D44" s="174"/>
    </row>
    <row r="45" spans="1:7">
      <c r="A45" s="171" t="s">
        <v>72</v>
      </c>
      <c r="B45" s="33" t="str">
        <f t="shared" si="0"/>
        <v>-</v>
      </c>
      <c r="C45" s="34" t="s">
        <v>111</v>
      </c>
      <c r="D45" s="174"/>
    </row>
    <row r="46" spans="1:7">
      <c r="A46" s="171" t="s">
        <v>73</v>
      </c>
      <c r="B46" s="33">
        <f t="shared" si="0"/>
        <v>265.34358974358975</v>
      </c>
      <c r="C46" s="34" t="s">
        <v>111</v>
      </c>
      <c r="D46" s="174"/>
    </row>
    <row r="47" spans="1:7">
      <c r="A47" s="171" t="s">
        <v>74</v>
      </c>
      <c r="B47" s="33">
        <f t="shared" si="0"/>
        <v>996.65641025641014</v>
      </c>
      <c r="C47" s="34" t="s">
        <v>111</v>
      </c>
      <c r="D47" s="174"/>
    </row>
    <row r="48" spans="1:7">
      <c r="A48" s="171" t="s">
        <v>75</v>
      </c>
      <c r="B48" s="33">
        <f t="shared" si="0"/>
        <v>252.39999999999998</v>
      </c>
      <c r="C48" s="33">
        <f>B48*10</f>
        <v>2524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15235.08</v>
      </c>
      <c r="C5" s="17">
        <f>IF(ISERROR('Eigen informatie GS &amp; warmtenet'!B58),0,'Eigen informatie GS &amp; warmtenet'!B58)</f>
        <v>0</v>
      </c>
      <c r="D5" s="30">
        <f>SUM(D6:D12)</f>
        <v>17757.869734</v>
      </c>
      <c r="E5" s="17">
        <f>SUM(E6:E12)</f>
        <v>265.73881309419261</v>
      </c>
      <c r="F5" s="17">
        <f>SUM(F6:F12)</f>
        <v>3916.4686742620279</v>
      </c>
      <c r="G5" s="18"/>
      <c r="H5" s="17"/>
      <c r="I5" s="17"/>
      <c r="J5" s="17">
        <f>SUM(J6:J12)</f>
        <v>0</v>
      </c>
      <c r="K5" s="17"/>
      <c r="L5" s="17"/>
      <c r="M5" s="17"/>
      <c r="N5" s="17">
        <f>SUM(N6:N12)</f>
        <v>2157.7043704889697</v>
      </c>
      <c r="O5" s="17">
        <f>B38*B39*B40</f>
        <v>0</v>
      </c>
      <c r="P5" s="17">
        <f>B46*B47*B48/1000-B46*B47*B48/1000/B49</f>
        <v>19.066666666666666</v>
      </c>
      <c r="R5" s="32"/>
    </row>
    <row r="6" spans="1:18">
      <c r="A6" s="32" t="s">
        <v>54</v>
      </c>
      <c r="B6" s="37">
        <f>B26</f>
        <v>3940.2910000000002</v>
      </c>
      <c r="C6" s="33"/>
      <c r="D6" s="37">
        <f>IF(ISERROR(TER_kantoor_gas_kWh/1000),0,TER_kantoor_gas_kWh/1000)*0.902</f>
        <v>5519.6870739999995</v>
      </c>
      <c r="E6" s="33">
        <f>$C$26*'E Balans VL '!I12/100/3.6*1000000</f>
        <v>51.583262924700939</v>
      </c>
      <c r="F6" s="33">
        <f>$C$26*('E Balans VL '!L12+'E Balans VL '!N12)/100/3.6*1000000</f>
        <v>1004.7334875538023</v>
      </c>
      <c r="G6" s="34"/>
      <c r="H6" s="33"/>
      <c r="I6" s="33"/>
      <c r="J6" s="33">
        <f>$C$26*('E Balans VL '!D12+'E Balans VL '!E12)/100/3.6*1000000</f>
        <v>0</v>
      </c>
      <c r="K6" s="33"/>
      <c r="L6" s="33"/>
      <c r="M6" s="33"/>
      <c r="N6" s="33">
        <f>$C$26*'E Balans VL '!Y12/100/3.6*1000000</f>
        <v>3.9535597188894451</v>
      </c>
      <c r="O6" s="33"/>
      <c r="P6" s="33"/>
      <c r="R6" s="32"/>
    </row>
    <row r="7" spans="1:18">
      <c r="A7" s="32" t="s">
        <v>53</v>
      </c>
      <c r="B7" s="37">
        <f t="shared" ref="B7:B12" si="0">B27</f>
        <v>1814.82</v>
      </c>
      <c r="C7" s="33"/>
      <c r="D7" s="37">
        <f>IF(ISERROR(TER_horeca_gas_kWh/1000),0,TER_horeca_gas_kWh/1000)*0.902</f>
        <v>2561.8973820000001</v>
      </c>
      <c r="E7" s="33">
        <f>$C$27*'E Balans VL '!I9/100/3.6*1000000</f>
        <v>60.059502820259674</v>
      </c>
      <c r="F7" s="33">
        <f>$C$27*('E Balans VL '!L9+'E Balans VL '!N9)/100/3.6*1000000</f>
        <v>780.36564476728495</v>
      </c>
      <c r="G7" s="34"/>
      <c r="H7" s="33"/>
      <c r="I7" s="33"/>
      <c r="J7" s="33">
        <f>$C$27*('E Balans VL '!D9+'E Balans VL '!E9)/100/3.6*1000000</f>
        <v>0</v>
      </c>
      <c r="K7" s="33"/>
      <c r="L7" s="33"/>
      <c r="M7" s="33"/>
      <c r="N7" s="33">
        <f>$C$27*'E Balans VL '!Y9/100/3.6*1000000</f>
        <v>0.43685352807851979</v>
      </c>
      <c r="O7" s="33"/>
      <c r="P7" s="33"/>
      <c r="R7" s="32"/>
    </row>
    <row r="8" spans="1:18">
      <c r="A8" s="6" t="s">
        <v>52</v>
      </c>
      <c r="B8" s="37">
        <f t="shared" si="0"/>
        <v>4708.3959999999997</v>
      </c>
      <c r="C8" s="33"/>
      <c r="D8" s="37">
        <f>IF(ISERROR(TER_handel_gas_kWh/1000),0,TER_handel_gas_kWh/1000)*0.902</f>
        <v>3054.6076660000003</v>
      </c>
      <c r="E8" s="33">
        <f>$C$28*'E Balans VL '!I13/100/3.6*1000000</f>
        <v>148.60417197494075</v>
      </c>
      <c r="F8" s="33">
        <f>$C$28*('E Balans VL '!L13+'E Balans VL '!N13)/100/3.6*1000000</f>
        <v>923.39936530606894</v>
      </c>
      <c r="G8" s="34"/>
      <c r="H8" s="33"/>
      <c r="I8" s="33"/>
      <c r="J8" s="33">
        <f>$C$28*('E Balans VL '!D13+'E Balans VL '!E13)/100/3.6*1000000</f>
        <v>0</v>
      </c>
      <c r="K8" s="33"/>
      <c r="L8" s="33"/>
      <c r="M8" s="33"/>
      <c r="N8" s="33">
        <f>$C$28*'E Balans VL '!Y13/100/3.6*1000000</f>
        <v>5.5879519281388088</v>
      </c>
      <c r="O8" s="33"/>
      <c r="P8" s="33"/>
      <c r="R8" s="32"/>
    </row>
    <row r="9" spans="1:18">
      <c r="A9" s="32" t="s">
        <v>51</v>
      </c>
      <c r="B9" s="37">
        <f t="shared" si="0"/>
        <v>1356.7380000000001</v>
      </c>
      <c r="C9" s="33"/>
      <c r="D9" s="37">
        <f>IF(ISERROR(TER_gezond_gas_kWh/1000),0,TER_gezond_gas_kWh/1000)*0.902</f>
        <v>3053.5866020000003</v>
      </c>
      <c r="E9" s="33">
        <f>$C$29*'E Balans VL '!I10/100/3.6*1000000</f>
        <v>0.17370215448953244</v>
      </c>
      <c r="F9" s="33">
        <f>$C$29*('E Balans VL '!L10+'E Balans VL '!N10)/100/3.6*1000000</f>
        <v>282.66539150098191</v>
      </c>
      <c r="G9" s="34"/>
      <c r="H9" s="33"/>
      <c r="I9" s="33"/>
      <c r="J9" s="33">
        <f>$C$29*('E Balans VL '!D10+'E Balans VL '!E10)/100/3.6*1000000</f>
        <v>0</v>
      </c>
      <c r="K9" s="33"/>
      <c r="L9" s="33"/>
      <c r="M9" s="33"/>
      <c r="N9" s="33">
        <f>$C$29*'E Balans VL '!Y10/100/3.6*1000000</f>
        <v>15.935529088685033</v>
      </c>
      <c r="O9" s="33"/>
      <c r="P9" s="33"/>
      <c r="R9" s="32"/>
    </row>
    <row r="10" spans="1:18">
      <c r="A10" s="32" t="s">
        <v>50</v>
      </c>
      <c r="B10" s="37">
        <f t="shared" si="0"/>
        <v>2703.4050000000002</v>
      </c>
      <c r="C10" s="33"/>
      <c r="D10" s="37">
        <f>IF(ISERROR(TER_ander_gas_kWh/1000),0,TER_ander_gas_kWh/1000)*0.902</f>
        <v>1057.136784</v>
      </c>
      <c r="E10" s="33">
        <f>$C$30*'E Balans VL '!I14/100/3.6*1000000</f>
        <v>4.0652853721737889</v>
      </c>
      <c r="F10" s="33">
        <f>$C$30*('E Balans VL '!L14+'E Balans VL '!N14)/100/3.6*1000000</f>
        <v>596.8246808293311</v>
      </c>
      <c r="G10" s="34"/>
      <c r="H10" s="33"/>
      <c r="I10" s="33"/>
      <c r="J10" s="33">
        <f>$C$30*('E Balans VL '!D14+'E Balans VL '!E14)/100/3.6*1000000</f>
        <v>0</v>
      </c>
      <c r="K10" s="33"/>
      <c r="L10" s="33"/>
      <c r="M10" s="33"/>
      <c r="N10" s="33">
        <f>$C$30*'E Balans VL '!Y14/100/3.6*1000000</f>
        <v>2130.46507229697</v>
      </c>
      <c r="O10" s="33"/>
      <c r="P10" s="33"/>
      <c r="R10" s="32"/>
    </row>
    <row r="11" spans="1:18">
      <c r="A11" s="32" t="s">
        <v>55</v>
      </c>
      <c r="B11" s="37">
        <f t="shared" si="0"/>
        <v>711.43</v>
      </c>
      <c r="C11" s="33"/>
      <c r="D11" s="37">
        <f>IF(ISERROR(TER_onderwijs_gas_kWh/1000),0,TER_onderwijs_gas_kWh/1000)*0.902</f>
        <v>2510.9542259999998</v>
      </c>
      <c r="E11" s="33">
        <f>$C$31*'E Balans VL '!I11/100/3.6*1000000</f>
        <v>1.252887847627923</v>
      </c>
      <c r="F11" s="33">
        <f>$C$31*('E Balans VL '!L11+'E Balans VL '!N11)/100/3.6*1000000</f>
        <v>328.48010430455849</v>
      </c>
      <c r="G11" s="34"/>
      <c r="H11" s="33"/>
      <c r="I11" s="33"/>
      <c r="J11" s="33">
        <f>$C$31*('E Balans VL '!D11+'E Balans VL '!E11)/100/3.6*1000000</f>
        <v>0</v>
      </c>
      <c r="K11" s="33"/>
      <c r="L11" s="33"/>
      <c r="M11" s="33"/>
      <c r="N11" s="33">
        <f>$C$31*'E Balans VL '!Y11/100/3.6*1000000</f>
        <v>1.3254039282080379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15235.08</v>
      </c>
      <c r="C16" s="21">
        <f t="shared" ca="1" si="1"/>
        <v>0</v>
      </c>
      <c r="D16" s="21">
        <f t="shared" ca="1" si="1"/>
        <v>17757.869734</v>
      </c>
      <c r="E16" s="21">
        <f t="shared" si="1"/>
        <v>265.73881309419261</v>
      </c>
      <c r="F16" s="21">
        <f t="shared" ca="1" si="1"/>
        <v>3916.4686742620279</v>
      </c>
      <c r="G16" s="21">
        <f t="shared" si="1"/>
        <v>0</v>
      </c>
      <c r="H16" s="21">
        <f t="shared" si="1"/>
        <v>0</v>
      </c>
      <c r="I16" s="21">
        <f t="shared" si="1"/>
        <v>0</v>
      </c>
      <c r="J16" s="21">
        <f t="shared" si="1"/>
        <v>0</v>
      </c>
      <c r="K16" s="21">
        <f t="shared" si="1"/>
        <v>0</v>
      </c>
      <c r="L16" s="21">
        <f t="shared" ca="1" si="1"/>
        <v>0</v>
      </c>
      <c r="M16" s="21">
        <f t="shared" si="1"/>
        <v>0</v>
      </c>
      <c r="N16" s="21">
        <f t="shared" ca="1" si="1"/>
        <v>2157.7043704889697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0.19057490539505645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2903.4239296861165</v>
      </c>
      <c r="C20" s="23">
        <f t="shared" ref="C20:P20" ca="1" si="2">C16*C18</f>
        <v>0</v>
      </c>
      <c r="D20" s="23">
        <f t="shared" ca="1" si="2"/>
        <v>3587.0896862680002</v>
      </c>
      <c r="E20" s="23">
        <f t="shared" si="2"/>
        <v>60.322710572381723</v>
      </c>
      <c r="F20" s="23">
        <f t="shared" ca="1" si="2"/>
        <v>1045.6971360279615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3940.2910000000002</v>
      </c>
      <c r="C26" s="39">
        <f>IF(ISERROR(B26*3.6/1000000/'E Balans VL '!Z12*100),0,B26*3.6/1000000/'E Balans VL '!Z12*100)</f>
        <v>8.4404094312880387E-2</v>
      </c>
      <c r="D26" s="237" t="s">
        <v>660</v>
      </c>
      <c r="F26" s="6"/>
    </row>
    <row r="27" spans="1:18">
      <c r="A27" s="231" t="s">
        <v>53</v>
      </c>
      <c r="B27" s="33">
        <f>IF(ISERROR(TER_horeca_ele_kWh/1000),0,TER_horeca_ele_kWh/1000)</f>
        <v>1814.82</v>
      </c>
      <c r="C27" s="39">
        <f>IF(ISERROR(B27*3.6/1000000/'E Balans VL '!Z9*100),0,B27*3.6/1000000/'E Balans VL '!Z9*100)</f>
        <v>0.14563299675006935</v>
      </c>
      <c r="D27" s="237" t="s">
        <v>660</v>
      </c>
      <c r="F27" s="6"/>
    </row>
    <row r="28" spans="1:18">
      <c r="A28" s="171" t="s">
        <v>52</v>
      </c>
      <c r="B28" s="33">
        <f>IF(ISERROR(TER_handel_ele_kWh/1000),0,TER_handel_ele_kWh/1000)</f>
        <v>4708.3959999999997</v>
      </c>
      <c r="C28" s="39">
        <f>IF(ISERROR(B28*3.6/1000000/'E Balans VL '!Z13*100),0,B28*3.6/1000000/'E Balans VL '!Z13*100)</f>
        <v>0.13887067571773706</v>
      </c>
      <c r="D28" s="237" t="s">
        <v>660</v>
      </c>
      <c r="F28" s="6"/>
    </row>
    <row r="29" spans="1:18">
      <c r="A29" s="231" t="s">
        <v>51</v>
      </c>
      <c r="B29" s="33">
        <f>IF(ISERROR(TER_gezond_ele_kWh/1000),0,TER_gezond_ele_kWh/1000)</f>
        <v>1356.7380000000001</v>
      </c>
      <c r="C29" s="39">
        <f>IF(ISERROR(B29*3.6/1000000/'E Balans VL '!Z10*100),0,B29*3.6/1000000/'E Balans VL '!Z10*100)</f>
        <v>0.14486324289014962</v>
      </c>
      <c r="D29" s="237" t="s">
        <v>660</v>
      </c>
      <c r="F29" s="6"/>
    </row>
    <row r="30" spans="1:18">
      <c r="A30" s="231" t="s">
        <v>50</v>
      </c>
      <c r="B30" s="33">
        <f>IF(ISERROR(TER_ander_ele_kWh/1000),0,TER_ander_ele_kWh/1000)</f>
        <v>2703.4050000000002</v>
      </c>
      <c r="C30" s="39">
        <f>IF(ISERROR(B30*3.6/1000000/'E Balans VL '!Z14*100),0,B30*3.6/1000000/'E Balans VL '!Z14*100)</f>
        <v>0.20419879549322725</v>
      </c>
      <c r="D30" s="237" t="s">
        <v>660</v>
      </c>
      <c r="F30" s="6"/>
    </row>
    <row r="31" spans="1:18">
      <c r="A31" s="231" t="s">
        <v>55</v>
      </c>
      <c r="B31" s="33">
        <f>IF(ISERROR(TER_onderwijs_ele_kWh/1000),0,TER_onderwijs_ele_kWh/1000)</f>
        <v>711.43</v>
      </c>
      <c r="C31" s="39">
        <f>IF(ISERROR(B31*3.6/1000000/'E Balans VL '!Z11*100),0,B31*3.6/1000000/'E Balans VL '!Z11*100)</f>
        <v>0.1436614663681387</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1456.2750000000001</v>
      </c>
      <c r="C5" s="17">
        <f>IF(ISERROR('Eigen informatie GS &amp; warmtenet'!B59),0,'Eigen informatie GS &amp; warmtenet'!B59)</f>
        <v>0</v>
      </c>
      <c r="D5" s="30">
        <f>SUM(D6:D15)</f>
        <v>1743.0193880000002</v>
      </c>
      <c r="E5" s="17">
        <f>SUM(E6:E15)</f>
        <v>287.51891453707674</v>
      </c>
      <c r="F5" s="17">
        <f>SUM(F6:F15)</f>
        <v>1046.0821268183968</v>
      </c>
      <c r="G5" s="18"/>
      <c r="H5" s="17"/>
      <c r="I5" s="17"/>
      <c r="J5" s="17">
        <f>SUM(J6:J15)</f>
        <v>0.49809307234121358</v>
      </c>
      <c r="K5" s="17"/>
      <c r="L5" s="17"/>
      <c r="M5" s="17"/>
      <c r="N5" s="17">
        <f>SUM(N6:N15)</f>
        <v>414.68206870637141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165.67599999999999</v>
      </c>
      <c r="C8" s="33"/>
      <c r="D8" s="37">
        <f>IF( ISERROR(IND_metaal_Gas_kWH/1000),0,IND_metaal_Gas_kWH/1000)*0.902</f>
        <v>307.09672399999999</v>
      </c>
      <c r="E8" s="33">
        <f>C30*'E Balans VL '!I18/100/3.6*1000000</f>
        <v>5.9615236838756109</v>
      </c>
      <c r="F8" s="33">
        <f>C30*'E Balans VL '!L18/100/3.6*1000000+C30*'E Balans VL '!N18/100/3.6*1000000</f>
        <v>72.345338561906246</v>
      </c>
      <c r="G8" s="34"/>
      <c r="H8" s="33"/>
      <c r="I8" s="33"/>
      <c r="J8" s="40">
        <f>C30*'E Balans VL '!D18/100/3.6*1000000+C30*'E Balans VL '!E18/100/3.6*1000000</f>
        <v>0</v>
      </c>
      <c r="K8" s="33"/>
      <c r="L8" s="33"/>
      <c r="M8" s="33"/>
      <c r="N8" s="33">
        <f>C30*'E Balans VL '!Y18/100/3.6*1000000</f>
        <v>8.3035685312281373</v>
      </c>
      <c r="O8" s="33"/>
      <c r="P8" s="33"/>
      <c r="R8" s="32"/>
    </row>
    <row r="9" spans="1:18">
      <c r="A9" s="6" t="s">
        <v>33</v>
      </c>
      <c r="B9" s="37">
        <f t="shared" si="0"/>
        <v>1074.9490000000001</v>
      </c>
      <c r="C9" s="33"/>
      <c r="D9" s="37">
        <f>IF( ISERROR(IND_andere_gas_kWh/1000),0,IND_andere_gas_kWh/1000)*0.902</f>
        <v>771.46165800000006</v>
      </c>
      <c r="E9" s="33">
        <f>C31*'E Balans VL '!I19/100/3.6*1000000</f>
        <v>274.30266339765785</v>
      </c>
      <c r="F9" s="33">
        <f>C31*'E Balans VL '!L19/100/3.6*1000000+C31*'E Balans VL '!N19/100/3.6*1000000</f>
        <v>925.45029269206941</v>
      </c>
      <c r="G9" s="34"/>
      <c r="H9" s="33"/>
      <c r="I9" s="33"/>
      <c r="J9" s="40">
        <f>C31*'E Balans VL '!D19/100/3.6*1000000+C31*'E Balans VL '!E19/100/3.6*1000000</f>
        <v>0</v>
      </c>
      <c r="K9" s="33"/>
      <c r="L9" s="33"/>
      <c r="M9" s="33"/>
      <c r="N9" s="33">
        <f>C31*'E Balans VL '!Y19/100/3.6*1000000</f>
        <v>336.17336545852874</v>
      </c>
      <c r="O9" s="33"/>
      <c r="P9" s="33"/>
      <c r="R9" s="32"/>
    </row>
    <row r="10" spans="1:18">
      <c r="A10" s="6" t="s">
        <v>41</v>
      </c>
      <c r="B10" s="37">
        <f t="shared" si="0"/>
        <v>154.21100000000001</v>
      </c>
      <c r="C10" s="33"/>
      <c r="D10" s="37">
        <f>IF( ISERROR(IND_voed_gas_kWh/1000),0,IND_voed_gas_kWh/1000)*0.902</f>
        <v>424.90243400000003</v>
      </c>
      <c r="E10" s="33">
        <f>C32*'E Balans VL '!I20/100/3.6*1000000</f>
        <v>3.9202553690554778</v>
      </c>
      <c r="F10" s="33">
        <f>C32*'E Balans VL '!L20/100/3.6*1000000+C32*'E Balans VL '!N20/100/3.6*1000000</f>
        <v>34.895634393252315</v>
      </c>
      <c r="G10" s="34"/>
      <c r="H10" s="33"/>
      <c r="I10" s="33"/>
      <c r="J10" s="40">
        <f>C32*'E Balans VL '!D20/100/3.6*1000000+C32*'E Balans VL '!E20/100/3.6*1000000</f>
        <v>0</v>
      </c>
      <c r="K10" s="33"/>
      <c r="L10" s="33"/>
      <c r="M10" s="33"/>
      <c r="N10" s="33">
        <f>C32*'E Balans VL '!Y20/100/3.6*1000000</f>
        <v>57.833305053571813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61.439</v>
      </c>
      <c r="C15" s="33"/>
      <c r="D15" s="37">
        <f>IF( ISERROR(IND_rest_gas_kWh/1000),0,IND_rest_gas_kWh/1000)*0.902</f>
        <v>239.55857200000003</v>
      </c>
      <c r="E15" s="33">
        <f>C37*'E Balans VL '!I15/100/3.6*1000000</f>
        <v>3.3344720864877635</v>
      </c>
      <c r="F15" s="33">
        <f>C37*'E Balans VL '!L15/100/3.6*1000000+C37*'E Balans VL '!N15/100/3.6*1000000</f>
        <v>13.39086117116871</v>
      </c>
      <c r="G15" s="34"/>
      <c r="H15" s="33"/>
      <c r="I15" s="33"/>
      <c r="J15" s="40">
        <f>C37*'E Balans VL '!D15/100/3.6*1000000+C37*'E Balans VL '!E15/100/3.6*1000000</f>
        <v>0.49809307234121358</v>
      </c>
      <c r="K15" s="33"/>
      <c r="L15" s="33"/>
      <c r="M15" s="33"/>
      <c r="N15" s="33">
        <f>C37*'E Balans VL '!Y15/100/3.6*1000000</f>
        <v>12.371829663042798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1456.2750000000001</v>
      </c>
      <c r="C18" s="21">
        <f>C5+C16</f>
        <v>0</v>
      </c>
      <c r="D18" s="21">
        <f>MAX((D5+D16),0)</f>
        <v>1743.0193880000002</v>
      </c>
      <c r="E18" s="21">
        <f>MAX((E5+E16),0)</f>
        <v>287.51891453707674</v>
      </c>
      <c r="F18" s="21">
        <f>MAX((F5+F16),0)</f>
        <v>1046.0821268183968</v>
      </c>
      <c r="G18" s="21"/>
      <c r="H18" s="21"/>
      <c r="I18" s="21"/>
      <c r="J18" s="21">
        <f>MAX((J5+J16),0)</f>
        <v>0.49809307234121358</v>
      </c>
      <c r="K18" s="21"/>
      <c r="L18" s="21">
        <f>MAX((L5+L16),0)</f>
        <v>0</v>
      </c>
      <c r="M18" s="21"/>
      <c r="N18" s="21">
        <f>MAX((N5+N16),0)</f>
        <v>414.68206870637141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0.19057490539505645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277.52947035418583</v>
      </c>
      <c r="C22" s="23">
        <f ca="1">C18*C20</f>
        <v>0</v>
      </c>
      <c r="D22" s="23">
        <f>D18*D20</f>
        <v>352.08991637600008</v>
      </c>
      <c r="E22" s="23">
        <f>E18*E20</f>
        <v>65.266793599916426</v>
      </c>
      <c r="F22" s="23">
        <f>F18*F20</f>
        <v>279.30392786051198</v>
      </c>
      <c r="G22" s="23"/>
      <c r="H22" s="23"/>
      <c r="I22" s="23"/>
      <c r="J22" s="23">
        <f>J18*J20</f>
        <v>0.17632494760878961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165.67599999999999</v>
      </c>
      <c r="C30" s="39">
        <f>IF(ISERROR(B30*3.6/1000000/'E Balans VL '!Z18*100),0,B30*3.6/1000000/'E Balans VL '!Z18*100)</f>
        <v>3.5103192400174878E-2</v>
      </c>
      <c r="D30" s="237" t="s">
        <v>660</v>
      </c>
    </row>
    <row r="31" spans="1:18">
      <c r="A31" s="6" t="s">
        <v>33</v>
      </c>
      <c r="B31" s="37">
        <f>IF( ISERROR(IND_ander_ele_kWh/1000),0,IND_ander_ele_kWh/1000)</f>
        <v>1074.9490000000001</v>
      </c>
      <c r="C31" s="39">
        <f>IF(ISERROR(B31*3.6/1000000/'E Balans VL '!Z19*100),0,B31*3.6/1000000/'E Balans VL '!Z19*100)</f>
        <v>4.5247044259217495E-2</v>
      </c>
      <c r="D31" s="237" t="s">
        <v>660</v>
      </c>
    </row>
    <row r="32" spans="1:18">
      <c r="A32" s="171" t="s">
        <v>41</v>
      </c>
      <c r="B32" s="37">
        <f>IF( ISERROR(IND_voed_ele_kWh/1000),0,IND_voed_ele_kWh/1000)</f>
        <v>154.21100000000001</v>
      </c>
      <c r="C32" s="39">
        <f>IF(ISERROR(B32*3.6/1000000/'E Balans VL '!Z20*100),0,B32*3.6/1000000/'E Balans VL '!Z20*100)</f>
        <v>2.5762692327465014E-2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61.439</v>
      </c>
      <c r="C37" s="39">
        <f>IF(ISERROR(B37*3.6/1000000/'E Balans VL '!Z15*100),0,B37*3.6/1000000/'E Balans VL '!Z15*100)</f>
        <v>4.9602083727119716E-4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1353.0730000000001</v>
      </c>
      <c r="C5" s="17">
        <f>'Eigen informatie GS &amp; warmtenet'!B60</f>
        <v>0</v>
      </c>
      <c r="D5" s="30">
        <f>IF(ISERROR(SUM(LB_lb_gas_kWh,LB_rest_gas_kWh)/1000),0,SUM(LB_lb_gas_kWh,LB_rest_gas_kWh)/1000)*0.902</f>
        <v>279.33136000000002</v>
      </c>
      <c r="E5" s="17">
        <f>B17*'E Balans VL '!I25/3.6*1000000/100</f>
        <v>34.890557470321752</v>
      </c>
      <c r="F5" s="17">
        <f>B17*('E Balans VL '!L25/3.6*1000000+'E Balans VL '!N25/3.6*1000000)/100</f>
        <v>4945.7394952354816</v>
      </c>
      <c r="G5" s="18"/>
      <c r="H5" s="17"/>
      <c r="I5" s="17"/>
      <c r="J5" s="17">
        <f>('E Balans VL '!D25+'E Balans VL '!E25)/3.6*1000000*landbouw!B17/100</f>
        <v>194.79273696755277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1353.0730000000001</v>
      </c>
      <c r="C8" s="21">
        <f>C5+C6</f>
        <v>0</v>
      </c>
      <c r="D8" s="21">
        <f>MAX((D5+D6),0)</f>
        <v>279.33136000000002</v>
      </c>
      <c r="E8" s="21">
        <f>MAX((E5+E6),0)</f>
        <v>34.890557470321752</v>
      </c>
      <c r="F8" s="21">
        <f>MAX((F5+F6),0)</f>
        <v>4945.7394952354816</v>
      </c>
      <c r="G8" s="21"/>
      <c r="H8" s="21"/>
      <c r="I8" s="21"/>
      <c r="J8" s="21">
        <f>MAX((J5+J6),0)</f>
        <v>194.79273696755277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0.19057490539505645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257.86175896760523</v>
      </c>
      <c r="C12" s="23">
        <f ca="1">C8*C10</f>
        <v>0</v>
      </c>
      <c r="D12" s="23">
        <f>D8*D10</f>
        <v>56.42493472000001</v>
      </c>
      <c r="E12" s="23">
        <f>E8*E10</f>
        <v>7.9201565457630378</v>
      </c>
      <c r="F12" s="23">
        <f>F8*F10</f>
        <v>1320.5124452278737</v>
      </c>
      <c r="G12" s="23"/>
      <c r="H12" s="23"/>
      <c r="I12" s="23"/>
      <c r="J12" s="23">
        <f>J8*J10</f>
        <v>68.956628886513684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0.19079225555458579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394.0553810808097</v>
      </c>
      <c r="C26" s="247">
        <f>B26*'GWP N2O_CH4'!B5</f>
        <v>8275.1630026970033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151.28163723172696</v>
      </c>
      <c r="C27" s="247">
        <f>B27*'GWP N2O_CH4'!B5</f>
        <v>3176.914381866266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5.7301036491522241</v>
      </c>
      <c r="C28" s="247">
        <f>B28*'GWP N2O_CH4'!B4</f>
        <v>1776.3321312371895</v>
      </c>
      <c r="D28" s="50"/>
    </row>
    <row r="29" spans="1:4">
      <c r="A29" s="41" t="s">
        <v>277</v>
      </c>
      <c r="B29" s="247">
        <f>B34*'ha_N2O bodem landbouw'!B4</f>
        <v>11.448573700778617</v>
      </c>
      <c r="C29" s="247">
        <f>B29*'GWP N2O_CH4'!B4</f>
        <v>3549.0578472413713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2.5765512162675792E-3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5.1630614324110122E-5</v>
      </c>
      <c r="C5" s="463" t="s">
        <v>211</v>
      </c>
      <c r="D5" s="448">
        <f>SUM(D6:D11)</f>
        <v>1.3252808625519778E-4</v>
      </c>
      <c r="E5" s="448">
        <f>SUM(E6:E11)</f>
        <v>5.0119582431887993E-4</v>
      </c>
      <c r="F5" s="461" t="s">
        <v>211</v>
      </c>
      <c r="G5" s="448">
        <f>SUM(G6:G11)</f>
        <v>0.15535902386372324</v>
      </c>
      <c r="H5" s="448">
        <f>SUM(H6:H11)</f>
        <v>3.5327131662362739E-2</v>
      </c>
      <c r="I5" s="463" t="s">
        <v>211</v>
      </c>
      <c r="J5" s="463" t="s">
        <v>211</v>
      </c>
      <c r="K5" s="463" t="s">
        <v>211</v>
      </c>
      <c r="L5" s="463" t="s">
        <v>211</v>
      </c>
      <c r="M5" s="448">
        <f>SUM(M6:M11)</f>
        <v>5.9531944770340618E-3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3.2080021650623498E-5</v>
      </c>
      <c r="C6" s="449"/>
      <c r="D6" s="892">
        <f>vkm_2011_GW_PW*SUMIFS(TableVerdeelsleutelVkm[CNG],TableVerdeelsleutelVkm[Voertuigtype],"Lichte voertuigen")*SUMIFS(TableECFTransport[EnergieConsumptieFactor (PJ per km)],TableECFTransport[Index],CONCATENATE($A6,"_CNG_CNG"))</f>
        <v>6.3743564950593647E-5</v>
      </c>
      <c r="E6" s="892">
        <f>vkm_2011_GW_PW*SUMIFS(TableVerdeelsleutelVkm[LPG],TableVerdeelsleutelVkm[Voertuigtype],"Lichte voertuigen")*SUMIFS(TableECFTransport[EnergieConsumptieFactor (PJ per km)],TableECFTransport[Index],CONCATENATE($A6,"_LPG_LPG"))</f>
        <v>2.508537784356561E-4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5.9644421216954915E-2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1.725730071488131E-2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2.3963286674843248E-3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3.5719661952655433E-2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1.1538976522766507E-5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1.1254718943283387E-3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1.9550592673486623E-5</v>
      </c>
      <c r="C8" s="449"/>
      <c r="D8" s="451">
        <f>vkm_2011_NGW_PW*SUMIFS(TableVerdeelsleutelVkm[CNG],TableVerdeelsleutelVkm[Voertuigtype],"Lichte voertuigen")*SUMIFS(TableECFTransport[EnergieConsumptieFactor (PJ per km)],TableECFTransport[Index],CONCATENATE($A8,"_CNG_CNG"))</f>
        <v>6.8784521304604123E-5</v>
      </c>
      <c r="E8" s="451">
        <f>vkm_2011_NGW_PW*SUMIFS(TableVerdeelsleutelVkm[LPG],TableVerdeelsleutelVkm[Voertuigtype],"Lichte voertuigen")*SUMIFS(TableECFTransport[EnergieConsumptieFactor (PJ per km)],TableECFTransport[Index],CONCATENATE($A8,"_LPG_LPG"))</f>
        <v>2.5034204588322389E-4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5.5582971557200316E-2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1.805694407697778E-2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2.2923818386566324E-3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4.4119691369125776E-3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1.3478939808779145E-6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1.390120765647661E-4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14.341837312252812</v>
      </c>
      <c r="C14" s="21"/>
      <c r="D14" s="21">
        <f t="shared" ref="D14:M14" si="0">((D5)*10^9/3600)+D12</f>
        <v>36.813357293110499</v>
      </c>
      <c r="E14" s="21">
        <f t="shared" si="0"/>
        <v>139.22106231079997</v>
      </c>
      <c r="F14" s="21"/>
      <c r="G14" s="21">
        <f t="shared" si="0"/>
        <v>43155.284406589788</v>
      </c>
      <c r="H14" s="21">
        <f t="shared" si="0"/>
        <v>9813.0921284340948</v>
      </c>
      <c r="I14" s="21"/>
      <c r="J14" s="21"/>
      <c r="K14" s="21"/>
      <c r="L14" s="21"/>
      <c r="M14" s="21">
        <f t="shared" si="0"/>
        <v>1653.6651325094617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0.19057490539505645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2.7331942889738703</v>
      </c>
      <c r="C18" s="23"/>
      <c r="D18" s="23">
        <f t="shared" ref="D18:M18" si="1">D14*D16</f>
        <v>7.4362981732083213</v>
      </c>
      <c r="E18" s="23">
        <f t="shared" si="1"/>
        <v>31.603181144551595</v>
      </c>
      <c r="F18" s="23"/>
      <c r="G18" s="23">
        <f t="shared" si="1"/>
        <v>11522.460936559473</v>
      </c>
      <c r="H18" s="23">
        <f t="shared" si="1"/>
        <v>2443.4599399800895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6.0828573394249002E-3</v>
      </c>
      <c r="H50" s="321">
        <f t="shared" si="2"/>
        <v>0</v>
      </c>
      <c r="I50" s="321">
        <f t="shared" si="2"/>
        <v>0</v>
      </c>
      <c r="J50" s="321">
        <f t="shared" si="2"/>
        <v>0</v>
      </c>
      <c r="K50" s="321">
        <f t="shared" si="2"/>
        <v>0</v>
      </c>
      <c r="L50" s="321">
        <f t="shared" si="2"/>
        <v>0</v>
      </c>
      <c r="M50" s="321">
        <f t="shared" si="2"/>
        <v>1.8867662620947599E-4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6.0828573394249002E-3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1.8867662620947599E-4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1689.6825942846945</v>
      </c>
      <c r="H54" s="21">
        <f t="shared" si="3"/>
        <v>0</v>
      </c>
      <c r="I54" s="21">
        <f t="shared" si="3"/>
        <v>0</v>
      </c>
      <c r="J54" s="21">
        <f t="shared" si="3"/>
        <v>0</v>
      </c>
      <c r="K54" s="21">
        <f t="shared" si="3"/>
        <v>0</v>
      </c>
      <c r="L54" s="21">
        <f t="shared" si="3"/>
        <v>0</v>
      </c>
      <c r="M54" s="21">
        <f t="shared" si="3"/>
        <v>52.410173947076665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0.19057490539505645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451.14525267401342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7076.8556752378199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7076.8556752378199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2019-08-12T08:26:24Z</dcterms:modified>
</cp:coreProperties>
</file>