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O20" s="1"/>
  <c r="K19" i="18"/>
  <c r="N89" i="14" s="1"/>
  <c r="J19" i="18"/>
  <c r="I19"/>
  <c r="I89" i="14" s="1"/>
  <c r="I19" i="59" s="1"/>
  <c r="H19" i="18"/>
  <c r="G19"/>
  <c r="H89" i="14" s="1"/>
  <c r="H19" i="59" s="1"/>
  <c r="F19" i="18"/>
  <c r="E19"/>
  <c r="D19"/>
  <c r="E89" i="14" s="1"/>
  <c r="E19" i="59" s="1"/>
  <c r="C19" i="18"/>
  <c r="D89" i="14" s="1"/>
  <c r="D19" i="59" s="1"/>
  <c r="B19" i="18"/>
  <c r="N18"/>
  <c r="L88" i="14" s="1"/>
  <c r="M18" i="18"/>
  <c r="K88" i="14" s="1"/>
  <c r="L18" i="18"/>
  <c r="K18"/>
  <c r="J18"/>
  <c r="J88" i="14" s="1"/>
  <c r="J18" i="59" s="1"/>
  <c r="I18" i="18"/>
  <c r="H18"/>
  <c r="G18"/>
  <c r="F18"/>
  <c r="F20" s="1"/>
  <c r="E18"/>
  <c r="F88" i="14" s="1"/>
  <c r="F18" i="59" s="1"/>
  <c r="D18" i="18"/>
  <c r="C18"/>
  <c r="B18"/>
  <c r="L9"/>
  <c r="L10" s="1"/>
  <c r="K9"/>
  <c r="I9"/>
  <c r="I77" i="14" s="1"/>
  <c r="I9" i="59" s="1"/>
  <c r="G9" i="18"/>
  <c r="H77" i="14" s="1"/>
  <c r="H9" i="59" s="1"/>
  <c r="F9" i="18"/>
  <c r="D9"/>
  <c r="D10" s="1"/>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T89"/>
  <c r="S89"/>
  <c r="E9" s="1"/>
  <c r="F77" i="14" s="1"/>
  <c r="F9" i="59" s="1"/>
  <c r="R89" i="18"/>
  <c r="Q89"/>
  <c r="P89"/>
  <c r="C9" s="1"/>
  <c r="D77" i="14" s="1"/>
  <c r="D9" i="59" s="1"/>
  <c r="O89" i="18"/>
  <c r="N89"/>
  <c r="B9" s="1"/>
  <c r="M89"/>
  <c r="W61"/>
  <c r="V61"/>
  <c r="U61"/>
  <c r="T61"/>
  <c r="S61"/>
  <c r="F6" i="17" s="1"/>
  <c r="R61" i="18"/>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74" i="14" s="1"/>
  <c r="B6" i="59" s="1"/>
  <c r="B5" i="18"/>
  <c r="B73" i="14" s="1"/>
  <c r="B5" i="59" s="1"/>
  <c r="B4" i="18"/>
  <c r="N6" i="17"/>
  <c r="L6"/>
  <c r="D6"/>
  <c r="D5"/>
  <c r="B19" i="6"/>
  <c r="B18"/>
  <c r="B5"/>
  <c r="C29" i="14" s="1"/>
  <c r="B6" i="6"/>
  <c r="D14" i="48"/>
  <c r="P7"/>
  <c r="O7"/>
  <c r="O25" s="1"/>
  <c r="M7"/>
  <c r="K7"/>
  <c r="I7"/>
  <c r="H7"/>
  <c r="G7"/>
  <c r="P10"/>
  <c r="O10"/>
  <c r="N10"/>
  <c r="L10"/>
  <c r="K10"/>
  <c r="J10"/>
  <c r="I10"/>
  <c r="H10"/>
  <c r="F10"/>
  <c r="E10"/>
  <c r="D10"/>
  <c r="C10"/>
  <c r="P9"/>
  <c r="P27" s="1"/>
  <c r="O9"/>
  <c r="O27" s="1"/>
  <c r="N9"/>
  <c r="L9"/>
  <c r="K9"/>
  <c r="J9"/>
  <c r="I9"/>
  <c r="F9"/>
  <c r="C9"/>
  <c r="P13"/>
  <c r="O13"/>
  <c r="N13"/>
  <c r="L13"/>
  <c r="K13"/>
  <c r="J13"/>
  <c r="I13"/>
  <c r="F13"/>
  <c r="E13"/>
  <c r="D13"/>
  <c r="C13"/>
  <c r="B13"/>
  <c r="M8"/>
  <c r="K8"/>
  <c r="I8"/>
  <c r="H8"/>
  <c r="G8"/>
  <c r="B12"/>
  <c r="P17"/>
  <c r="P32" s="1"/>
  <c r="O17"/>
  <c r="M4"/>
  <c r="L4"/>
  <c r="K4"/>
  <c r="I4"/>
  <c r="H4"/>
  <c r="G4"/>
  <c r="P11"/>
  <c r="P29" s="1"/>
  <c r="O11"/>
  <c r="N11"/>
  <c r="M11"/>
  <c r="L11"/>
  <c r="K11"/>
  <c r="J11"/>
  <c r="I11"/>
  <c r="H11"/>
  <c r="G11"/>
  <c r="F11"/>
  <c r="E11"/>
  <c r="D11"/>
  <c r="C11"/>
  <c r="B11"/>
  <c r="Q11" s="1"/>
  <c r="O32"/>
  <c r="P31"/>
  <c r="O31"/>
  <c r="Q12"/>
  <c r="O29"/>
  <c r="P28"/>
  <c r="O28"/>
  <c r="P25"/>
  <c r="M89" i="14"/>
  <c r="M19" i="59" s="1"/>
  <c r="L89" i="14"/>
  <c r="L19" i="59" s="1"/>
  <c r="K89" i="14"/>
  <c r="K19" i="59" s="1"/>
  <c r="J89" i="14"/>
  <c r="J19" i="59" s="1"/>
  <c r="G89" i="14"/>
  <c r="G19" i="59" s="1"/>
  <c r="O88" i="14"/>
  <c r="O18" i="59" s="1"/>
  <c r="N88" i="14"/>
  <c r="N18" i="59"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O77" i="14"/>
  <c r="N77"/>
  <c r="N9" i="59" s="1"/>
  <c r="L77" i="14"/>
  <c r="L9" i="59" s="1"/>
  <c r="K77" i="14"/>
  <c r="K9" i="59" s="1"/>
  <c r="G77" i="14"/>
  <c r="G9" i="59" s="1"/>
  <c r="E77" i="14"/>
  <c r="E9" i="59" s="1"/>
  <c r="O76" i="14"/>
  <c r="O8" i="59" s="1"/>
  <c r="N76" i="14"/>
  <c r="N8" i="59" s="1"/>
  <c r="L76" i="14"/>
  <c r="K76"/>
  <c r="K8" i="59" s="1"/>
  <c r="H76" i="14"/>
  <c r="G76"/>
  <c r="G8" i="59" s="1"/>
  <c r="G10" s="1"/>
  <c r="E76" i="14"/>
  <c r="E8" i="59" s="1"/>
  <c r="E10" s="1"/>
  <c r="B75" i="14"/>
  <c r="B7" i="59" s="1"/>
  <c r="B72" i="14"/>
  <c r="B4" i="59" s="1"/>
  <c r="C64" i="14"/>
  <c r="Q54"/>
  <c r="Q56" s="1"/>
  <c r="P54"/>
  <c r="P56" s="1"/>
  <c r="L54"/>
  <c r="L56" s="1"/>
  <c r="J54"/>
  <c r="I54"/>
  <c r="H54"/>
  <c r="Q24"/>
  <c r="Q26" s="1"/>
  <c r="P24"/>
  <c r="P26" s="1"/>
  <c r="N24"/>
  <c r="L24"/>
  <c r="J24"/>
  <c r="I24"/>
  <c r="H24"/>
  <c r="H26" s="1"/>
  <c r="Q50"/>
  <c r="P50"/>
  <c r="O50"/>
  <c r="M50"/>
  <c r="L50"/>
  <c r="K50"/>
  <c r="J50"/>
  <c r="G50"/>
  <c r="D50"/>
  <c r="Q49"/>
  <c r="P49"/>
  <c r="Q20"/>
  <c r="P20"/>
  <c r="O20"/>
  <c r="O22" s="1"/>
  <c r="M20"/>
  <c r="L20"/>
  <c r="K20"/>
  <c r="J20"/>
  <c r="G20"/>
  <c r="G22" s="1"/>
  <c r="D20"/>
  <c r="Q19"/>
  <c r="P19"/>
  <c r="O19"/>
  <c r="M19"/>
  <c r="L19"/>
  <c r="L22" s="1"/>
  <c r="K19"/>
  <c r="J19"/>
  <c r="I19"/>
  <c r="G19"/>
  <c r="F19"/>
  <c r="E19"/>
  <c r="D19"/>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K78"/>
  <c r="J56"/>
  <c r="H56"/>
  <c r="I56"/>
  <c r="Q52"/>
  <c r="P52"/>
  <c r="R44"/>
  <c r="E25"/>
  <c r="E55" s="1"/>
  <c r="C25"/>
  <c r="B14" i="48" s="1"/>
  <c r="N26" i="14"/>
  <c r="L26"/>
  <c r="J26"/>
  <c r="I26"/>
  <c r="D22"/>
  <c r="P22"/>
  <c r="M22"/>
  <c r="R12"/>
  <c r="N19" i="59" l="1"/>
  <c r="N90" i="14"/>
  <c r="L18" i="59"/>
  <c r="L20" s="1"/>
  <c r="L90" i="14"/>
  <c r="K18" i="59"/>
  <c r="K20" s="1"/>
  <c r="K90" i="14"/>
  <c r="H10" i="59"/>
  <c r="L78" i="14"/>
  <c r="L8" i="59"/>
  <c r="L10" s="1"/>
  <c r="H90" i="14"/>
  <c r="H18" i="59"/>
  <c r="H78" i="14"/>
  <c r="H8" i="59"/>
  <c r="E20"/>
  <c r="N20"/>
  <c r="K10"/>
  <c r="H20"/>
  <c r="C98" i="18"/>
  <c r="I101" s="1"/>
  <c r="H8" s="1"/>
  <c r="D13" i="15"/>
  <c r="O90" i="14"/>
  <c r="B10" i="18"/>
  <c r="G20"/>
  <c r="C13" i="15"/>
  <c r="O78" i="14"/>
  <c r="O9" i="59"/>
  <c r="R9" i="14"/>
  <c r="R25"/>
  <c r="O10" i="59"/>
  <c r="G78" i="14"/>
  <c r="N10" i="59"/>
  <c r="B8" i="18"/>
  <c r="O19"/>
  <c r="L13" i="15"/>
  <c r="N13"/>
  <c r="Q77" i="14"/>
  <c r="P9" i="59" s="1"/>
  <c r="O9" i="18"/>
  <c r="O18"/>
  <c r="B89" i="14"/>
  <c r="B19" i="59" s="1"/>
  <c r="G88" i="14"/>
  <c r="F89"/>
  <c r="E101" i="18"/>
  <c r="E8" s="1"/>
  <c r="H101"/>
  <c r="D101"/>
  <c r="G101"/>
  <c r="C101"/>
  <c r="F101"/>
  <c r="I102"/>
  <c r="H17" s="1"/>
  <c r="E102"/>
  <c r="E17" s="1"/>
  <c r="H102"/>
  <c r="D102"/>
  <c r="G102"/>
  <c r="C102"/>
  <c r="F102"/>
  <c r="B102"/>
  <c r="C17" s="1"/>
  <c r="B88" i="14"/>
  <c r="B18" i="59" s="1"/>
  <c r="B77" i="14"/>
  <c r="B9" i="59" s="1"/>
  <c r="Q14" i="48"/>
  <c r="O24"/>
  <c r="O30"/>
  <c r="P24"/>
  <c r="P30"/>
  <c r="C77" i="14"/>
  <c r="C9" i="59" s="1"/>
  <c r="C88" i="14"/>
  <c r="C18" i="59" s="1"/>
  <c r="E78" i="14"/>
  <c r="E90"/>
  <c r="N78"/>
  <c r="G90" l="1"/>
  <c r="G18" i="59"/>
  <c r="G20" s="1"/>
  <c r="C89" i="14"/>
  <c r="C19" i="59" s="1"/>
  <c r="F19"/>
  <c r="B101" i="18"/>
  <c r="C8" s="1"/>
  <c r="Q88" i="14"/>
  <c r="P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H5" i="48" l="1"/>
  <c r="I10" i="14"/>
  <c r="I16" s="1"/>
  <c r="G5" i="48"/>
  <c r="H10" i="14"/>
  <c r="H16" s="1"/>
  <c r="M90"/>
  <c r="M17" i="59"/>
  <c r="M20" s="1"/>
  <c r="M78" i="14"/>
  <c r="M8" i="59"/>
  <c r="M10" s="1"/>
  <c r="F90" i="14"/>
  <c r="F17" i="59"/>
  <c r="F20" s="1"/>
  <c r="I76" i="14"/>
  <c r="I8" i="59" s="1"/>
  <c r="I10" s="1"/>
  <c r="I10" i="18"/>
  <c r="Q87" i="14"/>
  <c r="D90"/>
  <c r="F78"/>
  <c r="J87"/>
  <c r="J20" i="18"/>
  <c r="J10"/>
  <c r="J76" i="14"/>
  <c r="I87"/>
  <c r="I17" i="59" s="1"/>
  <c r="I20" s="1"/>
  <c r="I20" i="18"/>
  <c r="Q76" i="14"/>
  <c r="D78"/>
  <c r="B24" i="44"/>
  <c r="B23"/>
  <c r="J78" i="14" l="1"/>
  <c r="J8" i="59"/>
  <c r="J10" s="1"/>
  <c r="Q90" i="14"/>
  <c r="B17" i="6" s="1"/>
  <c r="P17" i="59"/>
  <c r="P20" s="1"/>
  <c r="Q78" i="14"/>
  <c r="B9" i="6" s="1"/>
  <c r="P8" i="59"/>
  <c r="P10" s="1"/>
  <c r="J90" i="14"/>
  <c r="J17" i="59"/>
  <c r="J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29"/>
  <c r="J31"/>
  <c r="J30"/>
  <c r="J24"/>
  <c r="P4"/>
  <c r="Q11" i="14"/>
  <c r="O4" i="48"/>
  <c r="P11" i="14"/>
  <c r="I27" i="48"/>
  <c r="I32"/>
  <c r="I31"/>
  <c r="I26"/>
  <c r="I28"/>
  <c r="I24"/>
  <c r="I22"/>
  <c r="I29"/>
  <c r="I25"/>
  <c r="I30"/>
  <c r="D4"/>
  <c r="D22" s="1"/>
  <c r="E11" i="14"/>
  <c r="H32" i="48"/>
  <c r="H28"/>
  <c r="H25"/>
  <c r="H29"/>
  <c r="H24"/>
  <c r="H26"/>
  <c r="H22"/>
  <c r="H30"/>
  <c r="H23"/>
  <c r="C4"/>
  <c r="D11" i="14"/>
  <c r="G32" i="48"/>
  <c r="G25"/>
  <c r="G29"/>
  <c r="G26"/>
  <c r="G30"/>
  <c r="G24"/>
  <c r="G22"/>
  <c r="G23"/>
  <c r="B4"/>
  <c r="C11" i="14"/>
  <c r="F32" i="48"/>
  <c r="F31"/>
  <c r="F29"/>
  <c r="F27"/>
  <c r="F30"/>
  <c r="F28"/>
  <c r="F24"/>
  <c r="N32"/>
  <c r="N31"/>
  <c r="N27"/>
  <c r="N29"/>
  <c r="N30"/>
  <c r="N24"/>
  <c r="N28"/>
  <c r="B10"/>
  <c r="C19" i="14"/>
  <c r="E31" i="48"/>
  <c r="E29"/>
  <c r="E28"/>
  <c r="E32"/>
  <c r="E30"/>
  <c r="E24"/>
  <c r="M29"/>
  <c r="M32"/>
  <c r="M25"/>
  <c r="M26"/>
  <c r="M22"/>
  <c r="M24"/>
  <c r="M30"/>
  <c r="M23"/>
  <c r="L10" i="14"/>
  <c r="L16" s="1"/>
  <c r="L27" s="1"/>
  <c r="K5" i="48"/>
  <c r="D29"/>
  <c r="D30"/>
  <c r="D28"/>
  <c r="D24"/>
  <c r="D31"/>
  <c r="D32"/>
  <c r="L29"/>
  <c r="L32"/>
  <c r="L28"/>
  <c r="L24"/>
  <c r="L22"/>
  <c r="L31"/>
  <c r="L30"/>
  <c r="L27"/>
  <c r="P5"/>
  <c r="P23" s="1"/>
  <c r="Q10" i="14"/>
  <c r="K28" i="48"/>
  <c r="K32"/>
  <c r="K25"/>
  <c r="K27"/>
  <c r="K30"/>
  <c r="K26"/>
  <c r="K24"/>
  <c r="K29"/>
  <c r="K22"/>
  <c r="K31"/>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O22" i="48"/>
  <c r="H18" i="14"/>
  <c r="G13" i="48"/>
  <c r="H13"/>
  <c r="H31" s="1"/>
  <c r="I18" i="14"/>
  <c r="K23" i="48"/>
  <c r="K15"/>
  <c r="C22" i="14"/>
  <c r="P8" i="48"/>
  <c r="P26" s="1"/>
  <c r="Q13" i="14"/>
  <c r="Q16" s="1"/>
  <c r="Q27" s="1"/>
  <c r="Q63" s="1"/>
  <c r="F20"/>
  <c r="F22" s="1"/>
  <c r="E9" i="48"/>
  <c r="E27" s="1"/>
  <c r="E20" i="14"/>
  <c r="E22" s="1"/>
  <c r="D9" i="48"/>
  <c r="D27" s="1"/>
  <c r="O5"/>
  <c r="O23" s="1"/>
  <c r="P10" i="14"/>
  <c r="J7" i="48"/>
  <c r="J25" s="1"/>
  <c r="K24" i="14"/>
  <c r="K26" s="1"/>
  <c r="C20"/>
  <c r="B9" i="48"/>
  <c r="P15"/>
  <c r="P22"/>
  <c r="P33" s="1"/>
  <c r="F4"/>
  <c r="F22" s="1"/>
  <c r="G11" i="14"/>
  <c r="I5" i="48"/>
  <c r="J10" i="14"/>
  <c r="J16" s="1"/>
  <c r="J27" s="1"/>
  <c r="J63" s="1"/>
  <c r="K33" i="48"/>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F11"/>
  <c r="R11" s="1"/>
  <c r="E4" i="48"/>
  <c r="N4"/>
  <c r="N22" s="1"/>
  <c r="O11" i="14"/>
  <c r="K11"/>
  <c r="J4" i="48"/>
  <c r="E7"/>
  <c r="E25" s="1"/>
  <c r="F24" i="14"/>
  <c r="F26" s="1"/>
  <c r="N20"/>
  <c r="N22" s="1"/>
  <c r="N27" s="1"/>
  <c r="M9" i="48"/>
  <c r="O22" i="16"/>
  <c r="P43" i="14" s="1"/>
  <c r="P46" s="1"/>
  <c r="P61" s="1"/>
  <c r="P63" s="1"/>
  <c r="O8" i="48"/>
  <c r="O26" s="1"/>
  <c r="O33" s="1"/>
  <c r="P13" i="14"/>
  <c r="P16" s="1"/>
  <c r="P27" s="1"/>
  <c r="I23" i="48"/>
  <c r="I33" s="1"/>
  <c r="I15"/>
  <c r="R18" i="14"/>
  <c r="I20"/>
  <c r="I22" s="1"/>
  <c r="I27" s="1"/>
  <c r="H9" i="48"/>
  <c r="G31"/>
  <c r="Q13"/>
  <c r="M10"/>
  <c r="M28" s="1"/>
  <c r="N19" i="14"/>
  <c r="G10" i="48"/>
  <c r="H19" i="14"/>
  <c r="R19" s="1"/>
  <c r="N52"/>
  <c r="N61" s="1"/>
  <c r="G14" i="22"/>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H52" l="1"/>
  <c r="H61" s="1"/>
  <c r="H20"/>
  <c r="R20" s="1"/>
  <c r="R22" s="1"/>
  <c r="G9" i="48"/>
  <c r="M27"/>
  <c r="M33" s="1"/>
  <c r="M15"/>
  <c r="E22"/>
  <c r="Q4"/>
  <c r="H27"/>
  <c r="H33" s="1"/>
  <c r="H15"/>
  <c r="E5"/>
  <c r="E23" s="1"/>
  <c r="F10" i="14"/>
  <c r="J22" i="48"/>
  <c r="J5"/>
  <c r="J23" s="1"/>
  <c r="K10" i="14"/>
  <c r="G28" i="48"/>
  <c r="Q10"/>
  <c r="N63" i="14"/>
  <c r="O15" i="48"/>
  <c r="Q7"/>
  <c r="E20" i="15"/>
  <c r="F40" i="14" s="1"/>
  <c r="J18" i="16"/>
  <c r="E18"/>
  <c r="F18"/>
  <c r="F22" s="1"/>
  <c r="G43" i="14" s="1"/>
  <c r="N18" i="16"/>
  <c r="G18" i="22"/>
  <c r="H50" i="14" s="1"/>
  <c r="H18" i="22"/>
  <c r="I50" i="14" s="1"/>
  <c r="I52" s="1"/>
  <c r="I61" s="1"/>
  <c r="I63" s="1"/>
  <c r="J22" i="16" l="1"/>
  <c r="K43" i="14" s="1"/>
  <c r="K46" s="1"/>
  <c r="K61" s="1"/>
  <c r="J8" i="48"/>
  <c r="K13" i="14"/>
  <c r="K16" s="1"/>
  <c r="K27" s="1"/>
  <c r="E8" i="48"/>
  <c r="E26" s="1"/>
  <c r="E33" s="1"/>
  <c r="F13" i="14"/>
  <c r="G27" i="48"/>
  <c r="G33" s="1"/>
  <c r="G15"/>
  <c r="Q9"/>
  <c r="H63" i="14"/>
  <c r="F16"/>
  <c r="F27" s="1"/>
  <c r="E22" i="16"/>
  <c r="F43" i="14" s="1"/>
  <c r="F46" s="1"/>
  <c r="F61" s="1"/>
  <c r="F63" s="1"/>
  <c r="H22"/>
  <c r="H27" s="1"/>
  <c r="N8" i="48"/>
  <c r="N26" s="1"/>
  <c r="O13" i="14"/>
  <c r="N22" i="16"/>
  <c r="O43" i="14" s="1"/>
  <c r="G13"/>
  <c r="F8" i="48"/>
  <c r="J26" l="1"/>
  <c r="J33" s="1"/>
  <c r="J15"/>
  <c r="R13" i="14"/>
  <c r="E15" i="48"/>
  <c r="K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<sst xmlns="http://schemas.openxmlformats.org/spreadsheetml/2006/main" count="2392" uniqueCount="890">
  <si>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</si>
  <si>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</si>
  <si>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</si>
  <si>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</si>
  <si>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</si>
  <si>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</si>
  <si>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</si>
  <si>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</si>
  <si>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</si>
  <si>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</si>
  <si>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</si>
  <si>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</si>
  <si>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</si>
  <si>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</si>
  <si>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</si>
  <si>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</si>
  <si>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</si>
  <si>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</si>
  <si>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</si>
  <si>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</si>
  <si>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</si>
  <si>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</si>
  <si>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</si>
  <si>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</si>
  <si>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</si>
  <si>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</si>
  <si>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</si>
  <si>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</si>
  <si>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</si>
  <si>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</si>
  <si>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</si>
  <si>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</si>
  <si>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</si>
  <si>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</si>
  <si>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</si>
  <si>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</si>
  <si>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</si>
  <si>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</si>
  <si>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</si>
  <si>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</si>
  <si>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</si>
  <si>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</si>
  <si>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</si>
  <si>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</si>
  <si>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</si>
  <si>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</si>
  <si>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</si>
  <si>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</si>
  <si>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</si>
  <si>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</si>
  <si>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</si>
  <si>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</si>
  <si>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</si>
  <si>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</si>
  <si>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</si>
  <si>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</si>
  <si>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</si>
  <si>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</si>
  <si>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</si>
  <si>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</si>
  <si>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</si>
  <si>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</si>
  <si>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</si>
  <si>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</si>
  <si>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</si>
  <si>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</si>
  <si>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</si>
  <si>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</si>
  <si>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</si>
  <si>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</si>
  <si>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</si>
  <si>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</si>
  <si>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</si>
  <si>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</si>
  <si>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</si>
  <si>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</si>
  <si>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</si>
  <si>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</si>
  <si>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</si>
  <si>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</si>
  <si>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</si>
  <si>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</si>
  <si>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</si>
  <si>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</si>
  <si>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</si>
  <si>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</si>
  <si>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</si>
  <si>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</si>
  <si>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</si>
  <si>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</si>
  <si>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</si>
  <si>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</si>
  <si>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</si>
  <si>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</si>
  <si>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</si>
  <si>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</si>
  <si>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</si>
  <si>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</si>
  <si>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</si>
  <si>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</si>
  <si>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</si>
  <si>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</si>
  <si>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</si>
  <si>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</si>
  <si>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</si>
  <si>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</si>
  <si>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</si>
  <si>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</si>
  <si>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</si>
  <si>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</si>
  <si>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</si>
  <si>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</si>
  <si>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</si>
  <si>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</si>
  <si>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</si>
  <si>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</si>
  <si>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</si>
  <si>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</si>
  <si>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</si>
  <si>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</si>
  <si>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</si>
  <si>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</si>
  <si>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</si>
  <si>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</si>
  <si>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</si>
  <si>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</si>
  <si>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</si>
  <si>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</si>
  <si>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</si>
  <si>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</si>
  <si>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</si>
  <si>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</si>
  <si>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</si>
  <si>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</si>
  <si>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</si>
  <si>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</si>
  <si>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</si>
  <si>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</si>
  <si>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</si>
  <si>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</si>
  <si>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</si>
  <si>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</si>
  <si>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</si>
  <si>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</si>
  <si>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</si>
  <si>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</si>
  <si>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</si>
  <si>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</si>
  <si>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</si>
  <si>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</si>
  <si>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</si>
  <si>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</si>
  <si>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</si>
  <si>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</si>
  <si>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</si>
  <si>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</si>
  <si>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</si>
  <si>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</si>
  <si>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</si>
  <si>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</si>
  <si>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</si>
  <si>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</si>
  <si>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</si>
  <si>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</si>
  <si>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</si>
  <si>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</si>
  <si>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</si>
  <si>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</si>
  <si>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</si>
  <si>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</si>
  <si>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</si>
  <si>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</si>
  <si>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</si>
  <si>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</si>
  <si>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</si>
  <si>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</si>
  <si>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</si>
  <si>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</si>
  <si>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</si>
  <si>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</si>
  <si>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</si>
  <si>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</si>
  <si>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</si>
  <si>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</si>
  <si>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</si>
  <si>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</si>
  <si>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</si>
  <si>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</si>
  <si>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</si>
  <si>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</si>
  <si>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</si>
  <si>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</si>
  <si>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</si>
  <si>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</si>
  <si>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</si>
  <si>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</si>
  <si>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</si>
  <si>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</si>
  <si>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</si>
  <si>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</si>
  <si>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</si>
  <si>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</si>
  <si>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</si>
  <si>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</si>
  <si>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</si>
  <si>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</si>
  <si>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</si>
  <si>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</si>
  <si>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</si>
  <si>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</si>
  <si>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</si>
  <si>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</si>
  <si>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</si>
  <si>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</si>
  <si>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</si>
  <si>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</si>
  <si>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</si>
  <si>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</si>
  <si>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</si>
  <si>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</si>
  <si>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</si>
  <si>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</si>
  <si>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</si>
  <si>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</si>
  <si>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</si>
  <si>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</si>
  <si>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</si>
  <si>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</si>
  <si>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</si>
  <si>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</si>
  <si>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</si>
  <si>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</si>
  <si>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</si>
  <si>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</si>
  <si>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</si>
  <si>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</si>
  <si>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</si>
  <si>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</si>
  <si>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</si>
  <si>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</si>
  <si>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</si>
  <si>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</si>
  <si>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</si>
  <si>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</si>
  <si>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</si>
  <si>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</si>
  <si>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</si>
  <si>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</si>
  <si>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</si>
  <si>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</si>
  <si>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</si>
  <si>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</si>
  <si>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</si>
  <si>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</si>
  <si>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</si>
  <si>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</si>
  <si>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</si>
  <si>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</si>
  <si>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</si>
  <si>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</si>
  <si>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</si>
  <si>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</si>
  <si>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</si>
  <si>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</si>
  <si>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</si>
  <si>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</si>
  <si>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</si>
  <si>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</si>
  <si>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</si>
  <si>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</si>
  <si>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</si>
  <si>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</si>
  <si>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</si>
  <si>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</si>
  <si>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</si>
  <si>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</si>
  <si>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</si>
  <si>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</si>
  <si>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</si>
  <si>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</si>
  <si>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</si>
  <si>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</si>
  <si>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</si>
  <si>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</si>
  <si>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</si>
  <si>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</si>
  <si>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</si>
  <si>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</si>
  <si>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</si>
  <si>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</si>
  <si>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</si>
  <si>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</si>
  <si>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</si>
  <si>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</si>
  <si>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</si>
  <si>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</si>
  <si>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</si>
  <si>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</si>
  <si>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</si>
  <si>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</si>
  <si>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</si>
  <si>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</si>
  <si>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</si>
  <si>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</si>
  <si>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</si>
  <si>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</si>
  <si>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</si>
  <si>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</si>
  <si>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</si>
  <si>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</si>
  <si>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</si>
  <si>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</si>
  <si>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</si>
  <si>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</si>
  <si>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</si>
  <si>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</si>
  <si>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</si>
  <si>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</si>
  <si>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</si>
  <si>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</si>
  <si>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</si>
  <si>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</si>
  <si>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</si>
  <si>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</si>
  <si>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</si>
  <si>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</si>
  <si>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</si>
  <si>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</si>
  <si>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</si>
  <si>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</si>
  <si>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</si>
  <si>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</si>
  <si>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</si>
  <si>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</si>
  <si>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</si>
  <si>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</si>
  <si>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</si>
  <si>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</si>
  <si>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</si>
  <si>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</si>
  <si>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</si>
  <si>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</si>
  <si>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</si>
  <si>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</si>
  <si>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</si>
  <si>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</si>
  <si>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</si>
  <si>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</si>
  <si>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</si>
  <si>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</si>
  <si>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</si>
  <si>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</si>
  <si>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</si>
  <si>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</si>
  <si>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</si>
  <si>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</si>
  <si>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</si>
  <si>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</si>
  <si>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</si>
  <si>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</si>
  <si>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</si>
  <si>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</si>
  <si>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</si>
  <si>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</si>
  <si>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</si>
  <si>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</si>
  <si>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</si>
  <si>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</si>
  <si>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</si>
  <si>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</si>
  <si>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</si>
  <si>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</si>
  <si>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</si>
  <si>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</si>
  <si>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</si>
  <si>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</si>
  <si>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</si>
  <si>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</si>
  <si>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</si>
  <si>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</si>
  <si>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</si>
  <si>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</si>
  <si>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</si>
  <si>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</si>
  <si>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</si>
  <si>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</si>
  <si>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</si>
  <si>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</si>
  <si>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</si>
  <si>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</si>
  <si>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</si>
  <si>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</si>
  <si>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</si>
  <si>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</si>
  <si>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</si>
  <si>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</si>
  <si>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</si>
  <si>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</si>
  <si>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</si>
  <si>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</si>
  <si>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</si>
  <si>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</si>
  <si>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</si>
  <si>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</si>
  <si>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</si>
  <si>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</si>
  <si>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</si>
  <si>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</si>
  <si>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</si>
  <si>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</si>
  <si>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</si>
  <si>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</si>
  <si>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</si>
  <si>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</si>
  <si>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</si>
  <si>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</si>
  <si>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</si>
  <si>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</si>
  <si>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</si>
  <si>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</si>
  <si>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</si>
  <si>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</si>
  <si>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</si>
  <si>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</si>
  <si>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</si>
  <si>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</si>
  <si>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</si>
  <si>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</si>
  <si>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</si>
  <si>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</si>
  <si>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</si>
  <si>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</si>
  <si>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</si>
  <si>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</si>
  <si>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</si>
  <si>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</si>
  <si>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</si>
  <si>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</si>
  <si>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</si>
  <si>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</si>
  <si>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</si>
  <si>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</si>
  <si>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</si>
  <si>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</si>
  <si>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</si>
  <si>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</si>
  <si>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</si>
  <si>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</si>
  <si>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</si>
  <si>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</si>
  <si>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</si>
  <si>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</si>
  <si>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</si>
  <si>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</si>
  <si>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</si>
  <si>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</si>
  <si>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</si>
  <si>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</si>
  <si>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</si>
  <si>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</si>
  <si>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</si>
  <si>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</si>
  <si>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</si>
  <si>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</si>
  <si>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</si>
  <si>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</si>
  <si>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</si>
  <si>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</si>
  <si>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</si>
  <si>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</si>
  <si>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</si>
  <si>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</si>
  <si>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</si>
  <si>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</si>
  <si>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</si>
  <si>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</si>
  <si>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</si>
  <si>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</si>
  <si>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</si>
  <si>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</si>
  <si>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</si>
  <si>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</si>
  <si>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</si>
  <si>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</si>
  <si>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</si>
  <si>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</si>
  <si>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</si>
  <si>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</si>
  <si>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</si>
  <si>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</si>
  <si>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</si>
  <si>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</si>
  <si>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</si>
  <si>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</si>
  <si>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</si>
  <si>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</si>
  <si>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</si>
  <si>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</si>
  <si>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</si>
  <si>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</si>
  <si>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</si>
  <si>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</si>
  <si>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</si>
  <si>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</si>
  <si>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</si>
  <si>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</si>
  <si>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</si>
  <si>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</si>
  <si>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</si>
  <si>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</si>
  <si>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</si>
  <si>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</si>
  <si>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</si>
  <si>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</si>
  <si>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</si>
  <si>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</si>
  <si>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</si>
  <si>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</si>
  <si>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</si>
  <si>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</si>
  <si>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</si>
  <si>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</si>
  <si>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</si>
  <si>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</si>
  <si>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</si>
  <si>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</si>
  <si>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</si>
  <si>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</si>
  <si>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</si>
  <si>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</si>
  <si>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</si>
  <si>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</si>
  <si>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</si>
  <si>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</si>
  <si>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</si>
  <si>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</si>
  <si>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</si>
  <si>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</si>
  <si>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</si>
  <si>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</si>
  <si>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</si>
  <si>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</si>
  <si>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</si>
  <si>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</si>
  <si>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</si>
  <si>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</si>
  <si>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</si>
  <si>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</si>
  <si>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</si>
  <si>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</si>
  <si>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</si>
  <si>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</si>
  <si>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</si>
  <si>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</si>
  <si>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</si>
  <si>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</si>
  <si>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</si>
  <si>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</si>
  <si>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</si>
  <si>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</si>
  <si>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</si>
  <si>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</si>
  <si>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</si>
  <si>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</si>
  <si>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</si>
  <si>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</si>
  <si>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</si>
  <si>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</si>
  <si>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</si>
  <si>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</si>
  <si>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</si>
  <si>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</si>
  <si>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</si>
  <si>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</si>
  <si>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</si>
  <si>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</si>
  <si>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</si>
  <si>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</si>
  <si>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</si>
  <si>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</si>
  <si>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</si>
  <si>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</si>
  <si>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</si>
  <si>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</si>
  <si>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</si>
  <si>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</si>
  <si>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</si>
  <si>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</si>
  <si>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</si>
  <si>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</si>
  <si>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</si>
  <si>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</si>
  <si>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</si>
  <si>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</si>
  <si>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</si>
  <si>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</si>
  <si>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</si>
  <si>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</si>
  <si>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</si>
  <si>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</si>
  <si>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</si>
  <si>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</si>
  <si>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</si>
  <si>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</si>
  <si>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</si>
  <si>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</si>
  <si>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</si>
  <si>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</si>
  <si>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</si>
  <si>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</si>
  <si>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</si>
  <si>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</si>
  <si>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</si>
  <si>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</si>
  <si>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</si>
  <si>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</si>
  <si>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</si>
  <si>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</si>
  <si>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</si>
  <si>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</si>
  <si>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</si>
  <si>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</si>
  <si>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</si>
  <si>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</si>
  <si>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</si>
  <si>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</si>
  <si>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</si>
  <si>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</si>
  <si>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</si>
  <si>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</si>
  <si>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</si>
  <si>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</si>
  <si>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</si>
  <si>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</si>
  <si>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</si>
  <si>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</si>
  <si>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</si>
  <si>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</si>
  <si>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</si>
  <si>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</si>
  <si>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</si>
  <si>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</si>
  <si>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</si>
  <si>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</si>
  <si>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</si>
  <si>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</si>
  <si>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</si>
  <si>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</si>
  <si>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</si>
  <si>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</si>
  <si>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</si>
  <si>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</si>
  <si>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</si>
  <si>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</si>
  <si>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</si>
  <si>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</si>
  <si>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</si>
  <si>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</si>
  <si>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</si>
  <si>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</si>
  <si>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</si>
  <si>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</si>
  <si>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</si>
  <si>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</si>
  <si>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</si>
  <si>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</si>
  <si>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</si>
  <si>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</si>
  <si>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</si>
  <si>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</si>
  <si>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</si>
  <si>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</si>
  <si>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</si>
  <si>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</si>
  <si>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</si>
  <si>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</si>
  <si>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</si>
  <si>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</si>
  <si>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</si>
  <si>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</si>
  <si>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</si>
  <si>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</si>
  <si>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</si>
  <si>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</si>
  <si>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</si>
  <si>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</si>
  <si>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</si>
  <si>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</si>
  <si>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</si>
  <si>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</si>
  <si>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</si>
  <si>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</si>
  <si>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</si>
  <si>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</si>
  <si>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</si>
  <si>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</si>
  <si>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</si>
  <si>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</si>
  <si>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</si>
  <si>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</si>
  <si>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</si>
  <si>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</si>
  <si>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</si>
  <si>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</si>
  <si>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</si>
  <si>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</si>
  <si>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</si>
  <si>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</si>
  <si>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</si>
  <si>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</si>
  <si>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</si>
  <si>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</si>
  <si>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</si>
  <si>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</si>
  <si>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</si>
  <si>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</si>
  <si>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</si>
  <si>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</si>
  <si>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</si>
  <si>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</si>
  <si>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</si>
  <si>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</si>
  <si>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</si>
  <si>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</si>
  <si>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</si>
  <si>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</si>
  <si>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</si>
  <si>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</si>
  <si>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</si>
  <si>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</si>
  <si>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</si>
  <si>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</si>
  <si>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</si>
  <si>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</si>
  <si>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</si>
  <si>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</si>
  <si>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</si>
  <si>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</si>
  <si>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</si>
  <si>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</si>
  <si>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</si>
  <si>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</si>
  <si>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</si>
  <si>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</si>
  <si>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</si>
  <si>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</si>
  <si>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</si>
  <si>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</si>
  <si>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</si>
  <si>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</si>
  <si>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</si>
  <si>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</si>
  <si>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</si>
  <si>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</si>
  <si>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</si>
  <si>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</si>
  <si>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</si>
  <si>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</si>
  <si>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</si>
  <si>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</si>
  <si>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</si>
  <si>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</si>
  <si>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</si>
  <si>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</si>
  <si>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</si>
  <si>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</si>
  <si>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</si>
  <si>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</si>
  <si>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</si>
  <si>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</si>
  <si>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</si>
  <si>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</si>
  <si>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</si>
  <si>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</si>
  <si>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</si>
  <si>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</si>
  <si>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</si>
  <si>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</si>
  <si>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</si>
  <si>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</si>
  <si>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</si>
  <si>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</si>
  <si>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</si>
  <si>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</si>
  <si>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</si>
  <si>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</si>
  <si>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</si>
  <si>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</si>
  <si>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</si>
  <si>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</si>
  <si>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</si>
  <si>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</si>
  <si>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</si>
  <si>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</si>
  <si>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</si>
  <si>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</si>
  <si>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</si>
  <si>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</si>
  <si>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</si>
  <si>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</si>
  <si>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</si>
  <si>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</si>
  <si>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</si>
  <si>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</si>
  <si>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</si>
  <si>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</si>
  <si>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</si>
  <si>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</si>
  <si>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</si>
  <si>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</si>
  <si>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</si>
  <si>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</si>
  <si>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</si>
  <si>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</si>
  <si>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</si>
  <si>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</si>
  <si>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</si>
  <si>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</si>
  <si>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</si>
  <si>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</si>
  <si>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</si>
  <si>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</si>
  <si>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</si>
  <si>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</si>
  <si>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</si>
  <si>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</si>
  <si>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</si>
  <si>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</si>
  <si>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</si>
  <si>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</si>
  <si>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</si>
  <si>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</si>
  <si>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</si>
  <si>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</si>
  <si>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</si>
  <si>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</si>
  <si>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</si>
  <si>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</si>
  <si>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</si>
  <si>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</si>
  <si>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</si>
  <si>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</si>
  <si>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</si>
  <si>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</si>
  <si>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</si>
  <si>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</si>
  <si>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</si>
  <si>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</si>
  <si>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</si>
  <si>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</si>
  <si>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</si>
  <si>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</si>
  <si>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</si>
  <si>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</si>
  <si>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</si>
  <si>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</si>
  <si>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</si>
  <si>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</si>
  <si>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</si>
  <si>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</si>
  <si>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</si>
  <si>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</si>
  <si>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</si>
  <si>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</si>
  <si>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</si>
  <si>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</si>
  <si>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</si>
  <si>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</si>
  <si>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</si>
  <si>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</si>
  <si>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</si>
  <si>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</si>
  <si>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</si>
  <si>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</si>
  <si>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</si>
  <si>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</si>
  <si>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</si>
  <si>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</si>
  <si>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</si>
  <si>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</si>
  <si>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</si>
  <si>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</si>
  <si>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71067</t>
  </si>
  <si>
    <t>ZUTENDAAL</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</si>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</sst>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64355.525675832643</c:v>
                </c:pt>
                <c:pt idx="1">
                  <c:v>16929.325237250574</c:v>
                </c:pt>
                <c:pt idx="2">
                  <c:v>711.81700000000001</c:v>
                </c:pt>
                <c:pt idx="3">
                  <c:v>899.56337679449791</c:v>
                </c:pt>
                <c:pt idx="4">
                  <c:v>13153.132174045681</c:v>
                </c:pt>
                <c:pt idx="5">
                  <c:v>77026.651058007134</c:v>
                </c:pt>
                <c:pt idx="6">
                  <c:v>1188.5274118113546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33536"/>
        <c:axId val="131635072"/>
      </c:barChart>
      <c:catAx>
        <c:axId val="131633536"/>
        <c:scaling>
          <c:orientation val="minMax"/>
        </c:scaling>
        <c:axPos val="b"/>
        <c:numFmt formatCode="General" sourceLinked="0"/>
        <c:tickLblPos val="nextTo"/>
        <c:crossAx val="131635072"/>
        <c:crosses val="autoZero"/>
        <c:auto val="1"/>
        <c:lblAlgn val="ctr"/>
        <c:lblOffset val="100"/>
      </c:catAx>
      <c:valAx>
        <c:axId val="131635072"/>
        <c:scaling>
          <c:orientation val="minMax"/>
        </c:scaling>
        <c:axPos val="l"/>
        <c:majorGridlines/>
        <c:numFmt formatCode="#,##0" sourceLinked="1"/>
        <c:tickLblPos val="nextTo"/>
        <c:crossAx val="1316335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64355.525675832643</c:v>
                </c:pt>
                <c:pt idx="1">
                  <c:v>16929.325237250574</c:v>
                </c:pt>
                <c:pt idx="2">
                  <c:v>711.81700000000001</c:v>
                </c:pt>
                <c:pt idx="3">
                  <c:v>899.56337679449791</c:v>
                </c:pt>
                <c:pt idx="4">
                  <c:v>13153.132174045681</c:v>
                </c:pt>
                <c:pt idx="5">
                  <c:v>77026.651058007134</c:v>
                </c:pt>
                <c:pt idx="6">
                  <c:v>1188.5274118113546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11665.896983937528</c:v>
                </c:pt>
                <c:pt idx="2">
                  <c:v>2364.4712780648101</c:v>
                </c:pt>
                <c:pt idx="3">
                  <c:v>54.837649444651092</c:v>
                </c:pt>
                <c:pt idx="4">
                  <c:v>205.00603335380805</c:v>
                </c:pt>
                <c:pt idx="5">
                  <c:v>1792.7687736411431</c:v>
                </c:pt>
                <c:pt idx="6">
                  <c:v>19701.239763948208</c:v>
                </c:pt>
                <c:pt idx="7">
                  <c:v>307.78986589552733</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67520"/>
        <c:axId val="149873408"/>
      </c:barChart>
      <c:catAx>
        <c:axId val="149867520"/>
        <c:scaling>
          <c:orientation val="minMax"/>
        </c:scaling>
        <c:axPos val="b"/>
        <c:numFmt formatCode="General" sourceLinked="0"/>
        <c:tickLblPos val="nextTo"/>
        <c:crossAx val="149873408"/>
        <c:crosses val="autoZero"/>
        <c:auto val="1"/>
        <c:lblAlgn val="ctr"/>
        <c:lblOffset val="100"/>
      </c:catAx>
      <c:valAx>
        <c:axId val="149873408"/>
        <c:scaling>
          <c:orientation val="minMax"/>
        </c:scaling>
        <c:axPos val="l"/>
        <c:majorGridlines/>
        <c:numFmt formatCode="#,##0" sourceLinked="1"/>
        <c:tickLblPos val="nextTo"/>
        <c:crossAx val="1498675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11665.896983937528</c:v>
                </c:pt>
                <c:pt idx="2">
                  <c:v>2364.4712780648101</c:v>
                </c:pt>
                <c:pt idx="3">
                  <c:v>54.837649444651092</c:v>
                </c:pt>
                <c:pt idx="4">
                  <c:v>205.00603335380805</c:v>
                </c:pt>
                <c:pt idx="5">
                  <c:v>1792.7687736411431</c:v>
                </c:pt>
                <c:pt idx="6">
                  <c:v>19701.239763948208</c:v>
                </c:pt>
                <c:pt idx="7">
                  <c:v>307.78986589552733</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71067</v>
      </c>
      <c r="B6" s="415"/>
      <c r="C6" s="416"/>
    </row>
    <row r="7" spans="1:7" s="413" customFormat="1" ht="15.75" customHeight="1">
      <c r="A7" s="417" t="str">
        <f>txtMunicipality</f>
        <v>ZUTENDAAL</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7.7038971315171026E-2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7.7038971315171026E-2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71067</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2937</v>
      </c>
      <c r="C9" s="342">
        <v>3004</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319.75</v>
      </c>
    </row>
    <row r="15" spans="1:6">
      <c r="A15" s="348" t="s">
        <v>184</v>
      </c>
      <c r="B15" s="334">
        <v>4</v>
      </c>
    </row>
    <row r="16" spans="1:6">
      <c r="A16" s="348" t="s">
        <v>6</v>
      </c>
      <c r="B16" s="334">
        <v>46</v>
      </c>
    </row>
    <row r="17" spans="1:6">
      <c r="A17" s="348" t="s">
        <v>7</v>
      </c>
      <c r="B17" s="334">
        <v>74</v>
      </c>
    </row>
    <row r="18" spans="1:6">
      <c r="A18" s="348" t="s">
        <v>8</v>
      </c>
      <c r="B18" s="334">
        <v>71</v>
      </c>
    </row>
    <row r="19" spans="1:6">
      <c r="A19" s="348" t="s">
        <v>9</v>
      </c>
      <c r="B19" s="334">
        <v>69</v>
      </c>
    </row>
    <row r="20" spans="1:6">
      <c r="A20" s="348" t="s">
        <v>10</v>
      </c>
      <c r="B20" s="334">
        <v>75</v>
      </c>
    </row>
    <row r="21" spans="1:6">
      <c r="A21" s="348" t="s">
        <v>11</v>
      </c>
      <c r="B21" s="334">
        <v>0</v>
      </c>
    </row>
    <row r="22" spans="1:6">
      <c r="A22" s="348" t="s">
        <v>12</v>
      </c>
      <c r="B22" s="334">
        <v>5</v>
      </c>
    </row>
    <row r="23" spans="1:6">
      <c r="A23" s="348" t="s">
        <v>13</v>
      </c>
      <c r="B23" s="334">
        <v>0</v>
      </c>
    </row>
    <row r="24" spans="1:6">
      <c r="A24" s="348" t="s">
        <v>14</v>
      </c>
      <c r="B24" s="334">
        <v>0</v>
      </c>
    </row>
    <row r="25" spans="1:6">
      <c r="A25" s="348" t="s">
        <v>15</v>
      </c>
      <c r="B25" s="334">
        <v>0</v>
      </c>
    </row>
    <row r="26" spans="1:6">
      <c r="A26" s="348" t="s">
        <v>16</v>
      </c>
      <c r="B26" s="334">
        <v>115</v>
      </c>
    </row>
    <row r="27" spans="1:6">
      <c r="A27" s="348" t="s">
        <v>17</v>
      </c>
      <c r="B27" s="334">
        <v>0</v>
      </c>
    </row>
    <row r="28" spans="1:6" s="356" customFormat="1">
      <c r="A28" s="355" t="s">
        <v>18</v>
      </c>
      <c r="B28" s="355">
        <v>74379</v>
      </c>
    </row>
    <row r="29" spans="1:6">
      <c r="A29" s="355" t="s">
        <v>884</v>
      </c>
      <c r="B29" s="355">
        <v>168</v>
      </c>
      <c r="C29" s="356"/>
      <c r="D29" s="356"/>
      <c r="E29" s="356"/>
      <c r="F29" s="356"/>
    </row>
    <row r="30" spans="1:6">
      <c r="A30" s="355" t="s">
        <v>885</v>
      </c>
      <c r="B30" s="341">
        <v>11</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7</v>
      </c>
      <c r="F36" s="334">
        <v>5125</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1116</v>
      </c>
      <c r="D39" s="334">
        <v>17522960</v>
      </c>
      <c r="E39" s="334">
        <v>2974</v>
      </c>
      <c r="F39" s="334">
        <v>11843626</v>
      </c>
    </row>
    <row r="40" spans="1:6">
      <c r="A40" s="348" t="s">
        <v>30</v>
      </c>
      <c r="B40" s="348" t="s">
        <v>29</v>
      </c>
      <c r="C40" s="334">
        <v>0</v>
      </c>
      <c r="D40" s="334">
        <v>0</v>
      </c>
      <c r="E40" s="334">
        <v>0</v>
      </c>
      <c r="F40" s="334">
        <v>0</v>
      </c>
    </row>
    <row r="41" spans="1:6">
      <c r="A41" s="348" t="s">
        <v>32</v>
      </c>
      <c r="B41" s="348" t="s">
        <v>33</v>
      </c>
      <c r="C41" s="334">
        <v>8</v>
      </c>
      <c r="D41" s="334">
        <v>122264</v>
      </c>
      <c r="E41" s="334">
        <v>51</v>
      </c>
      <c r="F41" s="334">
        <v>1490337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5</v>
      </c>
      <c r="D44" s="334">
        <v>131567</v>
      </c>
      <c r="E44" s="334">
        <v>9</v>
      </c>
      <c r="F44" s="334">
        <v>1123276</v>
      </c>
    </row>
    <row r="45" spans="1:6">
      <c r="A45" s="348" t="s">
        <v>32</v>
      </c>
      <c r="B45" s="348" t="s">
        <v>37</v>
      </c>
      <c r="C45" s="334">
        <v>0</v>
      </c>
      <c r="D45" s="334">
        <v>0</v>
      </c>
      <c r="E45" s="334">
        <v>4</v>
      </c>
      <c r="F45" s="334">
        <v>4558276</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v>
      </c>
      <c r="D48" s="334">
        <v>2040316</v>
      </c>
      <c r="E48" s="334">
        <v>0</v>
      </c>
      <c r="F48" s="334">
        <v>267</v>
      </c>
    </row>
    <row r="49" spans="1:6">
      <c r="A49" s="348" t="s">
        <v>32</v>
      </c>
      <c r="B49" s="348" t="s">
        <v>40</v>
      </c>
      <c r="C49" s="334">
        <v>0</v>
      </c>
      <c r="D49" s="334">
        <v>0</v>
      </c>
      <c r="E49" s="334">
        <v>0</v>
      </c>
      <c r="F49" s="334">
        <v>0</v>
      </c>
    </row>
    <row r="50" spans="1:6">
      <c r="A50" s="348" t="s">
        <v>32</v>
      </c>
      <c r="B50" s="348" t="s">
        <v>41</v>
      </c>
      <c r="C50" s="334">
        <v>0</v>
      </c>
      <c r="D50" s="334">
        <v>0</v>
      </c>
      <c r="E50" s="334">
        <v>7</v>
      </c>
      <c r="F50" s="334">
        <v>214528</v>
      </c>
    </row>
    <row r="51" spans="1:6">
      <c r="A51" s="348" t="s">
        <v>42</v>
      </c>
      <c r="B51" s="348" t="s">
        <v>43</v>
      </c>
      <c r="C51" s="334">
        <v>3</v>
      </c>
      <c r="D51" s="334">
        <v>75350</v>
      </c>
      <c r="E51" s="334">
        <v>12</v>
      </c>
      <c r="F51" s="334">
        <v>172354</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34</v>
      </c>
      <c r="F54" s="334">
        <v>711817</v>
      </c>
    </row>
    <row r="55" spans="1:6">
      <c r="A55" s="348" t="s">
        <v>46</v>
      </c>
      <c r="B55" s="348" t="s">
        <v>29</v>
      </c>
      <c r="C55" s="334">
        <v>0</v>
      </c>
      <c r="D55" s="334">
        <v>0</v>
      </c>
      <c r="E55" s="334">
        <v>0</v>
      </c>
      <c r="F55" s="334">
        <v>0</v>
      </c>
    </row>
    <row r="56" spans="1:6">
      <c r="A56" s="348" t="s">
        <v>48</v>
      </c>
      <c r="B56" s="348" t="s">
        <v>29</v>
      </c>
      <c r="C56" s="334">
        <v>24</v>
      </c>
      <c r="D56" s="334">
        <v>830198</v>
      </c>
      <c r="E56" s="334">
        <v>94</v>
      </c>
      <c r="F56" s="334">
        <v>380517</v>
      </c>
    </row>
    <row r="57" spans="1:6">
      <c r="A57" s="348" t="s">
        <v>49</v>
      </c>
      <c r="B57" s="348" t="s">
        <v>50</v>
      </c>
      <c r="C57" s="334">
        <v>13</v>
      </c>
      <c r="D57" s="334">
        <v>462229</v>
      </c>
      <c r="E57" s="334">
        <v>26</v>
      </c>
      <c r="F57" s="334">
        <v>994386</v>
      </c>
    </row>
    <row r="58" spans="1:6">
      <c r="A58" s="348" t="s">
        <v>49</v>
      </c>
      <c r="B58" s="348" t="s">
        <v>51</v>
      </c>
      <c r="C58" s="334">
        <v>12</v>
      </c>
      <c r="D58" s="334">
        <v>777217</v>
      </c>
      <c r="E58" s="334">
        <v>20</v>
      </c>
      <c r="F58" s="334">
        <v>341597</v>
      </c>
    </row>
    <row r="59" spans="1:6">
      <c r="A59" s="348" t="s">
        <v>49</v>
      </c>
      <c r="B59" s="348" t="s">
        <v>52</v>
      </c>
      <c r="C59" s="334">
        <v>18</v>
      </c>
      <c r="D59" s="334">
        <v>262372</v>
      </c>
      <c r="E59" s="334">
        <v>67</v>
      </c>
      <c r="F59" s="334">
        <v>1908976</v>
      </c>
    </row>
    <row r="60" spans="1:6">
      <c r="A60" s="348" t="s">
        <v>49</v>
      </c>
      <c r="B60" s="348" t="s">
        <v>53</v>
      </c>
      <c r="C60" s="334">
        <v>16</v>
      </c>
      <c r="D60" s="334">
        <v>3069116</v>
      </c>
      <c r="E60" s="334">
        <v>38</v>
      </c>
      <c r="F60" s="334">
        <v>2320678</v>
      </c>
    </row>
    <row r="61" spans="1:6">
      <c r="A61" s="348" t="s">
        <v>49</v>
      </c>
      <c r="B61" s="348" t="s">
        <v>54</v>
      </c>
      <c r="C61" s="334">
        <v>32</v>
      </c>
      <c r="D61" s="334">
        <v>781238</v>
      </c>
      <c r="E61" s="334">
        <v>132</v>
      </c>
      <c r="F61" s="334">
        <v>2824592</v>
      </c>
    </row>
    <row r="62" spans="1:6">
      <c r="A62" s="348" t="s">
        <v>49</v>
      </c>
      <c r="B62" s="348" t="s">
        <v>55</v>
      </c>
      <c r="C62" s="334">
        <v>3</v>
      </c>
      <c r="D62" s="334">
        <v>298669</v>
      </c>
      <c r="E62" s="334">
        <v>5</v>
      </c>
      <c r="F62" s="334">
        <v>61386</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8138</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56158558</v>
      </c>
      <c r="E73" s="475">
        <v>57548371.08376348</v>
      </c>
    </row>
    <row r="74" spans="1:6">
      <c r="A74" s="348" t="s">
        <v>64</v>
      </c>
      <c r="B74" s="348" t="s">
        <v>667</v>
      </c>
      <c r="C74" s="1294" t="s">
        <v>669</v>
      </c>
      <c r="D74" s="475">
        <v>2488075.8702430874</v>
      </c>
      <c r="E74" s="475">
        <v>2549032.7647871776</v>
      </c>
    </row>
    <row r="75" spans="1:6">
      <c r="A75" s="348" t="s">
        <v>65</v>
      </c>
      <c r="B75" s="348" t="s">
        <v>666</v>
      </c>
      <c r="C75" s="1294" t="s">
        <v>670</v>
      </c>
      <c r="D75" s="475">
        <v>12356958</v>
      </c>
      <c r="E75" s="475">
        <v>12601643.471121468</v>
      </c>
    </row>
    <row r="76" spans="1:6">
      <c r="A76" s="348" t="s">
        <v>65</v>
      </c>
      <c r="B76" s="348" t="s">
        <v>667</v>
      </c>
      <c r="C76" s="1294" t="s">
        <v>671</v>
      </c>
      <c r="D76" s="475">
        <v>18837.870243087644</v>
      </c>
      <c r="E76" s="475">
        <v>20506.471037091222</v>
      </c>
    </row>
    <row r="77" spans="1:6">
      <c r="A77" s="348" t="s">
        <v>66</v>
      </c>
      <c r="B77" s="348" t="s">
        <v>666</v>
      </c>
      <c r="C77" s="1294" t="s">
        <v>672</v>
      </c>
      <c r="D77" s="475">
        <v>21628109</v>
      </c>
      <c r="E77" s="475">
        <v>24051383.30084791</v>
      </c>
    </row>
    <row r="78" spans="1:6">
      <c r="A78" s="341" t="s">
        <v>66</v>
      </c>
      <c r="B78" s="341" t="s">
        <v>667</v>
      </c>
      <c r="C78" s="341" t="s">
        <v>673</v>
      </c>
      <c r="D78" s="1295">
        <v>4448536</v>
      </c>
      <c r="E78" s="1295">
        <v>4767328.5875040572</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319222.25951382471</v>
      </c>
      <c r="C83" s="475">
        <v>319222.25951382471</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17638.512950223223</v>
      </c>
    </row>
    <row r="91" spans="1:6">
      <c r="A91" s="348" t="s">
        <v>68</v>
      </c>
      <c r="B91" s="334">
        <v>2209.4192189638311</v>
      </c>
    </row>
    <row r="92" spans="1:6">
      <c r="A92" s="341" t="s">
        <v>69</v>
      </c>
      <c r="B92" s="342">
        <v>461.09704358812445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187</v>
      </c>
    </row>
    <row r="98" spans="1:6">
      <c r="A98" s="348" t="s">
        <v>72</v>
      </c>
      <c r="B98" s="334">
        <v>0</v>
      </c>
    </row>
    <row r="99" spans="1:6">
      <c r="A99" s="348" t="s">
        <v>73</v>
      </c>
      <c r="B99" s="334">
        <v>15</v>
      </c>
    </row>
    <row r="100" spans="1:6">
      <c r="A100" s="348" t="s">
        <v>74</v>
      </c>
      <c r="B100" s="334">
        <v>203</v>
      </c>
    </row>
    <row r="101" spans="1:6">
      <c r="A101" s="348" t="s">
        <v>75</v>
      </c>
      <c r="B101" s="334">
        <v>34</v>
      </c>
    </row>
    <row r="102" spans="1:6">
      <c r="A102" s="348" t="s">
        <v>76</v>
      </c>
      <c r="B102" s="334">
        <v>17</v>
      </c>
    </row>
    <row r="103" spans="1:6">
      <c r="A103" s="348" t="s">
        <v>77</v>
      </c>
      <c r="B103" s="334">
        <v>57</v>
      </c>
    </row>
    <row r="104" spans="1:6">
      <c r="A104" s="348" t="s">
        <v>78</v>
      </c>
      <c r="B104" s="334">
        <v>1941</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6</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89</v>
      </c>
    </row>
    <row r="130" spans="1:6">
      <c r="A130" s="348" t="s">
        <v>295</v>
      </c>
      <c r="B130" s="334">
        <v>0</v>
      </c>
    </row>
    <row r="131" spans="1:6">
      <c r="A131" s="348" t="s">
        <v>296</v>
      </c>
      <c r="B131" s="334">
        <v>0</v>
      </c>
    </row>
    <row r="132" spans="1:6">
      <c r="A132" s="341" t="s">
        <v>297</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31177.15604720671</v>
      </c>
      <c r="C3" s="43" t="s">
        <v>170</v>
      </c>
      <c r="D3" s="43"/>
      <c r="E3" s="154"/>
      <c r="F3" s="43"/>
      <c r="G3" s="43"/>
      <c r="H3" s="43"/>
      <c r="I3" s="43"/>
      <c r="J3" s="43"/>
      <c r="K3" s="96"/>
    </row>
    <row r="4" spans="1:11">
      <c r="A4" s="383" t="s">
        <v>171</v>
      </c>
      <c r="B4" s="49">
        <f>IF(ISERROR('SEAP template'!B78+'SEAP template'!C78),0,'SEAP template'!B78+'SEAP template'!C78)</f>
        <v>20309.029212775178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7.7038971315171026E-2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711.81700000000001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711.81700000000001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7.7038971315171026E-2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54.837649444651092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11843.626</v>
      </c>
      <c r="C5" s="17">
        <f>IF(ISERROR('Eigen informatie GS &amp; warmtenet'!B57),0,'Eigen informatie GS &amp; warmtenet'!B57)</f>
        <v>0</v>
      </c>
      <c r="D5" s="30">
        <f>(SUM(HH_hh_gas_kWh,HH_rest_gas_kWh)/1000)*0.902</f>
        <v>15805.709919999999</v>
      </c>
      <c r="E5" s="17">
        <f>B46*B57</f>
        <v>922.35207895398071</v>
      </c>
      <c r="F5" s="17">
        <f>B51*B62</f>
        <v>26895.646107342389</v>
      </c>
      <c r="G5" s="18"/>
      <c r="H5" s="17"/>
      <c r="I5" s="17"/>
      <c r="J5" s="17">
        <f>B50*B61+C50*C61</f>
        <v>0</v>
      </c>
      <c r="K5" s="17"/>
      <c r="L5" s="17"/>
      <c r="M5" s="17"/>
      <c r="N5" s="17">
        <f>B48*B59+C48*C59</f>
        <v>5937.6256839057714</v>
      </c>
      <c r="O5" s="17">
        <f>B69*B70*B71</f>
        <v>150.08000000000001</v>
      </c>
      <c r="P5" s="17">
        <f>B77*B78*B79/1000-B77*B78*B79/1000/B80</f>
        <v>591.06666666666661</v>
      </c>
    </row>
    <row r="6" spans="1:16">
      <c r="A6" s="16" t="s">
        <v>624</v>
      </c>
      <c r="B6" s="788">
        <f>kWh_PV_kleiner_dan_10kW</f>
        <v>2209.4192189638311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14053.045218963831</v>
      </c>
      <c r="C8" s="21">
        <f>C5</f>
        <v>0</v>
      </c>
      <c r="D8" s="21">
        <f>D5</f>
        <v>15805.709919999999</v>
      </c>
      <c r="E8" s="21">
        <f>E5</f>
        <v>922.35207895398071</v>
      </c>
      <c r="F8" s="21">
        <f>F5</f>
        <v>26895.646107342389</v>
      </c>
      <c r="G8" s="21"/>
      <c r="H8" s="21"/>
      <c r="I8" s="21"/>
      <c r="J8" s="21">
        <f>J5</f>
        <v>0</v>
      </c>
      <c r="K8" s="21"/>
      <c r="L8" s="21">
        <f>L5</f>
        <v>0</v>
      </c>
      <c r="M8" s="21">
        <f>M5</f>
        <v>0</v>
      </c>
      <c r="N8" s="21">
        <f>N5</f>
        <v>5937.6256839057714</v>
      </c>
      <c r="O8" s="21">
        <f>O5</f>
        <v>150.08000000000001</v>
      </c>
      <c r="P8" s="21">
        <f>P5</f>
        <v>591.06666666666661</v>
      </c>
    </row>
    <row r="9" spans="1:16">
      <c r="B9" s="19"/>
      <c r="C9" s="19"/>
      <c r="D9" s="258"/>
      <c r="E9" s="19"/>
      <c r="F9" s="19"/>
      <c r="G9" s="19"/>
      <c r="H9" s="19"/>
      <c r="I9" s="19"/>
      <c r="J9" s="19"/>
      <c r="K9" s="19"/>
      <c r="L9" s="19"/>
      <c r="M9" s="19"/>
      <c r="N9" s="19"/>
      <c r="O9" s="19"/>
      <c r="P9" s="19"/>
    </row>
    <row r="10" spans="1:16">
      <c r="A10" s="24" t="s">
        <v>214</v>
      </c>
      <c r="B10" s="25">
        <f ca="1">'EF ele_warmte'!B12</f>
        <v>7.7038971315171026E-2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1082.632147514556</v>
      </c>
      <c r="C12" s="23">
        <f ca="1">C10*C8</f>
        <v>0</v>
      </c>
      <c r="D12" s="23">
        <f>D8*D10</f>
        <v>3192.7534038399999</v>
      </c>
      <c r="E12" s="23">
        <f>E10*E8</f>
        <v>209.37392192255362</v>
      </c>
      <c r="F12" s="23">
        <f>F10*F8</f>
        <v>7181.1375106604182</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187</v>
      </c>
      <c r="C18" s="166" t="s">
        <v>111</v>
      </c>
      <c r="D18" s="228"/>
      <c r="E18" s="15"/>
    </row>
    <row r="19" spans="1:7">
      <c r="A19" s="171" t="s">
        <v>72</v>
      </c>
      <c r="B19" s="37">
        <f>aantalw2001_ander</f>
        <v>0</v>
      </c>
      <c r="C19" s="166" t="s">
        <v>111</v>
      </c>
      <c r="D19" s="229"/>
      <c r="E19" s="15"/>
    </row>
    <row r="20" spans="1:7">
      <c r="A20" s="171" t="s">
        <v>73</v>
      </c>
      <c r="B20" s="37">
        <f>aantalw2001_propaan</f>
        <v>15</v>
      </c>
      <c r="C20" s="167">
        <f>IF(ISERROR(B20/SUM($B$20,$B$21,$B$22)*100),0,B20/SUM($B$20,$B$21,$B$22)*100)</f>
        <v>5.9523809523809517</v>
      </c>
      <c r="D20" s="229"/>
      <c r="E20" s="15"/>
    </row>
    <row r="21" spans="1:7">
      <c r="A21" s="171" t="s">
        <v>74</v>
      </c>
      <c r="B21" s="37">
        <f>aantalw2001_elektriciteit</f>
        <v>203</v>
      </c>
      <c r="C21" s="167">
        <f>IF(ISERROR(B21/SUM($B$20,$B$21,$B$22)*100),0,B21/SUM($B$20,$B$21,$B$22)*100)</f>
        <v>80.555555555555557</v>
      </c>
      <c r="D21" s="229"/>
      <c r="E21" s="15"/>
    </row>
    <row r="22" spans="1:7">
      <c r="A22" s="171" t="s">
        <v>75</v>
      </c>
      <c r="B22" s="37">
        <f>aantalw2001_hout</f>
        <v>34</v>
      </c>
      <c r="C22" s="167">
        <f>IF(ISERROR(B22/SUM($B$20,$B$21,$B$22)*100),0,B22/SUM($B$20,$B$21,$B$22)*100)</f>
        <v>13.492063492063492</v>
      </c>
      <c r="D22" s="229"/>
      <c r="E22" s="15"/>
    </row>
    <row r="23" spans="1:7">
      <c r="A23" s="171" t="s">
        <v>76</v>
      </c>
      <c r="B23" s="37">
        <f>aantalw2001_niet_gespec</f>
        <v>17</v>
      </c>
      <c r="C23" s="166" t="s">
        <v>111</v>
      </c>
      <c r="D23" s="228"/>
      <c r="E23" s="15"/>
    </row>
    <row r="24" spans="1:7">
      <c r="A24" s="171" t="s">
        <v>77</v>
      </c>
      <c r="B24" s="37">
        <f>aantalw2001_steenkool</f>
        <v>57</v>
      </c>
      <c r="C24" s="166" t="s">
        <v>111</v>
      </c>
      <c r="D24" s="229"/>
      <c r="E24" s="15"/>
    </row>
    <row r="25" spans="1:7">
      <c r="A25" s="171" t="s">
        <v>78</v>
      </c>
      <c r="B25" s="37">
        <f>aantalw2001_stookolie</f>
        <v>1941</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2937</v>
      </c>
      <c r="C28" s="36"/>
      <c r="D28" s="228"/>
    </row>
    <row r="29" spans="1:7" s="15" customFormat="1">
      <c r="A29" s="230" t="s">
        <v>699</v>
      </c>
      <c r="B29" s="37">
        <f>SUM(HH_hh_gas_aantal,HH_rest_gas_aantal)</f>
        <v>1116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1116</v>
      </c>
      <c r="C32" s="167">
        <f>IF(ISERROR(B32/SUM($B$32,$B$34,$B$35,$B$36,$B$38,$B$39)*100),0,B32/SUM($B$32,$B$34,$B$35,$B$36,$B$38,$B$39)*100)</f>
        <v>38.403303509979352</v>
      </c>
      <c r="D32" s="233"/>
      <c r="G32" s="15"/>
    </row>
    <row r="33" spans="1:7">
      <c r="A33" s="171" t="s">
        <v>72</v>
      </c>
      <c r="B33" s="34" t="s">
        <v>111</v>
      </c>
      <c r="C33" s="167"/>
      <c r="D33" s="233"/>
      <c r="G33" s="15"/>
    </row>
    <row r="34" spans="1:7">
      <c r="A34" s="171" t="s">
        <v>73</v>
      </c>
      <c r="B34" s="33">
        <f>IF((($B$28-$B$32-$B$39-$B$77-$B$38)*C20/100)&lt;0,0,($B$28-$B$32-$B$39-$B$77-$B$38)*C20/100)</f>
        <v>40.779761904761898</v>
      </c>
      <c r="C34" s="167">
        <f>IF(ISERROR(B34/SUM($B$32,$B$34,$B$35,$B$36,$B$38,$B$39)*100),0,B34/SUM($B$32,$B$34,$B$35,$B$36,$B$38,$B$39)*100)</f>
        <v>1.4032953167502373</v>
      </c>
      <c r="D34" s="233"/>
      <c r="G34" s="15"/>
    </row>
    <row r="35" spans="1:7">
      <c r="A35" s="171" t="s">
        <v>74</v>
      </c>
      <c r="B35" s="33">
        <f>IF((($B$28-$B$32-$B$39-$B$77-$B$38)*C21/100)&lt;0,0,($B$28-$B$32-$B$39-$B$77-$B$38)*C21/100)</f>
        <v>551.88611111111106</v>
      </c>
      <c r="C35" s="167">
        <f>IF(ISERROR(B35/SUM($B$32,$B$34,$B$35,$B$36,$B$38,$B$39)*100),0,B35/SUM($B$32,$B$34,$B$35,$B$36,$B$38,$B$39)*100)</f>
        <v>18.991263286686547</v>
      </c>
      <c r="D35" s="233"/>
      <c r="G35" s="15"/>
    </row>
    <row r="36" spans="1:7">
      <c r="A36" s="171" t="s">
        <v>75</v>
      </c>
      <c r="B36" s="33">
        <f>IF((($B$28-$B$32-$B$39-$B$77-$B$38)*C22/100)&lt;0,0,($B$28-$B$32-$B$39-$B$77-$B$38)*C22/100)</f>
        <v>92.434126984126976</v>
      </c>
      <c r="C36" s="167">
        <f>IF(ISERROR(B36/SUM($B$32,$B$34,$B$35,$B$36,$B$38,$B$39)*100),0,B36/SUM($B$32,$B$34,$B$35,$B$36,$B$38,$B$39)*100)</f>
        <v>3.1808027179672052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1104.9000000000001</v>
      </c>
      <c r="C39" s="167">
        <f>IF(ISERROR(B39/SUM($B$32,$B$34,$B$35,$B$36,$B$38,$B$39)*100),0,B39/SUM($B$32,$B$34,$B$35,$B$36,$B$38,$B$39)*100)</f>
        <v>38.021335168616659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1116</v>
      </c>
      <c r="C44" s="34" t="s">
        <v>111</v>
      </c>
      <c r="D44" s="174"/>
    </row>
    <row r="45" spans="1:7">
      <c r="A45" s="171" t="s">
        <v>72</v>
      </c>
      <c r="B45" s="33" t="str">
        <f t="shared" si="0"/>
        <v>-</v>
      </c>
      <c r="C45" s="34" t="s">
        <v>111</v>
      </c>
      <c r="D45" s="174"/>
    </row>
    <row r="46" spans="1:7">
      <c r="A46" s="171" t="s">
        <v>73</v>
      </c>
      <c r="B46" s="33">
        <f t="shared" si="0"/>
        <v>40.779761904761898</v>
      </c>
      <c r="C46" s="34" t="s">
        <v>111</v>
      </c>
      <c r="D46" s="174"/>
    </row>
    <row r="47" spans="1:7">
      <c r="A47" s="171" t="s">
        <v>74</v>
      </c>
      <c r="B47" s="33">
        <f t="shared" si="0"/>
        <v>551.88611111111106</v>
      </c>
      <c r="C47" s="34" t="s">
        <v>111</v>
      </c>
      <c r="D47" s="174"/>
    </row>
    <row r="48" spans="1:7">
      <c r="A48" s="171" t="s">
        <v>75</v>
      </c>
      <c r="B48" s="33">
        <f t="shared" si="0"/>
        <v>92.434126984126976</v>
      </c>
      <c r="C48" s="33">
        <f>B48*10</f>
        <v>924.34126984126976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1104.9000000000001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96</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8451.6150000000016</v>
      </c>
      <c r="C5" s="17">
        <f>IF(ISERROR('Eigen informatie GS &amp; warmtenet'!B58),0,'Eigen informatie GS &amp; warmtenet'!B58)</f>
        <v>0</v>
      </c>
      <c r="D5" s="30">
        <f>SUM(D6:D12)</f>
        <v>5097.0585820000006</v>
      </c>
      <c r="E5" s="17">
        <f>SUM(E6:E12)</f>
        <v>175.67507664854881</v>
      </c>
      <c r="F5" s="17">
        <f>SUM(F6:F12)</f>
        <v>2411.5486013098125</v>
      </c>
      <c r="G5" s="18"/>
      <c r="H5" s="17"/>
      <c r="I5" s="17"/>
      <c r="J5" s="17">
        <f>SUM(J6:J12)</f>
        <v>0</v>
      </c>
      <c r="K5" s="17"/>
      <c r="L5" s="17"/>
      <c r="M5" s="17"/>
      <c r="N5" s="17">
        <f>SUM(N6:N12)</f>
        <v>793.42797729220933</v>
      </c>
      <c r="O5" s="17">
        <f>B38*B39*B40</f>
        <v>0</v>
      </c>
      <c r="P5" s="17">
        <f>B46*B47*B48/1000-B46*B47*B48/1000/B49</f>
        <v>0</v>
      </c>
      <c r="R5" s="32"/>
    </row>
    <row r="6" spans="1:18">
      <c r="A6" s="32" t="s">
        <v>54</v>
      </c>
      <c r="B6" s="37">
        <f>B26</f>
        <v>2824.5920000000001</v>
      </c>
      <c r="C6" s="33"/>
      <c r="D6" s="37">
        <f>IF(ISERROR(TER_kantoor_gas_kWh/1000),0,TER_kantoor_gas_kWh/1000)*0.902</f>
        <v>704.67667600000004</v>
      </c>
      <c r="E6" s="33">
        <f>$C$26*'E Balans VL '!I12/100/3.6*1000000</f>
        <v>36.977388672818044</v>
      </c>
      <c r="F6" s="33">
        <f>$C$26*('E Balans VL '!L12+'E Balans VL '!N12)/100/3.6*1000000</f>
        <v>720.24177175659611</v>
      </c>
      <c r="G6" s="34"/>
      <c r="H6" s="33"/>
      <c r="I6" s="33"/>
      <c r="J6" s="33">
        <f>$C$26*('E Balans VL '!D12+'E Balans VL '!E12)/100/3.6*1000000</f>
        <v>0</v>
      </c>
      <c r="K6" s="33"/>
      <c r="L6" s="33"/>
      <c r="M6" s="33"/>
      <c r="N6" s="33">
        <f>$C$26*'E Balans VL '!Y12/100/3.6*1000000</f>
        <v>2.8341036622669176</v>
      </c>
      <c r="O6" s="33"/>
      <c r="P6" s="33"/>
      <c r="R6" s="32"/>
    </row>
    <row r="7" spans="1:18">
      <c r="A7" s="32" t="s">
        <v>53</v>
      </c>
      <c r="B7" s="37">
        <f t="shared" ref="B7:B12" si="0">B27</f>
        <v>2320.6779999999999</v>
      </c>
      <c r="C7" s="33"/>
      <c r="D7" s="37">
        <f>IF(ISERROR(TER_horeca_gas_kWh/1000),0,TER_horeca_gas_kWh/1000)*0.902</f>
        <v>2768.3426319999999</v>
      </c>
      <c r="E7" s="33">
        <f>$C$27*'E Balans VL '!I9/100/3.6*1000000</f>
        <v>76.800325589267572</v>
      </c>
      <c r="F7" s="33">
        <f>$C$27*('E Balans VL '!L9+'E Balans VL '!N9)/100/3.6*1000000</f>
        <v>997.88264608459951</v>
      </c>
      <c r="G7" s="34"/>
      <c r="H7" s="33"/>
      <c r="I7" s="33"/>
      <c r="J7" s="33">
        <f>$C$27*('E Balans VL '!D9+'E Balans VL '!E9)/100/3.6*1000000</f>
        <v>0</v>
      </c>
      <c r="K7" s="33"/>
      <c r="L7" s="33"/>
      <c r="M7" s="33"/>
      <c r="N7" s="33">
        <f>$C$27*'E Balans VL '!Y9/100/3.6*1000000</f>
        <v>0.55862089454282149</v>
      </c>
      <c r="O7" s="33"/>
      <c r="P7" s="33"/>
      <c r="R7" s="32"/>
    </row>
    <row r="8" spans="1:18">
      <c r="A8" s="6" t="s">
        <v>52</v>
      </c>
      <c r="B8" s="37">
        <f t="shared" si="0"/>
        <v>1908.9760000000001</v>
      </c>
      <c r="C8" s="33"/>
      <c r="D8" s="37">
        <f>IF(ISERROR(TER_handel_gas_kWh/1000),0,TER_handel_gas_kWh/1000)*0.902</f>
        <v>236.65954400000001</v>
      </c>
      <c r="E8" s="33">
        <f>$C$28*'E Balans VL '!I13/100/3.6*1000000</f>
        <v>60.250199388503972</v>
      </c>
      <c r="F8" s="33">
        <f>$C$28*('E Balans VL '!L13+'E Balans VL '!N13)/100/3.6*1000000</f>
        <v>374.38380858035697</v>
      </c>
      <c r="G8" s="34"/>
      <c r="H8" s="33"/>
      <c r="I8" s="33"/>
      <c r="J8" s="33">
        <f>$C$28*('E Balans VL '!D13+'E Balans VL '!E13)/100/3.6*1000000</f>
        <v>0</v>
      </c>
      <c r="K8" s="33"/>
      <c r="L8" s="33"/>
      <c r="M8" s="33"/>
      <c r="N8" s="33">
        <f>$C$28*'E Balans VL '!Y13/100/3.6*1000000</f>
        <v>2.2655838888595419</v>
      </c>
      <c r="O8" s="33"/>
      <c r="P8" s="33"/>
      <c r="R8" s="32"/>
    </row>
    <row r="9" spans="1:18">
      <c r="A9" s="32" t="s">
        <v>51</v>
      </c>
      <c r="B9" s="37">
        <f t="shared" si="0"/>
        <v>341.59699999999998</v>
      </c>
      <c r="C9" s="33"/>
      <c r="D9" s="37">
        <f>IF(ISERROR(TER_gezond_gas_kWh/1000),0,TER_gezond_gas_kWh/1000)*0.902</f>
        <v>701.04973400000006</v>
      </c>
      <c r="E9" s="33">
        <f>$C$29*'E Balans VL '!I10/100/3.6*1000000</f>
        <v>4.3734409198504659E-2</v>
      </c>
      <c r="F9" s="33">
        <f>$C$29*('E Balans VL '!L10+'E Balans VL '!N10)/100/3.6*1000000</f>
        <v>71.168972742387169</v>
      </c>
      <c r="G9" s="34"/>
      <c r="H9" s="33"/>
      <c r="I9" s="33"/>
      <c r="J9" s="33">
        <f>$C$29*('E Balans VL '!D10+'E Balans VL '!E10)/100/3.6*1000000</f>
        <v>0</v>
      </c>
      <c r="K9" s="33"/>
      <c r="L9" s="33"/>
      <c r="M9" s="33"/>
      <c r="N9" s="33">
        <f>$C$29*'E Balans VL '!Y10/100/3.6*1000000</f>
        <v>4.0122182249686675</v>
      </c>
      <c r="O9" s="33"/>
      <c r="P9" s="33"/>
      <c r="R9" s="32"/>
    </row>
    <row r="10" spans="1:18">
      <c r="A10" s="32" t="s">
        <v>50</v>
      </c>
      <c r="B10" s="37">
        <f t="shared" si="0"/>
        <v>994.38599999999997</v>
      </c>
      <c r="C10" s="33"/>
      <c r="D10" s="37">
        <f>IF(ISERROR(TER_ander_gas_kWh/1000),0,TER_ander_gas_kWh/1000)*0.902</f>
        <v>416.93055800000002</v>
      </c>
      <c r="E10" s="33">
        <f>$C$30*'E Balans VL '!I14/100/3.6*1000000</f>
        <v>1.4953226986316901</v>
      </c>
      <c r="F10" s="33">
        <f>$C$30*('E Balans VL '!L14+'E Balans VL '!N14)/100/3.6*1000000</f>
        <v>219.52837516803996</v>
      </c>
      <c r="G10" s="34"/>
      <c r="H10" s="33"/>
      <c r="I10" s="33"/>
      <c r="J10" s="33">
        <f>$C$30*('E Balans VL '!D14+'E Balans VL '!E14)/100/3.6*1000000</f>
        <v>0</v>
      </c>
      <c r="K10" s="33"/>
      <c r="L10" s="33"/>
      <c r="M10" s="33"/>
      <c r="N10" s="33">
        <f>$C$30*'E Balans VL '!Y14/100/3.6*1000000</f>
        <v>783.64308765467797</v>
      </c>
      <c r="O10" s="33"/>
      <c r="P10" s="33"/>
      <c r="R10" s="32"/>
    </row>
    <row r="11" spans="1:18">
      <c r="A11" s="32" t="s">
        <v>55</v>
      </c>
      <c r="B11" s="37">
        <f t="shared" si="0"/>
        <v>61.386000000000003</v>
      </c>
      <c r="C11" s="33"/>
      <c r="D11" s="37">
        <f>IF(ISERROR(TER_onderwijs_gas_kWh/1000),0,TER_onderwijs_gas_kWh/1000)*0.902</f>
        <v>269.39943799999998</v>
      </c>
      <c r="E11" s="33">
        <f>$C$31*'E Balans VL '!I11/100/3.6*1000000</f>
        <v>0.10810589012901861</v>
      </c>
      <c r="F11" s="33">
        <f>$C$31*('E Balans VL '!L11+'E Balans VL '!N11)/100/3.6*1000000</f>
        <v>28.34302697783286</v>
      </c>
      <c r="G11" s="34"/>
      <c r="H11" s="33"/>
      <c r="I11" s="33"/>
      <c r="J11" s="33">
        <f>$C$31*('E Balans VL '!D11+'E Balans VL '!E11)/100/3.6*1000000</f>
        <v>0</v>
      </c>
      <c r="K11" s="33"/>
      <c r="L11" s="33"/>
      <c r="M11" s="33"/>
      <c r="N11" s="33">
        <f>$C$31*'E Balans VL '!Y11/100/3.6*1000000</f>
        <v>0.11436296689340995</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8451.6150000000016</v>
      </c>
      <c r="C16" s="21">
        <f t="shared" ca="1" si="1"/>
        <v>0</v>
      </c>
      <c r="D16" s="21">
        <f t="shared" ca="1" si="1"/>
        <v>5097.0585820000006</v>
      </c>
      <c r="E16" s="21">
        <f t="shared" si="1"/>
        <v>175.67507664854881</v>
      </c>
      <c r="F16" s="21">
        <f t="shared" ca="1" si="1"/>
        <v>2411.5486013098125</v>
      </c>
      <c r="G16" s="21">
        <f t="shared" si="1"/>
        <v>0</v>
      </c>
      <c r="H16" s="21">
        <f t="shared" si="1"/>
        <v>0</v>
      </c>
      <c r="I16" s="21">
        <f t="shared" si="1"/>
        <v>0</v>
      </c>
      <c r="J16" s="21">
        <f t="shared" si="1"/>
        <v>0</v>
      </c>
      <c r="K16" s="21">
        <f t="shared" si="1"/>
        <v>0</v>
      </c>
      <c r="L16" s="21">
        <f t="shared" ca="1" si="1"/>
        <v>0</v>
      </c>
      <c r="M16" s="21">
        <f t="shared" si="1"/>
        <v>0</v>
      </c>
      <c r="N16" s="21">
        <f t="shared" ca="1" si="1"/>
        <v>793.42797729220933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7.7038971315171026E-2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651.10372555186927</v>
      </c>
      <c r="C20" s="23">
        <f t="shared" ref="C20:P20" ca="1" si="2">C16*C18</f>
        <v>0</v>
      </c>
      <c r="D20" s="23">
        <f t="shared" ca="1" si="2"/>
        <v>1029.6058335640002</v>
      </c>
      <c r="E20" s="23">
        <f t="shared" si="2"/>
        <v>39.878242399220582</v>
      </c>
      <c r="F20" s="23">
        <f t="shared" ca="1" si="2"/>
        <v>643.88347654971994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2824.5920000000001</v>
      </c>
      <c r="C26" s="39">
        <f>IF(ISERROR(B26*3.6/1000000/'E Balans VL '!Z12*100),0,B26*3.6/1000000/'E Balans VL '!Z12*100)</f>
        <v>6.0504954980078234E-2</v>
      </c>
      <c r="D26" s="237" t="s">
        <v>660</v>
      </c>
      <c r="F26" s="6"/>
    </row>
    <row r="27" spans="1:18">
      <c r="A27" s="231" t="s">
        <v>53</v>
      </c>
      <c r="B27" s="33">
        <f>IF(ISERROR(TER_horeca_ele_kWh/1000),0,TER_horeca_ele_kWh/1000)</f>
        <v>2320.6779999999999</v>
      </c>
      <c r="C27" s="39">
        <f>IF(ISERROR(B27*3.6/1000000/'E Balans VL '!Z9*100),0,B27*3.6/1000000/'E Balans VL '!Z9*100)</f>
        <v>0.18622634290560908</v>
      </c>
      <c r="D27" s="237" t="s">
        <v>660</v>
      </c>
      <c r="F27" s="6"/>
    </row>
    <row r="28" spans="1:18">
      <c r="A28" s="171" t="s">
        <v>52</v>
      </c>
      <c r="B28" s="33">
        <f>IF(ISERROR(TER_handel_ele_kWh/1000),0,TER_handel_ele_kWh/1000)</f>
        <v>1908.9760000000001</v>
      </c>
      <c r="C28" s="39">
        <f>IF(ISERROR(B28*3.6/1000000/'E Balans VL '!Z13*100),0,B28*3.6/1000000/'E Balans VL '!Z13*100)</f>
        <v>5.6303842550402064E-2</v>
      </c>
      <c r="D28" s="237" t="s">
        <v>660</v>
      </c>
      <c r="F28" s="6"/>
    </row>
    <row r="29" spans="1:18">
      <c r="A29" s="231" t="s">
        <v>51</v>
      </c>
      <c r="B29" s="33">
        <f>IF(ISERROR(TER_gezond_ele_kWh/1000),0,TER_gezond_ele_kWh/1000)</f>
        <v>341.59699999999998</v>
      </c>
      <c r="C29" s="39">
        <f>IF(ISERROR(B29*3.6/1000000/'E Balans VL '!Z10*100),0,B29*3.6/1000000/'E Balans VL '!Z10*100)</f>
        <v>3.6473401040986862E-2</v>
      </c>
      <c r="D29" s="237" t="s">
        <v>660</v>
      </c>
      <c r="F29" s="6"/>
    </row>
    <row r="30" spans="1:18">
      <c r="A30" s="231" t="s">
        <v>50</v>
      </c>
      <c r="B30" s="33">
        <f>IF(ISERROR(TER_ander_ele_kWh/1000),0,TER_ander_ele_kWh/1000)</f>
        <v>994.38599999999997</v>
      </c>
      <c r="C30" s="39">
        <f>IF(ISERROR(B30*3.6/1000000/'E Balans VL '!Z14*100),0,B30*3.6/1000000/'E Balans VL '!Z14*100)</f>
        <v>7.5109879376315511E-2</v>
      </c>
      <c r="D30" s="237" t="s">
        <v>660</v>
      </c>
      <c r="F30" s="6"/>
    </row>
    <row r="31" spans="1:18">
      <c r="A31" s="231" t="s">
        <v>55</v>
      </c>
      <c r="B31" s="33">
        <f>IF(ISERROR(TER_onderwijs_ele_kWh/1000),0,TER_onderwijs_ele_kWh/1000)</f>
        <v>61.386000000000003</v>
      </c>
      <c r="C31" s="39">
        <f>IF(ISERROR(B31*3.6/1000000/'E Balans VL '!Z11*100),0,B31*3.6/1000000/'E Balans VL '!Z11*100)</f>
        <v>1.2395882622991109E-2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7386.6839999999993</v>
      </c>
      <c r="C5" s="17">
        <f>IF(ISERROR('Eigen informatie GS &amp; warmtenet'!B59),0,'Eigen informatie GS &amp; warmtenet'!B59)</f>
        <v>0</v>
      </c>
      <c r="D5" s="30">
        <f>SUM(D6:D15)</f>
        <v>2069.3205940000003</v>
      </c>
      <c r="E5" s="17">
        <f>SUM(E6:E15)</f>
        <v>523.03917934130186</v>
      </c>
      <c r="F5" s="17">
        <f>SUM(F6:F15)</f>
        <v>2565.8905906148943</v>
      </c>
      <c r="G5" s="18"/>
      <c r="H5" s="17"/>
      <c r="I5" s="17"/>
      <c r="J5" s="17">
        <f>SUM(J6:J15)</f>
        <v>5.3129815205020625</v>
      </c>
      <c r="K5" s="17"/>
      <c r="L5" s="17"/>
      <c r="M5" s="17"/>
      <c r="N5" s="17">
        <f>SUM(N6:N15)</f>
        <v>602.8848285689819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1123.2760000000001</v>
      </c>
      <c r="C8" s="33"/>
      <c r="D8" s="37">
        <f>IF( ISERROR(IND_metaal_Gas_kWH/1000),0,IND_metaal_Gas_kWH/1000)*0.902</f>
        <v>118.67343400000001</v>
      </c>
      <c r="E8" s="33">
        <f>C30*'E Balans VL '!I18/100/3.6*1000000</f>
        <v>40.418868620253164</v>
      </c>
      <c r="F8" s="33">
        <f>C30*'E Balans VL '!L18/100/3.6*1000000+C30*'E Balans VL '!N18/100/3.6*1000000</f>
        <v>490.49821650971683</v>
      </c>
      <c r="G8" s="34"/>
      <c r="H8" s="33"/>
      <c r="I8" s="33"/>
      <c r="J8" s="40">
        <f>C30*'E Balans VL '!D18/100/3.6*1000000+C30*'E Balans VL '!E18/100/3.6*1000000</f>
        <v>0</v>
      </c>
      <c r="K8" s="33"/>
      <c r="L8" s="33"/>
      <c r="M8" s="33"/>
      <c r="N8" s="33">
        <f>C30*'E Balans VL '!Y18/100/3.6*1000000</f>
        <v>56.297829773074071</v>
      </c>
      <c r="O8" s="33"/>
      <c r="P8" s="33"/>
      <c r="R8" s="32"/>
    </row>
    <row r="9" spans="1:18">
      <c r="A9" s="6" t="s">
        <v>33</v>
      </c>
      <c r="B9" s="37">
        <f t="shared" si="0"/>
        <v>1490.337</v>
      </c>
      <c r="C9" s="33"/>
      <c r="D9" s="37">
        <f>IF( ISERROR(IND_andere_gas_kWh/1000),0,IND_andere_gas_kWh/1000)*0.902</f>
        <v>110.282128</v>
      </c>
      <c r="E9" s="33">
        <f>C31*'E Balans VL '!I19/100/3.6*1000000</f>
        <v>380.30028258091795</v>
      </c>
      <c r="F9" s="33">
        <f>C31*'E Balans VL '!L19/100/3.6*1000000+C31*'E Balans VL '!N19/100/3.6*1000000</f>
        <v>1283.0681389161909</v>
      </c>
      <c r="G9" s="34"/>
      <c r="H9" s="33"/>
      <c r="I9" s="33"/>
      <c r="J9" s="40">
        <f>C31*'E Balans VL '!D19/100/3.6*1000000+C31*'E Balans VL '!E19/100/3.6*1000000</f>
        <v>0</v>
      </c>
      <c r="K9" s="33"/>
      <c r="L9" s="33"/>
      <c r="M9" s="33"/>
      <c r="N9" s="33">
        <f>C31*'E Balans VL '!Y19/100/3.6*1000000</f>
        <v>466.07941861182928</v>
      </c>
      <c r="O9" s="33"/>
      <c r="P9" s="33"/>
      <c r="R9" s="32"/>
    </row>
    <row r="10" spans="1:18">
      <c r="A10" s="6" t="s">
        <v>41</v>
      </c>
      <c r="B10" s="37">
        <f t="shared" si="0"/>
        <v>214.52799999999999</v>
      </c>
      <c r="C10" s="33"/>
      <c r="D10" s="37">
        <f>IF( ISERROR(IND_voed_gas_kWh/1000),0,IND_voed_gas_kWh/1000)*0.902</f>
        <v>0</v>
      </c>
      <c r="E10" s="33">
        <f>C32*'E Balans VL '!I20/100/3.6*1000000</f>
        <v>5.4535963310836033</v>
      </c>
      <c r="F10" s="33">
        <f>C32*'E Balans VL '!L20/100/3.6*1000000+C32*'E Balans VL '!N20/100/3.6*1000000</f>
        <v>48.544466056997436</v>
      </c>
      <c r="G10" s="34"/>
      <c r="H10" s="33"/>
      <c r="I10" s="33"/>
      <c r="J10" s="40">
        <f>C32*'E Balans VL '!D20/100/3.6*1000000+C32*'E Balans VL '!E20/100/3.6*1000000</f>
        <v>0</v>
      </c>
      <c r="K10" s="33"/>
      <c r="L10" s="33"/>
      <c r="M10" s="33"/>
      <c r="N10" s="33">
        <f>C32*'E Balans VL '!Y20/100/3.6*1000000</f>
        <v>80.453815010165641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4558.2759999999998</v>
      </c>
      <c r="C12" s="33"/>
      <c r="D12" s="37">
        <f>IF( ISERROR(IND_min_gas_kWh/1000),0,IND_min_gas_kWh/1000)*0.902</f>
        <v>0</v>
      </c>
      <c r="E12" s="33">
        <f>C34*'E Balans VL '!I22/100/3.6*1000000</f>
        <v>96.851940947426812</v>
      </c>
      <c r="F12" s="33">
        <f>C34*'E Balans VL '!L22/100/3.6*1000000+C34*'E Balans VL '!N22/100/3.6*1000000</f>
        <v>743.72157547758889</v>
      </c>
      <c r="G12" s="34"/>
      <c r="H12" s="33"/>
      <c r="I12" s="33"/>
      <c r="J12" s="40">
        <f>C34*'E Balans VL '!D22/100/3.6*1000000+C34*'E Balans VL '!E22/100/3.6*1000000</f>
        <v>5.3108169206499314</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0.26700000000000002</v>
      </c>
      <c r="C15" s="33"/>
      <c r="D15" s="37">
        <f>IF( ISERROR(IND_rest_gas_kWh/1000),0,IND_rest_gas_kWh/1000)*0.902</f>
        <v>1840.3650320000002</v>
      </c>
      <c r="E15" s="33">
        <f>C37*'E Balans VL '!I15/100/3.6*1000000</f>
        <v>1.4490861620342665E-2</v>
      </c>
      <c r="F15" s="33">
        <f>C37*'E Balans VL '!L15/100/3.6*1000000+C37*'E Balans VL '!N15/100/3.6*1000000</f>
        <v>5.8193654400332785E-2</v>
      </c>
      <c r="G15" s="34"/>
      <c r="H15" s="33"/>
      <c r="I15" s="33"/>
      <c r="J15" s="40">
        <f>C37*'E Balans VL '!D15/100/3.6*1000000+C37*'E Balans VL '!E15/100/3.6*1000000</f>
        <v>2.1645998521314476E-3</v>
      </c>
      <c r="K15" s="33"/>
      <c r="L15" s="33"/>
      <c r="M15" s="33"/>
      <c r="N15" s="33">
        <f>C37*'E Balans VL '!Y15/100/3.6*1000000</f>
        <v>5.3765173912863611E-2</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7386.6839999999993</v>
      </c>
      <c r="C18" s="21">
        <f>C5+C16</f>
        <v>0</v>
      </c>
      <c r="D18" s="21">
        <f>MAX((D5+D16),0)</f>
        <v>2069.3205940000003</v>
      </c>
      <c r="E18" s="21">
        <f>MAX((E5+E16),0)</f>
        <v>523.03917934130186</v>
      </c>
      <c r="F18" s="21">
        <f>MAX((F5+F16),0)</f>
        <v>2565.8905906148943</v>
      </c>
      <c r="G18" s="21"/>
      <c r="H18" s="21"/>
      <c r="I18" s="21"/>
      <c r="J18" s="21">
        <f>MAX((J5+J16),0)</f>
        <v>5.3129815205020625</v>
      </c>
      <c r="K18" s="21"/>
      <c r="L18" s="21">
        <f>MAX((L5+L16),0)</f>
        <v>0</v>
      </c>
      <c r="M18" s="21"/>
      <c r="N18" s="21">
        <f>MAX((N5+N16),0)</f>
        <v>602.8848285689819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7.7038971315171026E-2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569.06253679023268</v>
      </c>
      <c r="C22" s="23">
        <f ca="1">C18*C20</f>
        <v>0</v>
      </c>
      <c r="D22" s="23">
        <f>D18*D20</f>
        <v>418.00275998800009</v>
      </c>
      <c r="E22" s="23">
        <f>E18*E20</f>
        <v>118.72989371047552</v>
      </c>
      <c r="F22" s="23">
        <f>F18*F20</f>
        <v>685.09278769417688</v>
      </c>
      <c r="G22" s="23"/>
      <c r="H22" s="23"/>
      <c r="I22" s="23"/>
      <c r="J22" s="23">
        <f>J18*J20</f>
        <v>1.88079545825773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1123.2760000000001</v>
      </c>
      <c r="C30" s="39">
        <f>IF(ISERROR(B30*3.6/1000000/'E Balans VL '!Z18*100),0,B30*3.6/1000000/'E Balans VL '!Z18*100)</f>
        <v>0.23799810199726484</v>
      </c>
      <c r="D30" s="237" t="s">
        <v>660</v>
      </c>
    </row>
    <row r="31" spans="1:18">
      <c r="A31" s="6" t="s">
        <v>33</v>
      </c>
      <c r="B31" s="37">
        <f>IF( ISERROR(IND_ander_ele_kWh/1000),0,IND_ander_ele_kWh/1000)</f>
        <v>1490.337</v>
      </c>
      <c r="C31" s="39">
        <f>IF(ISERROR(B31*3.6/1000000/'E Balans VL '!Z19*100),0,B31*3.6/1000000/'E Balans VL '!Z19*100)</f>
        <v>6.2731668386267092E-2</v>
      </c>
      <c r="D31" s="237" t="s">
        <v>660</v>
      </c>
    </row>
    <row r="32" spans="1:18">
      <c r="A32" s="171" t="s">
        <v>41</v>
      </c>
      <c r="B32" s="37">
        <f>IF( ISERROR(IND_voed_ele_kWh/1000),0,IND_voed_ele_kWh/1000)</f>
        <v>214.52799999999999</v>
      </c>
      <c r="C32" s="39">
        <f>IF(ISERROR(B32*3.6/1000000/'E Balans VL '!Z20*100),0,B32*3.6/1000000/'E Balans VL '!Z20*100)</f>
        <v>3.5839329617384064E-2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4558.2759999999998</v>
      </c>
      <c r="C34" s="39">
        <f>IF(ISERROR(B34*3.6/1000000/'E Balans VL '!Z22*100),0,B34*3.6/1000000/'E Balans VL '!Z22*100)</f>
        <v>0.57778606570986391</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0.26700000000000002</v>
      </c>
      <c r="C37" s="39">
        <f>IF(ISERROR(B37*3.6/1000000/'E Balans VL '!Z15*100),0,B37*3.6/1000000/'E Balans VL '!Z15*100)</f>
        <v>2.1555943871386197E-6</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172.35400000000001</v>
      </c>
      <c r="C5" s="17">
        <f>'Eigen informatie GS &amp; warmtenet'!B60</f>
        <v>0</v>
      </c>
      <c r="D5" s="30">
        <f>IF(ISERROR(SUM(LB_lb_gas_kWh,LB_rest_gas_kWh)/1000),0,SUM(LB_lb_gas_kWh,LB_rest_gas_kWh)/1000)*0.902</f>
        <v>67.965699999999998</v>
      </c>
      <c r="E5" s="17">
        <f>B17*'E Balans VL '!I25/3.6*1000000/100</f>
        <v>4.4443478971495516</v>
      </c>
      <c r="F5" s="17">
        <f>B17*('E Balans VL '!L25/3.6*1000000+'E Balans VL '!N25/3.6*1000000)/100</f>
        <v>629.9866932248417</v>
      </c>
      <c r="G5" s="18"/>
      <c r="H5" s="17"/>
      <c r="I5" s="17"/>
      <c r="J5" s="17">
        <f>('E Balans VL '!D25+'E Balans VL '!E25)/3.6*1000000*landbouw!B17/100</f>
        <v>24.812635672506655</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172.35400000000001</v>
      </c>
      <c r="C8" s="21">
        <f>C5+C6</f>
        <v>0</v>
      </c>
      <c r="D8" s="21">
        <f>MAX((D5+D6),0)</f>
        <v>67.965699999999998</v>
      </c>
      <c r="E8" s="21">
        <f>MAX((E5+E6),0)</f>
        <v>4.4443478971495516</v>
      </c>
      <c r="F8" s="21">
        <f>MAX((F5+F6),0)</f>
        <v>629.9866932248417</v>
      </c>
      <c r="G8" s="21"/>
      <c r="H8" s="21"/>
      <c r="I8" s="21"/>
      <c r="J8" s="21">
        <f>MAX((J5+J6),0)</f>
        <v>24.812635672506655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7.7038971315171026E-2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13.277974862054988</v>
      </c>
      <c r="C12" s="23">
        <f ca="1">C8*C10</f>
        <v>0</v>
      </c>
      <c r="D12" s="23">
        <f>D8*D10</f>
        <v>13.7290714</v>
      </c>
      <c r="E12" s="23">
        <f>E8*E10</f>
        <v>1.0088669726529482</v>
      </c>
      <c r="F12" s="23">
        <f>F8*F10</f>
        <v>168.20644709103274</v>
      </c>
      <c r="G12" s="23"/>
      <c r="H12" s="23"/>
      <c r="I12" s="23"/>
      <c r="J12" s="23">
        <f>J8*J10</f>
        <v>8.7836730280673549</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2.4303055647296991E-2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27.073584102792992</v>
      </c>
      <c r="C26" s="247">
        <f>B26*'GWP N2O_CH4'!B5</f>
        <v>568.54526615865279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4.7183819251665167</v>
      </c>
      <c r="C27" s="247">
        <f>B27*'GWP N2O_CH4'!B5</f>
        <v>99.086020428496852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0.39405510276573336</v>
      </c>
      <c r="C28" s="247">
        <f>B28*'GWP N2O_CH4'!B4</f>
        <v>122.15708185737734</v>
      </c>
      <c r="D28" s="50"/>
    </row>
    <row r="29" spans="1:4">
      <c r="A29" s="41" t="s">
        <v>277</v>
      </c>
      <c r="B29" s="247">
        <f>B34*'ha_N2O bodem landbouw'!B4</f>
        <v>2.1094165269240306</v>
      </c>
      <c r="C29" s="247">
        <f>B29*'GWP N2O_CH4'!B4</f>
        <v>653.91912334644951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4.7473334758646902E-4</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7.6045781674364581E-5</v>
      </c>
      <c r="C5" s="463" t="s">
        <v>211</v>
      </c>
      <c r="D5" s="448">
        <f>SUM(D6:D11)</f>
        <v>1.6876509724964692E-4</v>
      </c>
      <c r="E5" s="448">
        <f>SUM(E6:E11)</f>
        <v>6.90052890331167E-4</v>
      </c>
      <c r="F5" s="461" t="s">
        <v>211</v>
      </c>
      <c r="G5" s="448">
        <f>SUM(G6:G11)</f>
        <v>0.22214816156728978</v>
      </c>
      <c r="H5" s="448">
        <f>SUM(H6:H11)</f>
        <v>4.5840614326122596E-2</v>
      </c>
      <c r="I5" s="463" t="s">
        <v>211</v>
      </c>
      <c r="J5" s="463" t="s">
        <v>211</v>
      </c>
      <c r="K5" s="463" t="s">
        <v>211</v>
      </c>
      <c r="L5" s="463" t="s">
        <v>211</v>
      </c>
      <c r="M5" s="448">
        <f>SUM(M6:M11)</f>
        <v>8.3723041461581139E-3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4.7375745548452706E-5</v>
      </c>
      <c r="C6" s="449"/>
      <c r="D6" s="892">
        <f>vkm_2011_GW_PW*SUMIFS(TableVerdeelsleutelVkm[CNG],TableVerdeelsleutelVkm[Voertuigtype],"Lichte voertuigen")*SUMIFS(TableECFTransport[EnergieConsumptieFactor (PJ per km)],TableECFTransport[Index],CONCATENATE($A6,"_CNG_CNG"))</f>
        <v>9.4136436263655065E-5</v>
      </c>
      <c r="E6" s="892">
        <f>vkm_2011_GW_PW*SUMIFS(TableVerdeelsleutelVkm[LPG],TableVerdeelsleutelVkm[Voertuigtype],"Lichte voertuigen")*SUMIFS(TableECFTransport[EnergieConsumptieFactor (PJ per km)],TableECFTransport[Index],CONCATENATE($A6,"_LPG_LPG"))</f>
        <v>3.7046062208017858E-4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8.8082824685508626E-2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2.548556532864615E-2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3.5388959034257273E-3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2.3841234842988512E-2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7.7017371970553007E-6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7.5120083099975441E-4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1.0424414707388268E-5</v>
      </c>
      <c r="C8" s="449"/>
      <c r="D8" s="451">
        <f>vkm_2011_NGW_PW*SUMIFS(TableVerdeelsleutelVkm[CNG],TableVerdeelsleutelVkm[Voertuigtype],"Lichte voertuigen")*SUMIFS(TableECFTransport[EnergieConsumptieFactor (PJ per km)],TableECFTransport[Index],CONCATENATE($A8,"_CNG_CNG"))</f>
        <v>3.6676042895660269E-5</v>
      </c>
      <c r="E8" s="451">
        <f>vkm_2011_NGW_PW*SUMIFS(TableVerdeelsleutelVkm[LPG],TableVerdeelsleutelVkm[Voertuigtype],"Lichte voertuigen")*SUMIFS(TableECFTransport[EnergieConsumptieFactor (PJ per km)],TableECFTransport[Index],CONCATENATE($A8,"_LPG_LPG"))</f>
        <v>1.3348287433361696E-4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2.963695044227474E-2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9.6279983195499425E-3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1.222302533377892E-3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2.3040114559260856E-4</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7.0389503574128627E-8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7.259466396481314E-6</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1.8245621418523602E-5</v>
      </c>
      <c r="C10" s="449"/>
      <c r="D10" s="451">
        <f>vkm_2011_SW_PW*SUMIFS(TableVerdeelsleutelVkm[CNG],TableVerdeelsleutelVkm[Voertuigtype],"Lichte voertuigen")*SUMIFS(TableECFTransport[EnergieConsumptieFactor (PJ per km)],TableECFTransport[Index],CONCATENATE($A10,"_CNG_CNG"))</f>
        <v>3.795261809033158E-5</v>
      </c>
      <c r="E10" s="451">
        <f>vkm_2011_SW_PW*SUMIFS(TableVerdeelsleutelVkm[LPG],TableVerdeelsleutelVkm[Voertuigtype],"Lichte voertuigen")*SUMIFS(TableECFTransport[EnergieConsumptieFactor (PJ per km)],TableECFTransport[Index],CONCATENATE($A10,"_LPG_LPG"))</f>
        <v>1.8610939391737141E-4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3.9639164066364523E-2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1.0705106449593601E-2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1.5696660154241153E-3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4.0717586384560758E-2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1.4172101632271632E-5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1.2829793965341441E-3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21.12382824287905</v>
      </c>
      <c r="C14" s="21"/>
      <c r="D14" s="21">
        <f t="shared" ref="D14:M14" si="0">((D5)*10^9/3600)+D12</f>
        <v>46.879193680457483</v>
      </c>
      <c r="E14" s="21">
        <f t="shared" si="0"/>
        <v>191.68135842532416</v>
      </c>
      <c r="F14" s="21"/>
      <c r="G14" s="21">
        <f t="shared" si="0"/>
        <v>61707.822657580495</v>
      </c>
      <c r="H14" s="21">
        <f t="shared" si="0"/>
        <v>12733.503979478499</v>
      </c>
      <c r="I14" s="21"/>
      <c r="J14" s="21"/>
      <c r="K14" s="21"/>
      <c r="L14" s="21"/>
      <c r="M14" s="21">
        <f t="shared" si="0"/>
        <v>2325.6400405994759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7.7038971315171026E-2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1.6273579980697588</v>
      </c>
      <c r="C18" s="23"/>
      <c r="D18" s="23">
        <f t="shared" ref="D18:M18" si="1">D14*D16</f>
        <v>9.469597123452413</v>
      </c>
      <c r="E18" s="23">
        <f t="shared" si="1"/>
        <v>43.511668362548583</v>
      </c>
      <c r="F18" s="23"/>
      <c r="G18" s="23">
        <f t="shared" si="1"/>
        <v>16475.988649573992</v>
      </c>
      <c r="H18" s="23">
        <f t="shared" si="1"/>
        <v>3170.6424908901463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4.149975719939694E-3</v>
      </c>
      <c r="H50" s="321">
        <f t="shared" si="2"/>
        <v>0</v>
      </c>
      <c r="I50" s="321">
        <f t="shared" si="2"/>
        <v>0</v>
      </c>
      <c r="J50" s="321">
        <f t="shared" si="2"/>
        <v>0</v>
      </c>
      <c r="K50" s="321">
        <f t="shared" si="2"/>
        <v>0</v>
      </c>
      <c r="L50" s="321">
        <f t="shared" si="2"/>
        <v>0</v>
      </c>
      <c r="M50" s="321">
        <f t="shared" si="2"/>
        <v>1.2872296258118249E-4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4.149975719939694E-3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1.2872296258118249E-4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1152.7710333165817</v>
      </c>
      <c r="H54" s="21">
        <f t="shared" si="3"/>
        <v>0</v>
      </c>
      <c r="I54" s="21">
        <f t="shared" si="3"/>
        <v>0</v>
      </c>
      <c r="J54" s="21">
        <f t="shared" si="3"/>
        <v>0</v>
      </c>
      <c r="K54" s="21">
        <f t="shared" si="3"/>
        <v>0</v>
      </c>
      <c r="L54" s="21">
        <f t="shared" si="3"/>
        <v>0</v>
      </c>
      <c r="M54" s="21">
        <f t="shared" si="3"/>
        <v>35.756378494772918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7.7038971315171026E-2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307.78986589552733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9163.4320000000007</v>
      </c>
      <c r="D10" s="1012">
        <f ca="1">tertiair!C16</f>
        <v>0</v>
      </c>
      <c r="E10" s="1012">
        <f ca="1">tertiair!D16</f>
        <v>5097.0585820000006</v>
      </c>
      <c r="F10" s="1012">
        <f>tertiair!E16</f>
        <v>175.67507664854881</v>
      </c>
      <c r="G10" s="1012">
        <f ca="1">tertiair!F16</f>
        <v>2411.5486013098125</v>
      </c>
      <c r="H10" s="1012">
        <f>tertiair!G16</f>
        <v>0</v>
      </c>
      <c r="I10" s="1012">
        <f>tertiair!H16</f>
        <v>0</v>
      </c>
      <c r="J10" s="1012">
        <f>tertiair!I16</f>
        <v>0</v>
      </c>
      <c r="K10" s="1012">
        <f>tertiair!J16</f>
        <v>0</v>
      </c>
      <c r="L10" s="1012">
        <f>tertiair!K16</f>
        <v>0</v>
      </c>
      <c r="M10" s="1012">
        <f ca="1">tertiair!L16</f>
        <v>0</v>
      </c>
      <c r="N10" s="1012">
        <f>tertiair!M16</f>
        <v>0</v>
      </c>
      <c r="O10" s="1012">
        <f ca="1">tertiair!N16</f>
        <v>793.42797729220933</v>
      </c>
      <c r="P10" s="1012">
        <f>tertiair!O16</f>
        <v>0</v>
      </c>
      <c r="Q10" s="1013">
        <f>tertiair!P16</f>
        <v>0</v>
      </c>
      <c r="R10" s="700">
        <f ca="1">SUM(C10:Q10)</f>
        <v>17641.142237250573</v>
      </c>
      <c r="S10" s="67"/>
    </row>
    <row r="11" spans="1:19" s="473" customFormat="1">
      <c r="A11" s="809" t="s">
        <v>225</v>
      </c>
      <c r="B11" s="814"/>
      <c r="C11" s="1012">
        <f>huishoudens!B8</f>
        <v>14053.045218963831</v>
      </c>
      <c r="D11" s="1012">
        <f>huishoudens!C8</f>
        <v>0</v>
      </c>
      <c r="E11" s="1012">
        <f>huishoudens!D8</f>
        <v>15805.709919999999</v>
      </c>
      <c r="F11" s="1012">
        <f>huishoudens!E8</f>
        <v>922.35207895398071</v>
      </c>
      <c r="G11" s="1012">
        <f>huishoudens!F8</f>
        <v>26895.646107342389</v>
      </c>
      <c r="H11" s="1012">
        <f>huishoudens!G8</f>
        <v>0</v>
      </c>
      <c r="I11" s="1012">
        <f>huishoudens!H8</f>
        <v>0</v>
      </c>
      <c r="J11" s="1012">
        <f>huishoudens!I8</f>
        <v>0</v>
      </c>
      <c r="K11" s="1012">
        <f>huishoudens!J8</f>
        <v>0</v>
      </c>
      <c r="L11" s="1012">
        <f>huishoudens!K8</f>
        <v>0</v>
      </c>
      <c r="M11" s="1012">
        <f>huishoudens!L8</f>
        <v>0</v>
      </c>
      <c r="N11" s="1012">
        <f>huishoudens!M8</f>
        <v>0</v>
      </c>
      <c r="O11" s="1012">
        <f>huishoudens!N8</f>
        <v>5937.6256839057714</v>
      </c>
      <c r="P11" s="1012">
        <f>huishoudens!O8</f>
        <v>150.08000000000001</v>
      </c>
      <c r="Q11" s="1013">
        <f>huishoudens!P8</f>
        <v>591.06666666666661</v>
      </c>
      <c r="R11" s="700">
        <f>SUM(C11:Q11)</f>
        <v>64355.525675832643</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7386.6839999999993</v>
      </c>
      <c r="D13" s="1012">
        <f>industrie!C18</f>
        <v>0</v>
      </c>
      <c r="E13" s="1012">
        <f>industrie!D18</f>
        <v>2069.3205940000003</v>
      </c>
      <c r="F13" s="1012">
        <f>industrie!E18</f>
        <v>523.03917934130186</v>
      </c>
      <c r="G13" s="1012">
        <f>industrie!F18</f>
        <v>2565.8905906148943</v>
      </c>
      <c r="H13" s="1012">
        <f>industrie!G18</f>
        <v>0</v>
      </c>
      <c r="I13" s="1012">
        <f>industrie!H18</f>
        <v>0</v>
      </c>
      <c r="J13" s="1012">
        <f>industrie!I18</f>
        <v>0</v>
      </c>
      <c r="K13" s="1012">
        <f>industrie!J18</f>
        <v>5.3129815205020625</v>
      </c>
      <c r="L13" s="1012">
        <f>industrie!K18</f>
        <v>0</v>
      </c>
      <c r="M13" s="1012">
        <f>industrie!L18</f>
        <v>0</v>
      </c>
      <c r="N13" s="1012">
        <f>industrie!M18</f>
        <v>0</v>
      </c>
      <c r="O13" s="1012">
        <f>industrie!N18</f>
        <v>602.8848285689819</v>
      </c>
      <c r="P13" s="1012">
        <f>industrie!O18</f>
        <v>0</v>
      </c>
      <c r="Q13" s="1013">
        <f>industrie!P18</f>
        <v>0</v>
      </c>
      <c r="R13" s="700">
        <f>SUM(C13:Q13)</f>
        <v>13153.132174045681</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30603.161218963833</v>
      </c>
      <c r="D16" s="732">
        <f t="shared" ref="D16:R16" ca="1" si="0">SUM(D9:D15)</f>
        <v>0</v>
      </c>
      <c r="E16" s="732">
        <f t="shared" ca="1" si="0"/>
        <v>22972.089096</v>
      </c>
      <c r="F16" s="732">
        <f t="shared" si="0"/>
        <v>1621.0663349438314</v>
      </c>
      <c r="G16" s="732">
        <f t="shared" ca="1" si="0"/>
        <v>31873.085299267095</v>
      </c>
      <c r="H16" s="732">
        <f t="shared" si="0"/>
        <v>0</v>
      </c>
      <c r="I16" s="732">
        <f t="shared" si="0"/>
        <v>0</v>
      </c>
      <c r="J16" s="732">
        <f t="shared" si="0"/>
        <v>0</v>
      </c>
      <c r="K16" s="732">
        <f t="shared" si="0"/>
        <v>5.3129815205020625</v>
      </c>
      <c r="L16" s="732">
        <f t="shared" si="0"/>
        <v>0</v>
      </c>
      <c r="M16" s="732">
        <f t="shared" ca="1" si="0"/>
        <v>0</v>
      </c>
      <c r="N16" s="732">
        <f t="shared" si="0"/>
        <v>0</v>
      </c>
      <c r="O16" s="732">
        <f t="shared" ca="1" si="0"/>
        <v>7333.9384897669624</v>
      </c>
      <c r="P16" s="732">
        <f t="shared" si="0"/>
        <v>150.08000000000001</v>
      </c>
      <c r="Q16" s="732">
        <f t="shared" si="0"/>
        <v>591.06666666666661</v>
      </c>
      <c r="R16" s="732">
        <f t="shared" ca="1" si="0"/>
        <v>95149.800087128897</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1152.7710333165817</v>
      </c>
      <c r="I19" s="1012">
        <f>transport!H54</f>
        <v>0</v>
      </c>
      <c r="J19" s="1012">
        <f>transport!I54</f>
        <v>0</v>
      </c>
      <c r="K19" s="1012">
        <f>transport!J54</f>
        <v>0</v>
      </c>
      <c r="L19" s="1012">
        <f>transport!K54</f>
        <v>0</v>
      </c>
      <c r="M19" s="1012">
        <f>transport!L54</f>
        <v>0</v>
      </c>
      <c r="N19" s="1012">
        <f>transport!M54</f>
        <v>35.756378494772918</v>
      </c>
      <c r="O19" s="1012">
        <f>transport!N54</f>
        <v>0</v>
      </c>
      <c r="P19" s="1012">
        <f>transport!O54</f>
        <v>0</v>
      </c>
      <c r="Q19" s="1013">
        <f>transport!P54</f>
        <v>0</v>
      </c>
      <c r="R19" s="700">
        <f>SUM(C19:Q19)</f>
        <v>1188.5274118113546</v>
      </c>
      <c r="S19" s="67"/>
    </row>
    <row r="20" spans="1:19" s="473" customFormat="1">
      <c r="A20" s="809" t="s">
        <v>307</v>
      </c>
      <c r="B20" s="814"/>
      <c r="C20" s="1012">
        <f>transport!B14</f>
        <v>21.12382824287905</v>
      </c>
      <c r="D20" s="1012">
        <f>transport!C14</f>
        <v>0</v>
      </c>
      <c r="E20" s="1012">
        <f>transport!D14</f>
        <v>46.879193680457483</v>
      </c>
      <c r="F20" s="1012">
        <f>transport!E14</f>
        <v>191.68135842532416</v>
      </c>
      <c r="G20" s="1012">
        <f>transport!F14</f>
        <v>0</v>
      </c>
      <c r="H20" s="1012">
        <f>transport!G14</f>
        <v>61707.822657580495</v>
      </c>
      <c r="I20" s="1012">
        <f>transport!H14</f>
        <v>12733.503979478499</v>
      </c>
      <c r="J20" s="1012">
        <f>transport!I14</f>
        <v>0</v>
      </c>
      <c r="K20" s="1012">
        <f>transport!J14</f>
        <v>0</v>
      </c>
      <c r="L20" s="1012">
        <f>transport!K14</f>
        <v>0</v>
      </c>
      <c r="M20" s="1012">
        <f>transport!L14</f>
        <v>0</v>
      </c>
      <c r="N20" s="1012">
        <f>transport!M14</f>
        <v>2325.6400405994759</v>
      </c>
      <c r="O20" s="1012">
        <f>transport!N14</f>
        <v>0</v>
      </c>
      <c r="P20" s="1012">
        <f>transport!O14</f>
        <v>0</v>
      </c>
      <c r="Q20" s="1013">
        <f>transport!P14</f>
        <v>0</v>
      </c>
      <c r="R20" s="700">
        <f>SUM(C20:Q20)</f>
        <v>77026.651058007134</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21.12382824287905</v>
      </c>
      <c r="D22" s="812">
        <f t="shared" ref="D22:R22" si="1">SUM(D18:D21)</f>
        <v>0</v>
      </c>
      <c r="E22" s="812">
        <f t="shared" si="1"/>
        <v>46.879193680457483</v>
      </c>
      <c r="F22" s="812">
        <f t="shared" si="1"/>
        <v>191.68135842532416</v>
      </c>
      <c r="G22" s="812">
        <f t="shared" si="1"/>
        <v>0</v>
      </c>
      <c r="H22" s="812">
        <f t="shared" si="1"/>
        <v>62860.593690897076</v>
      </c>
      <c r="I22" s="812">
        <f t="shared" si="1"/>
        <v>12733.503979478499</v>
      </c>
      <c r="J22" s="812">
        <f t="shared" si="1"/>
        <v>0</v>
      </c>
      <c r="K22" s="812">
        <f t="shared" si="1"/>
        <v>0</v>
      </c>
      <c r="L22" s="812">
        <f t="shared" si="1"/>
        <v>0</v>
      </c>
      <c r="M22" s="812">
        <f t="shared" si="1"/>
        <v>0</v>
      </c>
      <c r="N22" s="812">
        <f t="shared" si="1"/>
        <v>2361.3964190942488</v>
      </c>
      <c r="O22" s="812">
        <f t="shared" si="1"/>
        <v>0</v>
      </c>
      <c r="P22" s="812">
        <f t="shared" si="1"/>
        <v>0</v>
      </c>
      <c r="Q22" s="812">
        <f t="shared" si="1"/>
        <v>0</v>
      </c>
      <c r="R22" s="812">
        <f t="shared" si="1"/>
        <v>78215.178469818493</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172.35400000000001</v>
      </c>
      <c r="D24" s="1012">
        <f>+landbouw!C8</f>
        <v>0</v>
      </c>
      <c r="E24" s="1012">
        <f>+landbouw!D8</f>
        <v>67.965699999999998</v>
      </c>
      <c r="F24" s="1012">
        <f>+landbouw!E8</f>
        <v>4.4443478971495516</v>
      </c>
      <c r="G24" s="1012">
        <f>+landbouw!F8</f>
        <v>629.9866932248417</v>
      </c>
      <c r="H24" s="1012">
        <f>+landbouw!G8</f>
        <v>0</v>
      </c>
      <c r="I24" s="1012">
        <f>+landbouw!H8</f>
        <v>0</v>
      </c>
      <c r="J24" s="1012">
        <f>+landbouw!I8</f>
        <v>0</v>
      </c>
      <c r="K24" s="1012">
        <f>+landbouw!J8</f>
        <v>24.812635672506655</v>
      </c>
      <c r="L24" s="1012">
        <f>+landbouw!K8</f>
        <v>0</v>
      </c>
      <c r="M24" s="1012">
        <f>+landbouw!L8</f>
        <v>0</v>
      </c>
      <c r="N24" s="1012">
        <f>+landbouw!M8</f>
        <v>0</v>
      </c>
      <c r="O24" s="1012">
        <f>+landbouw!N8</f>
        <v>0</v>
      </c>
      <c r="P24" s="1012">
        <f>+landbouw!O8</f>
        <v>0</v>
      </c>
      <c r="Q24" s="1013">
        <f>+landbouw!P8</f>
        <v>0</v>
      </c>
      <c r="R24" s="700">
        <f>SUM(C24:Q24)</f>
        <v>899.56337679449791</v>
      </c>
      <c r="S24" s="67"/>
    </row>
    <row r="25" spans="1:19" s="473" customFormat="1" ht="15" thickBot="1">
      <c r="A25" s="831" t="s">
        <v>848</v>
      </c>
      <c r="B25" s="1015"/>
      <c r="C25" s="1016">
        <f>IF(Onbekend_ele_kWh="---",0,Onbekend_ele_kWh)/1000+IF(REST_rest_ele_kWh="---",0,REST_rest_ele_kWh)/1000</f>
        <v>380.517</v>
      </c>
      <c r="D25" s="1016"/>
      <c r="E25" s="1016">
        <f>IF(onbekend_gas_kWh="---",0,onbekend_gas_kWh)/1000+IF(REST_rest_gas_kWh="---",0,REST_rest_gas_kWh)/1000</f>
        <v>830.19799999999998</v>
      </c>
      <c r="F25" s="1016"/>
      <c r="G25" s="1016"/>
      <c r="H25" s="1016"/>
      <c r="I25" s="1016"/>
      <c r="J25" s="1016"/>
      <c r="K25" s="1016"/>
      <c r="L25" s="1016"/>
      <c r="M25" s="1016"/>
      <c r="N25" s="1016"/>
      <c r="O25" s="1016"/>
      <c r="P25" s="1016"/>
      <c r="Q25" s="1017"/>
      <c r="R25" s="700">
        <f>SUM(C25:Q25)</f>
        <v>1210.7149999999999</v>
      </c>
      <c r="S25" s="67"/>
    </row>
    <row r="26" spans="1:19" s="473" customFormat="1" ht="15.75" thickBot="1">
      <c r="A26" s="705" t="s">
        <v>849</v>
      </c>
      <c r="B26" s="817"/>
      <c r="C26" s="812">
        <f>SUM(C24:C25)</f>
        <v>552.87099999999998</v>
      </c>
      <c r="D26" s="812">
        <f t="shared" ref="D26:R26" si="2">SUM(D24:D25)</f>
        <v>0</v>
      </c>
      <c r="E26" s="812">
        <f t="shared" si="2"/>
        <v>898.16369999999995</v>
      </c>
      <c r="F26" s="812">
        <f t="shared" si="2"/>
        <v>4.4443478971495516</v>
      </c>
      <c r="G26" s="812">
        <f t="shared" si="2"/>
        <v>629.9866932248417</v>
      </c>
      <c r="H26" s="812">
        <f t="shared" si="2"/>
        <v>0</v>
      </c>
      <c r="I26" s="812">
        <f t="shared" si="2"/>
        <v>0</v>
      </c>
      <c r="J26" s="812">
        <f t="shared" si="2"/>
        <v>0</v>
      </c>
      <c r="K26" s="812">
        <f t="shared" si="2"/>
        <v>24.812635672506655</v>
      </c>
      <c r="L26" s="812">
        <f t="shared" si="2"/>
        <v>0</v>
      </c>
      <c r="M26" s="812">
        <f t="shared" si="2"/>
        <v>0</v>
      </c>
      <c r="N26" s="812">
        <f t="shared" si="2"/>
        <v>0</v>
      </c>
      <c r="O26" s="812">
        <f t="shared" si="2"/>
        <v>0</v>
      </c>
      <c r="P26" s="812">
        <f t="shared" si="2"/>
        <v>0</v>
      </c>
      <c r="Q26" s="812">
        <f t="shared" si="2"/>
        <v>0</v>
      </c>
      <c r="R26" s="812">
        <f t="shared" si="2"/>
        <v>2110.2783767944979</v>
      </c>
      <c r="S26" s="67"/>
    </row>
    <row r="27" spans="1:19" s="473" customFormat="1" ht="17.25" thickTop="1" thickBot="1">
      <c r="A27" s="706" t="s">
        <v>116</v>
      </c>
      <c r="B27" s="805"/>
      <c r="C27" s="707">
        <f ca="1">C22+C16+C26</f>
        <v>31177.15604720671</v>
      </c>
      <c r="D27" s="707">
        <f t="shared" ref="D27:R27" ca="1" si="3">D22+D16+D26</f>
        <v>0</v>
      </c>
      <c r="E27" s="707">
        <f t="shared" ca="1" si="3"/>
        <v>23917.13198968046</v>
      </c>
      <c r="F27" s="707">
        <f t="shared" si="3"/>
        <v>1817.1920412663051</v>
      </c>
      <c r="G27" s="707">
        <f t="shared" ca="1" si="3"/>
        <v>32503.071992491936</v>
      </c>
      <c r="H27" s="707">
        <f t="shared" si="3"/>
        <v>62860.593690897076</v>
      </c>
      <c r="I27" s="707">
        <f t="shared" si="3"/>
        <v>12733.503979478499</v>
      </c>
      <c r="J27" s="707">
        <f t="shared" si="3"/>
        <v>0</v>
      </c>
      <c r="K27" s="707">
        <f t="shared" si="3"/>
        <v>30.125617193008718</v>
      </c>
      <c r="L27" s="707">
        <f t="shared" si="3"/>
        <v>0</v>
      </c>
      <c r="M27" s="707">
        <f t="shared" ca="1" si="3"/>
        <v>0</v>
      </c>
      <c r="N27" s="707">
        <f t="shared" si="3"/>
        <v>2361.3964190942488</v>
      </c>
      <c r="O27" s="707">
        <f t="shared" ca="1" si="3"/>
        <v>7333.9384897669624</v>
      </c>
      <c r="P27" s="707">
        <f t="shared" si="3"/>
        <v>150.08000000000001</v>
      </c>
      <c r="Q27" s="707">
        <f t="shared" si="3"/>
        <v>591.06666666666661</v>
      </c>
      <c r="R27" s="707">
        <f t="shared" ca="1" si="3"/>
        <v>175475.25693374188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705.94137499652038</v>
      </c>
      <c r="D40" s="1012">
        <f ca="1">tertiair!C20</f>
        <v>0</v>
      </c>
      <c r="E40" s="1012">
        <f ca="1">tertiair!D20</f>
        <v>1029.6058335640002</v>
      </c>
      <c r="F40" s="1012">
        <f>tertiair!E20</f>
        <v>39.878242399220582</v>
      </c>
      <c r="G40" s="1012">
        <f ca="1">tertiair!F20</f>
        <v>643.88347654971994</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2419.3089275094612</v>
      </c>
    </row>
    <row r="41" spans="1:18">
      <c r="A41" s="822" t="s">
        <v>225</v>
      </c>
      <c r="B41" s="829"/>
      <c r="C41" s="1012">
        <f ca="1">huishoudens!B12</f>
        <v>1082.632147514556</v>
      </c>
      <c r="D41" s="1012">
        <f ca="1">huishoudens!C12</f>
        <v>0</v>
      </c>
      <c r="E41" s="1012">
        <f>huishoudens!D12</f>
        <v>3192.7534038399999</v>
      </c>
      <c r="F41" s="1012">
        <f>huishoudens!E12</f>
        <v>209.37392192255362</v>
      </c>
      <c r="G41" s="1012">
        <f>huishoudens!F12</f>
        <v>7181.1375106604182</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11665.896983937528</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569.06253679023268</v>
      </c>
      <c r="D43" s="1012">
        <f ca="1">industrie!C22</f>
        <v>0</v>
      </c>
      <c r="E43" s="1012">
        <f>industrie!D22</f>
        <v>418.00275998800009</v>
      </c>
      <c r="F43" s="1012">
        <f>industrie!E22</f>
        <v>118.72989371047552</v>
      </c>
      <c r="G43" s="1012">
        <f>industrie!F22</f>
        <v>685.09278769417688</v>
      </c>
      <c r="H43" s="1012">
        <f>industrie!G22</f>
        <v>0</v>
      </c>
      <c r="I43" s="1012">
        <f>industrie!H22</f>
        <v>0</v>
      </c>
      <c r="J43" s="1012">
        <f>industrie!I22</f>
        <v>0</v>
      </c>
      <c r="K43" s="1012">
        <f>industrie!J22</f>
        <v>1.88079545825773</v>
      </c>
      <c r="L43" s="1012">
        <f>industrie!K22</f>
        <v>0</v>
      </c>
      <c r="M43" s="1012">
        <f>industrie!L22</f>
        <v>0</v>
      </c>
      <c r="N43" s="1012">
        <f>industrie!M22</f>
        <v>0</v>
      </c>
      <c r="O43" s="1012">
        <f>industrie!N22</f>
        <v>0</v>
      </c>
      <c r="P43" s="1012">
        <f>industrie!O22</f>
        <v>0</v>
      </c>
      <c r="Q43" s="774">
        <f>industrie!P22</f>
        <v>0</v>
      </c>
      <c r="R43" s="849">
        <f t="shared" ca="1" si="4"/>
        <v>1792.7687736411431</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2357.6360593013092</v>
      </c>
      <c r="D46" s="732">
        <f t="shared" ref="D46:Q46" ca="1" si="5">SUM(D39:D45)</f>
        <v>0</v>
      </c>
      <c r="E46" s="732">
        <f t="shared" ca="1" si="5"/>
        <v>4640.3619973920004</v>
      </c>
      <c r="F46" s="732">
        <f t="shared" si="5"/>
        <v>367.98205803224971</v>
      </c>
      <c r="G46" s="732">
        <f t="shared" ca="1" si="5"/>
        <v>8510.1137749043155</v>
      </c>
      <c r="H46" s="732">
        <f t="shared" si="5"/>
        <v>0</v>
      </c>
      <c r="I46" s="732">
        <f t="shared" si="5"/>
        <v>0</v>
      </c>
      <c r="J46" s="732">
        <f t="shared" si="5"/>
        <v>0</v>
      </c>
      <c r="K46" s="732">
        <f t="shared" si="5"/>
        <v>1.88079545825773</v>
      </c>
      <c r="L46" s="732">
        <f t="shared" si="5"/>
        <v>0</v>
      </c>
      <c r="M46" s="732">
        <f t="shared" ca="1" si="5"/>
        <v>0</v>
      </c>
      <c r="N46" s="732">
        <f t="shared" si="5"/>
        <v>0</v>
      </c>
      <c r="O46" s="732">
        <f t="shared" ca="1" si="5"/>
        <v>0</v>
      </c>
      <c r="P46" s="732">
        <f t="shared" si="5"/>
        <v>0</v>
      </c>
      <c r="Q46" s="732">
        <f t="shared" si="5"/>
        <v>0</v>
      </c>
      <c r="R46" s="732">
        <f ca="1">SUM(R39:R45)</f>
        <v>15877.974685088131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307.78986589552733</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307.78986589552733</v>
      </c>
    </row>
    <row r="50" spans="1:18">
      <c r="A50" s="825" t="s">
        <v>307</v>
      </c>
      <c r="B50" s="835"/>
      <c r="C50" s="703">
        <f ca="1">transport!B18</f>
        <v>1.6273579980697588</v>
      </c>
      <c r="D50" s="703">
        <f>transport!C18</f>
        <v>0</v>
      </c>
      <c r="E50" s="703">
        <f>transport!D18</f>
        <v>9.469597123452413</v>
      </c>
      <c r="F50" s="703">
        <f>transport!E18</f>
        <v>43.511668362548583</v>
      </c>
      <c r="G50" s="703">
        <f>transport!F18</f>
        <v>0</v>
      </c>
      <c r="H50" s="703">
        <f>transport!G18</f>
        <v>16475.988649573992</v>
      </c>
      <c r="I50" s="703">
        <f>transport!H18</f>
        <v>3170.6424908901463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19701.239763948208</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1.6273579980697588</v>
      </c>
      <c r="D52" s="732">
        <f t="shared" ref="D52:Q52" ca="1" si="6">SUM(D48:D51)</f>
        <v>0</v>
      </c>
      <c r="E52" s="732">
        <f t="shared" si="6"/>
        <v>9.469597123452413</v>
      </c>
      <c r="F52" s="732">
        <f t="shared" si="6"/>
        <v>43.511668362548583</v>
      </c>
      <c r="G52" s="732">
        <f t="shared" si="6"/>
        <v>0</v>
      </c>
      <c r="H52" s="732">
        <f t="shared" si="6"/>
        <v>16783.778515469519</v>
      </c>
      <c r="I52" s="732">
        <f t="shared" si="6"/>
        <v>3170.6424908901463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20009.029629843735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13.277974862054988</v>
      </c>
      <c r="D54" s="703">
        <f ca="1">+landbouw!C12</f>
        <v>0</v>
      </c>
      <c r="E54" s="703">
        <f>+landbouw!D12</f>
        <v>13.7290714</v>
      </c>
      <c r="F54" s="703">
        <f>+landbouw!E12</f>
        <v>1.0088669726529482</v>
      </c>
      <c r="G54" s="703">
        <f>+landbouw!F12</f>
        <v>168.20644709103274</v>
      </c>
      <c r="H54" s="703">
        <f>+landbouw!G12</f>
        <v>0</v>
      </c>
      <c r="I54" s="703">
        <f>+landbouw!H12</f>
        <v>0</v>
      </c>
      <c r="J54" s="703">
        <f>+landbouw!I12</f>
        <v>0</v>
      </c>
      <c r="K54" s="703">
        <f>+landbouw!J12</f>
        <v>8.7836730280673549</v>
      </c>
      <c r="L54" s="703">
        <f>+landbouw!K12</f>
        <v>0</v>
      </c>
      <c r="M54" s="703">
        <f>+landbouw!L12</f>
        <v>0</v>
      </c>
      <c r="N54" s="703">
        <f>+landbouw!M12</f>
        <v>0</v>
      </c>
      <c r="O54" s="703">
        <f>+landbouw!N12</f>
        <v>0</v>
      </c>
      <c r="P54" s="703">
        <f>+landbouw!O12</f>
        <v>0</v>
      </c>
      <c r="Q54" s="704">
        <f>+landbouw!P12</f>
        <v>0</v>
      </c>
      <c r="R54" s="731">
        <f ca="1">SUM(C54:Q54)</f>
        <v>205.00603335380805</v>
      </c>
    </row>
    <row r="55" spans="1:18" ht="15" thickBot="1">
      <c r="A55" s="825" t="s">
        <v>848</v>
      </c>
      <c r="B55" s="835"/>
      <c r="C55" s="703">
        <f ca="1">C25*'EF ele_warmte'!B12</f>
        <v>29.314638247934933</v>
      </c>
      <c r="D55" s="703"/>
      <c r="E55" s="703">
        <f>E25*EF_CO2_aardgas</f>
        <v>167.699996</v>
      </c>
      <c r="F55" s="703"/>
      <c r="G55" s="703"/>
      <c r="H55" s="703"/>
      <c r="I55" s="703"/>
      <c r="J55" s="703"/>
      <c r="K55" s="703"/>
      <c r="L55" s="703"/>
      <c r="M55" s="703"/>
      <c r="N55" s="703"/>
      <c r="O55" s="703"/>
      <c r="P55" s="703"/>
      <c r="Q55" s="704"/>
      <c r="R55" s="731">
        <f ca="1">SUM(C55:Q55)</f>
        <v>197.01463424793494</v>
      </c>
    </row>
    <row r="56" spans="1:18" ht="15.75" thickBot="1">
      <c r="A56" s="823" t="s">
        <v>849</v>
      </c>
      <c r="B56" s="836"/>
      <c r="C56" s="732">
        <f ca="1">SUM(C54:C55)</f>
        <v>42.592613109989919</v>
      </c>
      <c r="D56" s="732">
        <f t="shared" ref="D56:Q56" ca="1" si="7">SUM(D54:D55)</f>
        <v>0</v>
      </c>
      <c r="E56" s="732">
        <f t="shared" si="7"/>
        <v>181.42906740000001</v>
      </c>
      <c r="F56" s="732">
        <f t="shared" si="7"/>
        <v>1.0088669726529482</v>
      </c>
      <c r="G56" s="732">
        <f t="shared" si="7"/>
        <v>168.20644709103274</v>
      </c>
      <c r="H56" s="732">
        <f t="shared" si="7"/>
        <v>0</v>
      </c>
      <c r="I56" s="732">
        <f t="shared" si="7"/>
        <v>0</v>
      </c>
      <c r="J56" s="732">
        <f t="shared" si="7"/>
        <v>0</v>
      </c>
      <c r="K56" s="732">
        <f t="shared" si="7"/>
        <v>8.7836730280673549</v>
      </c>
      <c r="L56" s="732">
        <f t="shared" si="7"/>
        <v>0</v>
      </c>
      <c r="M56" s="732">
        <f t="shared" si="7"/>
        <v>0</v>
      </c>
      <c r="N56" s="732">
        <f t="shared" si="7"/>
        <v>0</v>
      </c>
      <c r="O56" s="732">
        <f t="shared" si="7"/>
        <v>0</v>
      </c>
      <c r="P56" s="732">
        <f t="shared" si="7"/>
        <v>0</v>
      </c>
      <c r="Q56" s="733">
        <f t="shared" si="7"/>
        <v>0</v>
      </c>
      <c r="R56" s="734">
        <f ca="1">SUM(R54:R55)</f>
        <v>402.02066760174296</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2401.8560304093689</v>
      </c>
      <c r="D61" s="740">
        <f t="shared" ref="D61:Q61" ca="1" si="8">D46+D52+D56</f>
        <v>0</v>
      </c>
      <c r="E61" s="740">
        <f t="shared" ca="1" si="8"/>
        <v>4831.2606619154531</v>
      </c>
      <c r="F61" s="740">
        <f t="shared" si="8"/>
        <v>412.5025933674512</v>
      </c>
      <c r="G61" s="740">
        <f t="shared" ca="1" si="8"/>
        <v>8678.3202219953491</v>
      </c>
      <c r="H61" s="740">
        <f t="shared" si="8"/>
        <v>16783.778515469519</v>
      </c>
      <c r="I61" s="740">
        <f t="shared" si="8"/>
        <v>3170.6424908901463</v>
      </c>
      <c r="J61" s="740">
        <f t="shared" si="8"/>
        <v>0</v>
      </c>
      <c r="K61" s="740">
        <f t="shared" si="8"/>
        <v>10.664468486325084</v>
      </c>
      <c r="L61" s="740">
        <f t="shared" si="8"/>
        <v>0</v>
      </c>
      <c r="M61" s="740">
        <f t="shared" ca="1" si="8"/>
        <v>0</v>
      </c>
      <c r="N61" s="740">
        <f t="shared" si="8"/>
        <v>0</v>
      </c>
      <c r="O61" s="740">
        <f t="shared" ca="1" si="8"/>
        <v>0</v>
      </c>
      <c r="P61" s="740">
        <f t="shared" si="8"/>
        <v>0</v>
      </c>
      <c r="Q61" s="740">
        <f t="shared" si="8"/>
        <v>0</v>
      </c>
      <c r="R61" s="740">
        <f ca="1">R46+R52+R56</f>
        <v>36289.024982533607</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7.703897131517104E-2</v>
      </c>
      <c r="D63" s="781">
        <f t="shared" ca="1" si="9"/>
        <v>0</v>
      </c>
      <c r="E63" s="1023">
        <f t="shared" ca="1" si="9"/>
        <v>0.20200000000000001</v>
      </c>
      <c r="F63" s="781">
        <f t="shared" si="9"/>
        <v>0.22699999999999998</v>
      </c>
      <c r="G63" s="781">
        <f t="shared" ca="1" si="9"/>
        <v>0.26700000000000007</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17638.512950223223</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2670.5162625519556</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20309.029212775178</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17638.512950223223</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2670.5162625519556</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20309.029212775178</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14053.045218963831</v>
      </c>
      <c r="C4" s="477">
        <f>huishoudens!C8</f>
        <v>0</v>
      </c>
      <c r="D4" s="477">
        <f>huishoudens!D8</f>
        <v>15805.709919999999</v>
      </c>
      <c r="E4" s="477">
        <f>huishoudens!E8</f>
        <v>922.35207895398071</v>
      </c>
      <c r="F4" s="477">
        <f>huishoudens!F8</f>
        <v>26895.646107342389</v>
      </c>
      <c r="G4" s="477">
        <f>huishoudens!G8</f>
        <v>0</v>
      </c>
      <c r="H4" s="477">
        <f>huishoudens!H8</f>
        <v>0</v>
      </c>
      <c r="I4" s="477">
        <f>huishoudens!I8</f>
        <v>0</v>
      </c>
      <c r="J4" s="477">
        <f>huishoudens!J8</f>
        <v>0</v>
      </c>
      <c r="K4" s="477">
        <f>huishoudens!K8</f>
        <v>0</v>
      </c>
      <c r="L4" s="477">
        <f>huishoudens!L8</f>
        <v>0</v>
      </c>
      <c r="M4" s="477">
        <f>huishoudens!M8</f>
        <v>0</v>
      </c>
      <c r="N4" s="477">
        <f>huishoudens!N8</f>
        <v>5937.6256839057714</v>
      </c>
      <c r="O4" s="477">
        <f>huishoudens!O8</f>
        <v>150.08000000000001</v>
      </c>
      <c r="P4" s="478">
        <f>huishoudens!P8</f>
        <v>591.06666666666661</v>
      </c>
      <c r="Q4" s="479">
        <f>SUM(B4:P4)</f>
        <v>64355.525675832643</v>
      </c>
    </row>
    <row r="5" spans="1:17">
      <c r="A5" s="476" t="s">
        <v>156</v>
      </c>
      <c r="B5" s="477">
        <f ca="1">tertiair!B16</f>
        <v>8451.6150000000016</v>
      </c>
      <c r="C5" s="477">
        <f ca="1">tertiair!C16</f>
        <v>0</v>
      </c>
      <c r="D5" s="477">
        <f ca="1">tertiair!D16</f>
        <v>5097.0585820000006</v>
      </c>
      <c r="E5" s="477">
        <f>tertiair!E16</f>
        <v>175.67507664854881</v>
      </c>
      <c r="F5" s="477">
        <f ca="1">tertiair!F16</f>
        <v>2411.5486013098125</v>
      </c>
      <c r="G5" s="477">
        <f>tertiair!G16</f>
        <v>0</v>
      </c>
      <c r="H5" s="477">
        <f>tertiair!H16</f>
        <v>0</v>
      </c>
      <c r="I5" s="477">
        <f>tertiair!I16</f>
        <v>0</v>
      </c>
      <c r="J5" s="477">
        <f>tertiair!J16</f>
        <v>0</v>
      </c>
      <c r="K5" s="477">
        <f>tertiair!K16</f>
        <v>0</v>
      </c>
      <c r="L5" s="477">
        <f ca="1">tertiair!L16</f>
        <v>0</v>
      </c>
      <c r="M5" s="477">
        <f>tertiair!M16</f>
        <v>0</v>
      </c>
      <c r="N5" s="477">
        <f ca="1">tertiair!N16</f>
        <v>793.42797729220933</v>
      </c>
      <c r="O5" s="477">
        <f>tertiair!O16</f>
        <v>0</v>
      </c>
      <c r="P5" s="478">
        <f>tertiair!P16</f>
        <v>0</v>
      </c>
      <c r="Q5" s="476">
        <f t="shared" ref="Q5:Q14" ca="1" si="0">SUM(B5:P5)</f>
        <v>16929.325237250574</v>
      </c>
    </row>
    <row r="6" spans="1:17">
      <c r="A6" s="476" t="s">
        <v>194</v>
      </c>
      <c r="B6" s="477">
        <f>'openbare verlichting'!B8</f>
        <v>711.81700000000001</v>
      </c>
      <c r="C6" s="477"/>
      <c r="D6" s="477"/>
      <c r="E6" s="477"/>
      <c r="F6" s="477"/>
      <c r="G6" s="477"/>
      <c r="H6" s="477"/>
      <c r="I6" s="477"/>
      <c r="J6" s="477"/>
      <c r="K6" s="477"/>
      <c r="L6" s="477"/>
      <c r="M6" s="477"/>
      <c r="N6" s="477"/>
      <c r="O6" s="477"/>
      <c r="P6" s="478"/>
      <c r="Q6" s="476">
        <f t="shared" si="0"/>
        <v>711.81700000000001</v>
      </c>
    </row>
    <row r="7" spans="1:17">
      <c r="A7" s="476" t="s">
        <v>112</v>
      </c>
      <c r="B7" s="477">
        <f>landbouw!B8</f>
        <v>172.35400000000001</v>
      </c>
      <c r="C7" s="477">
        <f>landbouw!C8</f>
        <v>0</v>
      </c>
      <c r="D7" s="477">
        <f>landbouw!D8</f>
        <v>67.965699999999998</v>
      </c>
      <c r="E7" s="477">
        <f>landbouw!E8</f>
        <v>4.4443478971495516</v>
      </c>
      <c r="F7" s="477">
        <f>landbouw!F8</f>
        <v>629.9866932248417</v>
      </c>
      <c r="G7" s="477">
        <f>landbouw!G8</f>
        <v>0</v>
      </c>
      <c r="H7" s="477">
        <f>landbouw!H8</f>
        <v>0</v>
      </c>
      <c r="I7" s="477">
        <f>landbouw!I8</f>
        <v>0</v>
      </c>
      <c r="J7" s="477">
        <f>landbouw!J8</f>
        <v>24.812635672506655</v>
      </c>
      <c r="K7" s="477">
        <f>landbouw!K8</f>
        <v>0</v>
      </c>
      <c r="L7" s="477">
        <f>landbouw!L8</f>
        <v>0</v>
      </c>
      <c r="M7" s="477">
        <f>landbouw!M8</f>
        <v>0</v>
      </c>
      <c r="N7" s="477">
        <f>landbouw!N8</f>
        <v>0</v>
      </c>
      <c r="O7" s="477">
        <f>landbouw!O8</f>
        <v>0</v>
      </c>
      <c r="P7" s="478">
        <f>landbouw!P8</f>
        <v>0</v>
      </c>
      <c r="Q7" s="476">
        <f t="shared" si="0"/>
        <v>899.56337679449791</v>
      </c>
    </row>
    <row r="8" spans="1:17">
      <c r="A8" s="476" t="s">
        <v>638</v>
      </c>
      <c r="B8" s="477">
        <f>industrie!B18</f>
        <v>7386.6839999999993</v>
      </c>
      <c r="C8" s="477">
        <f>industrie!C18</f>
        <v>0</v>
      </c>
      <c r="D8" s="477">
        <f>industrie!D18</f>
        <v>2069.3205940000003</v>
      </c>
      <c r="E8" s="477">
        <f>industrie!E18</f>
        <v>523.03917934130186</v>
      </c>
      <c r="F8" s="477">
        <f>industrie!F18</f>
        <v>2565.8905906148943</v>
      </c>
      <c r="G8" s="477">
        <f>industrie!G18</f>
        <v>0</v>
      </c>
      <c r="H8" s="477">
        <f>industrie!H18</f>
        <v>0</v>
      </c>
      <c r="I8" s="477">
        <f>industrie!I18</f>
        <v>0</v>
      </c>
      <c r="J8" s="477">
        <f>industrie!J18</f>
        <v>5.3129815205020625</v>
      </c>
      <c r="K8" s="477">
        <f>industrie!K18</f>
        <v>0</v>
      </c>
      <c r="L8" s="477">
        <f>industrie!L18</f>
        <v>0</v>
      </c>
      <c r="M8" s="477">
        <f>industrie!M18</f>
        <v>0</v>
      </c>
      <c r="N8" s="477">
        <f>industrie!N18</f>
        <v>602.8848285689819</v>
      </c>
      <c r="O8" s="477">
        <f>industrie!O18</f>
        <v>0</v>
      </c>
      <c r="P8" s="478">
        <f>industrie!P18</f>
        <v>0</v>
      </c>
      <c r="Q8" s="476">
        <f t="shared" si="0"/>
        <v>13153.132174045681</v>
      </c>
    </row>
    <row r="9" spans="1:17" s="482" customFormat="1">
      <c r="A9" s="480" t="s">
        <v>564</v>
      </c>
      <c r="B9" s="481">
        <f>transport!B14</f>
        <v>21.12382824287905</v>
      </c>
      <c r="C9" s="481">
        <f>transport!C14</f>
        <v>0</v>
      </c>
      <c r="D9" s="481">
        <f>transport!D14</f>
        <v>46.879193680457483</v>
      </c>
      <c r="E9" s="481">
        <f>transport!E14</f>
        <v>191.68135842532416</v>
      </c>
      <c r="F9" s="481">
        <f>transport!F14</f>
        <v>0</v>
      </c>
      <c r="G9" s="481">
        <f>transport!G14</f>
        <v>61707.822657580495</v>
      </c>
      <c r="H9" s="481">
        <f>transport!H14</f>
        <v>12733.503979478499</v>
      </c>
      <c r="I9" s="481">
        <f>transport!I14</f>
        <v>0</v>
      </c>
      <c r="J9" s="481">
        <f>transport!J14</f>
        <v>0</v>
      </c>
      <c r="K9" s="481">
        <f>transport!K14</f>
        <v>0</v>
      </c>
      <c r="L9" s="481">
        <f>transport!L14</f>
        <v>0</v>
      </c>
      <c r="M9" s="481">
        <f>transport!M14</f>
        <v>2325.6400405994759</v>
      </c>
      <c r="N9" s="481">
        <f>transport!N14</f>
        <v>0</v>
      </c>
      <c r="O9" s="481">
        <f>transport!O14</f>
        <v>0</v>
      </c>
      <c r="P9" s="481">
        <f>transport!P14</f>
        <v>0</v>
      </c>
      <c r="Q9" s="480">
        <f>SUM(B9:P9)</f>
        <v>77026.651058007134</v>
      </c>
    </row>
    <row r="10" spans="1:17">
      <c r="A10" s="476" t="s">
        <v>554</v>
      </c>
      <c r="B10" s="477">
        <f>transport!B54</f>
        <v>0</v>
      </c>
      <c r="C10" s="477">
        <f>transport!C54</f>
        <v>0</v>
      </c>
      <c r="D10" s="477">
        <f>transport!D54</f>
        <v>0</v>
      </c>
      <c r="E10" s="477">
        <f>transport!E54</f>
        <v>0</v>
      </c>
      <c r="F10" s="477">
        <f>transport!F54</f>
        <v>0</v>
      </c>
      <c r="G10" s="477">
        <f>transport!G54</f>
        <v>1152.7710333165817</v>
      </c>
      <c r="H10" s="477">
        <f>transport!H54</f>
        <v>0</v>
      </c>
      <c r="I10" s="477">
        <f>transport!I54</f>
        <v>0</v>
      </c>
      <c r="J10" s="477">
        <f>transport!J54</f>
        <v>0</v>
      </c>
      <c r="K10" s="477">
        <f>transport!K54</f>
        <v>0</v>
      </c>
      <c r="L10" s="477">
        <f>transport!L54</f>
        <v>0</v>
      </c>
      <c r="M10" s="477">
        <f>transport!M54</f>
        <v>35.756378494772918</v>
      </c>
      <c r="N10" s="477">
        <f>transport!N54</f>
        <v>0</v>
      </c>
      <c r="O10" s="477">
        <f>transport!O54</f>
        <v>0</v>
      </c>
      <c r="P10" s="478">
        <f>transport!P54</f>
        <v>0</v>
      </c>
      <c r="Q10" s="476">
        <f t="shared" si="0"/>
        <v>1188.5274118113546</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380.517</v>
      </c>
      <c r="C14" s="484"/>
      <c r="D14" s="484">
        <f>'SEAP template'!E25</f>
        <v>830.19799999999998</v>
      </c>
      <c r="E14" s="484"/>
      <c r="F14" s="484"/>
      <c r="G14" s="484"/>
      <c r="H14" s="484"/>
      <c r="I14" s="484"/>
      <c r="J14" s="484"/>
      <c r="K14" s="484"/>
      <c r="L14" s="484"/>
      <c r="M14" s="484"/>
      <c r="N14" s="484"/>
      <c r="O14" s="484"/>
      <c r="P14" s="485"/>
      <c r="Q14" s="476">
        <f t="shared" si="0"/>
        <v>1210.7149999999999</v>
      </c>
    </row>
    <row r="15" spans="1:17" s="486" customFormat="1">
      <c r="A15" s="1038" t="s">
        <v>558</v>
      </c>
      <c r="B15" s="978">
        <f ca="1">SUM(B4:B14)</f>
        <v>31177.15604720671</v>
      </c>
      <c r="C15" s="978">
        <f t="shared" ref="C15:Q15" ca="1" si="1">SUM(C4:C14)</f>
        <v>0</v>
      </c>
      <c r="D15" s="978">
        <f t="shared" ca="1" si="1"/>
        <v>23917.13198968046</v>
      </c>
      <c r="E15" s="978">
        <f t="shared" si="1"/>
        <v>1817.1920412663051</v>
      </c>
      <c r="F15" s="978">
        <f t="shared" ca="1" si="1"/>
        <v>32503.071992491936</v>
      </c>
      <c r="G15" s="978">
        <f t="shared" si="1"/>
        <v>62860.593690897076</v>
      </c>
      <c r="H15" s="978">
        <f t="shared" si="1"/>
        <v>12733.503979478499</v>
      </c>
      <c r="I15" s="978">
        <f t="shared" si="1"/>
        <v>0</v>
      </c>
      <c r="J15" s="978">
        <f t="shared" si="1"/>
        <v>30.125617193008718</v>
      </c>
      <c r="K15" s="978">
        <f t="shared" si="1"/>
        <v>0</v>
      </c>
      <c r="L15" s="978">
        <f t="shared" ca="1" si="1"/>
        <v>0</v>
      </c>
      <c r="M15" s="978">
        <f t="shared" si="1"/>
        <v>2361.3964190942488</v>
      </c>
      <c r="N15" s="978">
        <f t="shared" ca="1" si="1"/>
        <v>7333.9384897669624</v>
      </c>
      <c r="O15" s="978">
        <f t="shared" si="1"/>
        <v>150.08000000000001</v>
      </c>
      <c r="P15" s="978">
        <f t="shared" si="1"/>
        <v>591.06666666666661</v>
      </c>
      <c r="Q15" s="978">
        <f t="shared" ca="1" si="1"/>
        <v>175475.25693374185</v>
      </c>
    </row>
    <row r="17" spans="1:17">
      <c r="A17" s="487" t="s">
        <v>559</v>
      </c>
      <c r="B17" s="786">
        <f ca="1">huishoudens!B10</f>
        <v>7.7038971315171026E-2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1082.632147514556</v>
      </c>
      <c r="C22" s="477">
        <f t="shared" ref="C22:C32" ca="1" si="3">C4*$C$17</f>
        <v>0</v>
      </c>
      <c r="D22" s="477">
        <f t="shared" ref="D22:D32" si="4">D4*$D$17</f>
        <v>3192.7534038399999</v>
      </c>
      <c r="E22" s="477">
        <f t="shared" ref="E22:E32" si="5">E4*$E$17</f>
        <v>209.37392192255362</v>
      </c>
      <c r="F22" s="477">
        <f t="shared" ref="F22:F32" si="6">F4*$F$17</f>
        <v>7181.1375106604182</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11665.896983937528</v>
      </c>
    </row>
    <row r="23" spans="1:17">
      <c r="A23" s="476" t="s">
        <v>156</v>
      </c>
      <c r="B23" s="477">
        <f t="shared" ca="1" si="2"/>
        <v>651.10372555186927</v>
      </c>
      <c r="C23" s="477">
        <f t="shared" ca="1" si="3"/>
        <v>0</v>
      </c>
      <c r="D23" s="477">
        <f t="shared" ca="1" si="4"/>
        <v>1029.6058335640002</v>
      </c>
      <c r="E23" s="477">
        <f t="shared" si="5"/>
        <v>39.878242399220582</v>
      </c>
      <c r="F23" s="477">
        <f t="shared" ca="1" si="6"/>
        <v>643.88347654971994</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2364.4712780648101</v>
      </c>
    </row>
    <row r="24" spans="1:17">
      <c r="A24" s="476" t="s">
        <v>194</v>
      </c>
      <c r="B24" s="477">
        <f t="shared" ca="1" si="2"/>
        <v>54.837649444651092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54.837649444651092</v>
      </c>
    </row>
    <row r="25" spans="1:17">
      <c r="A25" s="476" t="s">
        <v>112</v>
      </c>
      <c r="B25" s="477">
        <f t="shared" ca="1" si="2"/>
        <v>13.277974862054988</v>
      </c>
      <c r="C25" s="477">
        <f t="shared" ca="1" si="3"/>
        <v>0</v>
      </c>
      <c r="D25" s="477">
        <f t="shared" si="4"/>
        <v>13.7290714</v>
      </c>
      <c r="E25" s="477">
        <f t="shared" si="5"/>
        <v>1.0088669726529482</v>
      </c>
      <c r="F25" s="477">
        <f t="shared" si="6"/>
        <v>168.20644709103274</v>
      </c>
      <c r="G25" s="477">
        <f t="shared" si="7"/>
        <v>0</v>
      </c>
      <c r="H25" s="477">
        <f t="shared" si="8"/>
        <v>0</v>
      </c>
      <c r="I25" s="477">
        <f t="shared" si="9"/>
        <v>0</v>
      </c>
      <c r="J25" s="477">
        <f t="shared" si="10"/>
        <v>8.7836730280673549</v>
      </c>
      <c r="K25" s="477">
        <f t="shared" si="11"/>
        <v>0</v>
      </c>
      <c r="L25" s="477">
        <f t="shared" si="12"/>
        <v>0</v>
      </c>
      <c r="M25" s="477">
        <f t="shared" si="13"/>
        <v>0</v>
      </c>
      <c r="N25" s="477">
        <f t="shared" si="14"/>
        <v>0</v>
      </c>
      <c r="O25" s="477">
        <f t="shared" si="15"/>
        <v>0</v>
      </c>
      <c r="P25" s="478">
        <f t="shared" si="16"/>
        <v>0</v>
      </c>
      <c r="Q25" s="476">
        <f t="shared" ca="1" si="17"/>
        <v>205.00603335380805</v>
      </c>
    </row>
    <row r="26" spans="1:17">
      <c r="A26" s="476" t="s">
        <v>638</v>
      </c>
      <c r="B26" s="477">
        <f t="shared" ca="1" si="2"/>
        <v>569.06253679023268</v>
      </c>
      <c r="C26" s="477">
        <f t="shared" ca="1" si="3"/>
        <v>0</v>
      </c>
      <c r="D26" s="477">
        <f t="shared" si="4"/>
        <v>418.00275998800009</v>
      </c>
      <c r="E26" s="477">
        <f t="shared" si="5"/>
        <v>118.72989371047552</v>
      </c>
      <c r="F26" s="477">
        <f t="shared" si="6"/>
        <v>685.09278769417688</v>
      </c>
      <c r="G26" s="477">
        <f t="shared" si="7"/>
        <v>0</v>
      </c>
      <c r="H26" s="477">
        <f t="shared" si="8"/>
        <v>0</v>
      </c>
      <c r="I26" s="477">
        <f t="shared" si="9"/>
        <v>0</v>
      </c>
      <c r="J26" s="477">
        <f t="shared" si="10"/>
        <v>1.88079545825773</v>
      </c>
      <c r="K26" s="477">
        <f t="shared" si="11"/>
        <v>0</v>
      </c>
      <c r="L26" s="477">
        <f t="shared" si="12"/>
        <v>0</v>
      </c>
      <c r="M26" s="477">
        <f t="shared" si="13"/>
        <v>0</v>
      </c>
      <c r="N26" s="477">
        <f t="shared" si="14"/>
        <v>0</v>
      </c>
      <c r="O26" s="477">
        <f t="shared" si="15"/>
        <v>0</v>
      </c>
      <c r="P26" s="478">
        <f t="shared" si="16"/>
        <v>0</v>
      </c>
      <c r="Q26" s="476">
        <f t="shared" ca="1" si="17"/>
        <v>1792.7687736411431</v>
      </c>
    </row>
    <row r="27" spans="1:17" s="482" customFormat="1">
      <c r="A27" s="480" t="s">
        <v>564</v>
      </c>
      <c r="B27" s="780">
        <f t="shared" ca="1" si="2"/>
        <v>1.6273579980697588</v>
      </c>
      <c r="C27" s="481">
        <f t="shared" ca="1" si="3"/>
        <v>0</v>
      </c>
      <c r="D27" s="481">
        <f t="shared" si="4"/>
        <v>9.469597123452413</v>
      </c>
      <c r="E27" s="481">
        <f t="shared" si="5"/>
        <v>43.511668362548583</v>
      </c>
      <c r="F27" s="481">
        <f t="shared" si="6"/>
        <v>0</v>
      </c>
      <c r="G27" s="481">
        <f t="shared" si="7"/>
        <v>16475.988649573992</v>
      </c>
      <c r="H27" s="481">
        <f t="shared" si="8"/>
        <v>3170.6424908901463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19701.239763948208</v>
      </c>
    </row>
    <row r="28" spans="1:17">
      <c r="A28" s="476" t="s">
        <v>554</v>
      </c>
      <c r="B28" s="477">
        <f t="shared" ca="1" si="2"/>
        <v>0</v>
      </c>
      <c r="C28" s="477">
        <f t="shared" ca="1" si="3"/>
        <v>0</v>
      </c>
      <c r="D28" s="477">
        <f t="shared" si="4"/>
        <v>0</v>
      </c>
      <c r="E28" s="477">
        <f t="shared" si="5"/>
        <v>0</v>
      </c>
      <c r="F28" s="477">
        <f t="shared" si="6"/>
        <v>0</v>
      </c>
      <c r="G28" s="477">
        <f t="shared" si="7"/>
        <v>307.78986589552733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307.78986589552733</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29.314638247934933</v>
      </c>
      <c r="C32" s="477">
        <f t="shared" ca="1" si="3"/>
        <v>0</v>
      </c>
      <c r="D32" s="477">
        <f t="shared" si="4"/>
        <v>167.699996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197.01463424793494</v>
      </c>
    </row>
    <row r="33" spans="1:17" s="486" customFormat="1">
      <c r="A33" s="1038" t="s">
        <v>558</v>
      </c>
      <c r="B33" s="978">
        <f ca="1">SUM(B22:B32)</f>
        <v>2401.8560304093689</v>
      </c>
      <c r="C33" s="978">
        <f t="shared" ref="C33:Q33" ca="1" si="18">SUM(C22:C32)</f>
        <v>0</v>
      </c>
      <c r="D33" s="978">
        <f t="shared" ca="1" si="18"/>
        <v>4831.2606619154531</v>
      </c>
      <c r="E33" s="978">
        <f t="shared" si="18"/>
        <v>412.50259336745125</v>
      </c>
      <c r="F33" s="978">
        <f t="shared" ca="1" si="18"/>
        <v>8678.3202219953491</v>
      </c>
      <c r="G33" s="978">
        <f t="shared" si="18"/>
        <v>16783.778515469519</v>
      </c>
      <c r="H33" s="978">
        <f t="shared" si="18"/>
        <v>3170.6424908901463</v>
      </c>
      <c r="I33" s="978">
        <f t="shared" si="18"/>
        <v>0</v>
      </c>
      <c r="J33" s="978">
        <f t="shared" si="18"/>
        <v>10.664468486325084</v>
      </c>
      <c r="K33" s="978">
        <f t="shared" si="18"/>
        <v>0</v>
      </c>
      <c r="L33" s="978">
        <f t="shared" ca="1" si="18"/>
        <v>0</v>
      </c>
      <c r="M33" s="978">
        <f t="shared" si="18"/>
        <v>0</v>
      </c>
      <c r="N33" s="978">
        <f t="shared" ca="1" si="18"/>
        <v>0</v>
      </c>
      <c r="O33" s="978">
        <f t="shared" si="18"/>
        <v>0</v>
      </c>
      <c r="P33" s="978">
        <f t="shared" si="18"/>
        <v>0</v>
      </c>
      <c r="Q33" s="978">
        <f t="shared" ca="1" si="18"/>
        <v>36289.024982533614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17638.512950223223</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2670.5162625519556</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20309.029212775178</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7.7038971315171026E-2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7.7038971315171026E-2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2019-08-12T08:26:17Z</dcterms:modified>
</cp:coreProperties>
</file>