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E9" i="18"/>
  <c r="F77" i="14" s="1"/>
  <c r="F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R89"/>
  <c r="Q89"/>
  <c r="P89"/>
  <c r="O89"/>
  <c r="N89"/>
  <c r="B9" s="1"/>
  <c r="M89"/>
  <c r="W61"/>
  <c r="V61"/>
  <c r="U61"/>
  <c r="T61"/>
  <c r="S61"/>
  <c r="R61"/>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C6"/>
  <c r="D5"/>
  <c r="B19" i="6"/>
  <c r="B18"/>
  <c r="B5"/>
  <c r="B6"/>
  <c r="B14" i="48"/>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L90"/>
  <c r="R78"/>
  <c r="K78"/>
  <c r="P56"/>
  <c r="H56"/>
  <c r="Q56"/>
  <c r="I56"/>
  <c r="R44"/>
  <c r="R25"/>
  <c r="E25"/>
  <c r="E55" s="1"/>
  <c r="C25"/>
  <c r="Q26"/>
  <c r="J26"/>
  <c r="I26"/>
  <c r="H26"/>
  <c r="Q11" i="48" l="1"/>
  <c r="G10" i="18"/>
  <c r="H77" i="14"/>
  <c r="H9" i="59" s="1"/>
  <c r="H10" s="1"/>
  <c r="O17"/>
  <c r="D20" i="18"/>
  <c r="E88" i="14"/>
  <c r="E18" i="59" s="1"/>
  <c r="E20" s="1"/>
  <c r="O88" i="14"/>
  <c r="O18" i="59" s="1"/>
  <c r="L20" i="18"/>
  <c r="N17" i="59"/>
  <c r="N90" i="14"/>
  <c r="N88"/>
  <c r="N18" i="59" s="1"/>
  <c r="K20" i="18"/>
  <c r="O78" i="14"/>
  <c r="O9" i="59"/>
  <c r="O10" s="1"/>
  <c r="I9" i="18"/>
  <c r="I77" i="14" s="1"/>
  <c r="I9" i="59" s="1"/>
  <c r="K20"/>
  <c r="N6" i="17"/>
  <c r="G78" i="14"/>
  <c r="M22"/>
  <c r="D22"/>
  <c r="H89"/>
  <c r="H19" i="59" s="1"/>
  <c r="H20" s="1"/>
  <c r="L6" i="17"/>
  <c r="K22" i="14"/>
  <c r="L22"/>
  <c r="D14" i="48"/>
  <c r="Q52" i="14"/>
  <c r="O20" i="59"/>
  <c r="L78" i="14"/>
  <c r="L8" i="59"/>
  <c r="L10" s="1"/>
  <c r="H18"/>
  <c r="H8"/>
  <c r="O19" i="18"/>
  <c r="K10" i="59"/>
  <c r="C98" i="18"/>
  <c r="F101" s="1"/>
  <c r="D13" i="15"/>
  <c r="B10" i="18"/>
  <c r="L10"/>
  <c r="C13" i="15"/>
  <c r="K90" i="14"/>
  <c r="G10" i="59"/>
  <c r="B13" i="15"/>
  <c r="F20" i="18"/>
  <c r="E10" i="59"/>
  <c r="B17" i="18"/>
  <c r="B20" s="1"/>
  <c r="L13" i="15"/>
  <c r="N13"/>
  <c r="Q77" i="14"/>
  <c r="P9" i="59" s="1"/>
  <c r="O9" i="18"/>
  <c r="O18"/>
  <c r="G88" i="14"/>
  <c r="F89"/>
  <c r="I101" i="18"/>
  <c r="H8" s="1"/>
  <c r="E101"/>
  <c r="E8" s="1"/>
  <c r="H101"/>
  <c r="D101"/>
  <c r="G101"/>
  <c r="B101"/>
  <c r="C8" s="1"/>
  <c r="I102"/>
  <c r="H17" s="1"/>
  <c r="E102"/>
  <c r="E17" s="1"/>
  <c r="H102"/>
  <c r="D102"/>
  <c r="G102"/>
  <c r="C102"/>
  <c r="F102"/>
  <c r="B102"/>
  <c r="C17" s="1"/>
  <c r="B77" i="14"/>
  <c r="B9" i="59" s="1"/>
  <c r="O24" i="48"/>
  <c r="O30"/>
  <c r="P24"/>
  <c r="P30"/>
  <c r="C77" i="14"/>
  <c r="C9" i="59" s="1"/>
  <c r="E78" i="14"/>
  <c r="N78"/>
  <c r="C89" l="1"/>
  <c r="C19" i="59" s="1"/>
  <c r="F19"/>
  <c r="G90" i="14"/>
  <c r="G18" i="59"/>
  <c r="G20" s="1"/>
  <c r="Q88" i="14"/>
  <c r="P18" i="59" s="1"/>
  <c r="B88" i="14"/>
  <c r="B18" i="59" s="1"/>
  <c r="E90" i="14"/>
  <c r="Q14" i="48"/>
  <c r="H90" i="14"/>
  <c r="C88"/>
  <c r="C18" i="59" s="1"/>
  <c r="N20"/>
  <c r="C101" i="18"/>
  <c r="J8" s="1"/>
  <c r="B89" i="14"/>
  <c r="B19" i="59" s="1"/>
  <c r="H78" i="14"/>
  <c r="O90"/>
  <c r="Q89"/>
  <c r="P19" i="59" s="1"/>
  <c r="C20" i="18"/>
  <c r="D87" i="14"/>
  <c r="D17" i="59" s="1"/>
  <c r="D20" s="1"/>
  <c r="D76" i="14"/>
  <c r="D8" i="59" s="1"/>
  <c r="D10" s="1"/>
  <c r="C10" i="18"/>
  <c r="J17"/>
  <c r="F87" i="14"/>
  <c r="E20" i="18"/>
  <c r="E10"/>
  <c r="F76" i="14"/>
  <c r="F8" i="59" s="1"/>
  <c r="F10" s="1"/>
  <c r="I17" i="18"/>
  <c r="O17" s="1"/>
  <c r="O20" s="1"/>
  <c r="H20"/>
  <c r="M87" i="14"/>
  <c r="I8" i="18"/>
  <c r="M76" i="14"/>
  <c r="H10" i="18"/>
  <c r="H14" i="15"/>
  <c r="H16" s="1"/>
  <c r="G14"/>
  <c r="G16" s="1"/>
  <c r="M78" i="14" l="1"/>
  <c r="M8" i="59"/>
  <c r="M10" s="1"/>
  <c r="F90" i="14"/>
  <c r="F17" i="59"/>
  <c r="F20" s="1"/>
  <c r="H5" i="48"/>
  <c r="I10" i="14"/>
  <c r="I16" s="1"/>
  <c r="G5" i="48"/>
  <c r="H10" i="14"/>
  <c r="H16" s="1"/>
  <c r="M90"/>
  <c r="M17" i="59"/>
  <c r="M20" s="1"/>
  <c r="O8" i="18"/>
  <c r="O1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25"/>
  <c r="I26"/>
  <c r="I28"/>
  <c r="I22"/>
  <c r="I27"/>
  <c r="I24"/>
  <c r="I29"/>
  <c r="I30"/>
  <c r="I31"/>
  <c r="D4"/>
  <c r="D22" s="1"/>
  <c r="E11" i="14"/>
  <c r="H26" i="48"/>
  <c r="H28"/>
  <c r="H32"/>
  <c r="H22"/>
  <c r="H30"/>
  <c r="H25"/>
  <c r="H29"/>
  <c r="H24"/>
  <c r="H23"/>
  <c r="C4"/>
  <c r="D11" i="14"/>
  <c r="G32" i="48"/>
  <c r="G26"/>
  <c r="G29"/>
  <c r="G24"/>
  <c r="G22"/>
  <c r="G25"/>
  <c r="G30"/>
  <c r="G23"/>
  <c r="B4"/>
  <c r="C11" i="14"/>
  <c r="F28" i="48"/>
  <c r="F27"/>
  <c r="F32"/>
  <c r="F31"/>
  <c r="F30"/>
  <c r="F24"/>
  <c r="F29"/>
  <c r="N28"/>
  <c r="N27"/>
  <c r="N32"/>
  <c r="N31"/>
  <c r="N24"/>
  <c r="N29"/>
  <c r="N30"/>
  <c r="B10"/>
  <c r="C19" i="14"/>
  <c r="E28" i="48"/>
  <c r="E32"/>
  <c r="E31"/>
  <c r="E29"/>
  <c r="E24"/>
  <c r="E30"/>
  <c r="M32"/>
  <c r="M25"/>
  <c r="M29"/>
  <c r="M26"/>
  <c r="M22"/>
  <c r="M30"/>
  <c r="M24"/>
  <c r="M23"/>
  <c r="K5"/>
  <c r="L10" i="14"/>
  <c r="L16" s="1"/>
  <c r="L27" s="1"/>
  <c r="D30" i="48"/>
  <c r="D31"/>
  <c r="D29"/>
  <c r="D28"/>
  <c r="D24"/>
  <c r="D32"/>
  <c r="L27"/>
  <c r="L32"/>
  <c r="L31"/>
  <c r="L29"/>
  <c r="L28"/>
  <c r="L22"/>
  <c r="L30"/>
  <c r="L24"/>
  <c r="Q10" i="14"/>
  <c r="P5" i="48"/>
  <c r="P23" s="1"/>
  <c r="K32"/>
  <c r="K31"/>
  <c r="K25"/>
  <c r="K29"/>
  <c r="K26"/>
  <c r="K28"/>
  <c r="K24"/>
  <c r="K22"/>
  <c r="K30"/>
  <c r="K27"/>
  <c r="B7"/>
  <c r="C24" i="14"/>
  <c r="C26" s="1"/>
  <c r="J32" i="48"/>
  <c r="J29"/>
  <c r="J28"/>
  <c r="J30"/>
  <c r="J31"/>
  <c r="J24"/>
  <c r="J27"/>
  <c r="Q11" i="14"/>
  <c r="P4"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K23" i="48"/>
  <c r="K15"/>
  <c r="G13"/>
  <c r="H18" i="14"/>
  <c r="H13" i="48"/>
  <c r="H31" s="1"/>
  <c r="I18" i="14"/>
  <c r="Q13"/>
  <c r="Q16" s="1"/>
  <c r="Q27" s="1"/>
  <c r="Q63" s="1"/>
  <c r="P8" i="48"/>
  <c r="P26" s="1"/>
  <c r="F20" i="14"/>
  <c r="F22" s="1"/>
  <c r="E9" i="48"/>
  <c r="E27" s="1"/>
  <c r="D9"/>
  <c r="D27" s="1"/>
  <c r="E20" i="14"/>
  <c r="E22" s="1"/>
  <c r="O5" i="48"/>
  <c r="O23" s="1"/>
  <c r="P10" i="14"/>
  <c r="J7" i="48"/>
  <c r="J25" s="1"/>
  <c r="K24" i="14"/>
  <c r="K26" s="1"/>
  <c r="B9" i="48"/>
  <c r="C20" i="14"/>
  <c r="P22" i="48"/>
  <c r="J46" i="14"/>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E12" i="13"/>
  <c r="F41" i="14" s="1"/>
  <c r="E4" i="48"/>
  <c r="F11" i="14"/>
  <c r="R11" s="1"/>
  <c r="I23" i="48"/>
  <c r="I33" s="1"/>
  <c r="I15"/>
  <c r="G31"/>
  <c r="Q13"/>
  <c r="J4"/>
  <c r="K11" i="14"/>
  <c r="F24"/>
  <c r="F26" s="1"/>
  <c r="E7" i="48"/>
  <c r="E25" s="1"/>
  <c r="R18" i="14"/>
  <c r="N20"/>
  <c r="M9" i="48"/>
  <c r="O22" i="16"/>
  <c r="P43" i="14" s="1"/>
  <c r="O8" i="48"/>
  <c r="P13" i="14"/>
  <c r="I20"/>
  <c r="H9" i="48"/>
  <c r="P16" i="14"/>
  <c r="P27" s="1"/>
  <c r="N22"/>
  <c r="N27" s="1"/>
  <c r="P46"/>
  <c r="P61" s="1"/>
  <c r="J63"/>
  <c r="P15" i="48"/>
  <c r="G14" i="22"/>
  <c r="P33" i="48"/>
  <c r="I22" i="14"/>
  <c r="I27" s="1"/>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F10" l="1"/>
  <c r="E5" i="48"/>
  <c r="E23" s="1"/>
  <c r="H27"/>
  <c r="H33" s="1"/>
  <c r="H15"/>
  <c r="J5"/>
  <c r="J23" s="1"/>
  <c r="K10" i="14"/>
  <c r="M27" i="48"/>
  <c r="M33" s="1"/>
  <c r="M15"/>
  <c r="G28"/>
  <c r="Q10"/>
  <c r="J22"/>
  <c r="H20" i="14"/>
  <c r="G9" i="48"/>
  <c r="O26"/>
  <c r="O33" s="1"/>
  <c r="O15"/>
  <c r="E22"/>
  <c r="Q4"/>
  <c r="P63" i="14"/>
  <c r="R19"/>
  <c r="R24"/>
  <c r="R26" s="1"/>
  <c r="Q7" i="48"/>
  <c r="E20" i="15"/>
  <c r="F40" i="14" s="1"/>
  <c r="J18" i="16"/>
  <c r="E18"/>
  <c r="F18"/>
  <c r="F22" s="1"/>
  <c r="G43" i="14" s="1"/>
  <c r="N18" i="16"/>
  <c r="G18" i="22"/>
  <c r="H50" i="14" s="1"/>
  <c r="H52" s="1"/>
  <c r="H61" s="1"/>
  <c r="E22" i="16"/>
  <c r="F43" i="14" s="1"/>
  <c r="H18" i="22"/>
  <c r="I50" i="14" s="1"/>
  <c r="I52" s="1"/>
  <c r="I61" s="1"/>
  <c r="I63" s="1"/>
  <c r="R22" l="1"/>
  <c r="J22" i="16"/>
  <c r="K43" i="14" s="1"/>
  <c r="K46" s="1"/>
  <c r="K61" s="1"/>
  <c r="J8" i="48"/>
  <c r="K13" i="14"/>
  <c r="E8" i="48"/>
  <c r="F13" i="14"/>
  <c r="R20"/>
  <c r="H22"/>
  <c r="H27" s="1"/>
  <c r="H63" s="1"/>
  <c r="G27" i="48"/>
  <c r="G33" s="1"/>
  <c r="G15"/>
  <c r="Q9"/>
  <c r="F16" i="14"/>
  <c r="F27" s="1"/>
  <c r="F46"/>
  <c r="F61" s="1"/>
  <c r="K16"/>
  <c r="K27" s="1"/>
  <c r="N8" i="48"/>
  <c r="N26" s="1"/>
  <c r="O13" i="14"/>
  <c r="N22" i="16"/>
  <c r="O43" i="14" s="1"/>
  <c r="G13"/>
  <c r="F8" i="48"/>
  <c r="J26" l="1"/>
  <c r="J33" s="1"/>
  <c r="J15"/>
  <c r="E26"/>
  <c r="E33" s="1"/>
  <c r="E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<sst xmlns="http://schemas.openxmlformats.org/spreadsheetml/2006/main" count="2392" uniqueCount="890">
  <si>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</si>
  <si>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</si>
  <si>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</si>
  <si>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</si>
  <si>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</si>
  <si>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</si>
  <si>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</si>
  <si>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</si>
  <si>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</si>
  <si>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</si>
  <si>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</si>
  <si>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</si>
  <si>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</si>
  <si>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</si>
  <si>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</si>
  <si>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</si>
  <si>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</si>
  <si>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</si>
  <si>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</si>
  <si>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</si>
  <si>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</si>
  <si>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</si>
  <si>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</si>
  <si>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</si>
  <si>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</si>
  <si>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</si>
  <si>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</si>
  <si>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</si>
  <si>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</si>
  <si>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</si>
  <si>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</si>
  <si>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</si>
  <si>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</si>
  <si>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</si>
  <si>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</si>
  <si>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</si>
  <si>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</si>
  <si>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</si>
  <si>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</si>
  <si>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</si>
  <si>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</si>
  <si>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</si>
  <si>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</si>
  <si>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</si>
  <si>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</si>
  <si>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</si>
  <si>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</si>
  <si>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</si>
  <si>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</si>
  <si>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</si>
  <si>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</si>
  <si>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</si>
  <si>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</si>
  <si>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</si>
  <si>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</si>
  <si>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</si>
  <si>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</si>
  <si>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</si>
  <si>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</si>
  <si>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</si>
  <si>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</si>
  <si>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</si>
  <si>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</si>
  <si>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</si>
  <si>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</si>
  <si>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</si>
  <si>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</si>
  <si>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</si>
  <si>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</si>
  <si>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</si>
  <si>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</si>
  <si>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</si>
  <si>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</si>
  <si>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</si>
  <si>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</si>
  <si>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</si>
  <si>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</si>
  <si>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</si>
  <si>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</si>
  <si>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</si>
  <si>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</si>
  <si>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</si>
  <si>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</si>
  <si>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</si>
  <si>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</si>
  <si>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</si>
  <si>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</si>
  <si>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</si>
  <si>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</si>
  <si>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</si>
  <si>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</si>
  <si>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</si>
  <si>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</si>
  <si>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</si>
  <si>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</si>
  <si>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</si>
  <si>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</si>
  <si>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</si>
  <si>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</si>
  <si>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</si>
  <si>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</si>
  <si>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</si>
  <si>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</si>
  <si>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</si>
  <si>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</si>
  <si>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</si>
  <si>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</si>
  <si>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</si>
  <si>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</si>
  <si>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</si>
  <si>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</si>
  <si>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</si>
  <si>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</si>
  <si>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</si>
  <si>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</si>
  <si>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</si>
  <si>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</si>
  <si>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</si>
  <si>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</si>
  <si>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</si>
  <si>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</si>
  <si>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</si>
  <si>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</si>
  <si>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</si>
  <si>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</si>
  <si>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</si>
  <si>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</si>
  <si>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</si>
  <si>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</si>
  <si>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</si>
  <si>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</si>
  <si>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</si>
  <si>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</si>
  <si>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</si>
  <si>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</si>
  <si>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</si>
  <si>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</si>
  <si>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</si>
  <si>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</si>
  <si>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</si>
  <si>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</si>
  <si>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</si>
  <si>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</si>
  <si>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</si>
  <si>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</si>
  <si>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</si>
  <si>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</si>
  <si>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</si>
  <si>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</si>
  <si>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</si>
  <si>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</si>
  <si>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</si>
  <si>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</si>
  <si>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</si>
  <si>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</si>
  <si>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</si>
  <si>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</si>
  <si>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</si>
  <si>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</si>
  <si>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</si>
  <si>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</si>
  <si>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</si>
  <si>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</si>
  <si>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</si>
  <si>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</si>
  <si>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</si>
  <si>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</si>
  <si>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</si>
  <si>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</si>
  <si>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</si>
  <si>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</si>
  <si>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</si>
  <si>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</si>
  <si>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</si>
  <si>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</si>
  <si>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</si>
  <si>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</si>
  <si>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</si>
  <si>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</si>
  <si>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</si>
  <si>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</si>
  <si>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</si>
  <si>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</si>
  <si>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</si>
  <si>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</si>
  <si>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</si>
  <si>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</si>
  <si>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</si>
  <si>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</si>
  <si>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</si>
  <si>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</si>
  <si>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</si>
  <si>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</si>
  <si>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</si>
  <si>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</si>
  <si>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</si>
  <si>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</si>
  <si>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</si>
  <si>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</si>
  <si>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</si>
  <si>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</si>
  <si>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</si>
  <si>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</si>
  <si>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</si>
  <si>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</si>
  <si>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</si>
  <si>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</si>
  <si>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</si>
  <si>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</si>
  <si>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</si>
  <si>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</si>
  <si>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</si>
  <si>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</si>
  <si>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</si>
  <si>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</si>
  <si>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</si>
  <si>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</si>
  <si>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</si>
  <si>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</si>
  <si>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</si>
  <si>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</si>
  <si>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</si>
  <si>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</si>
  <si>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</si>
  <si>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</si>
  <si>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</si>
  <si>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</si>
  <si>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</si>
  <si>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</si>
  <si>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</si>
  <si>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</si>
  <si>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</si>
  <si>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</si>
  <si>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</si>
  <si>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</si>
  <si>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</si>
  <si>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</si>
  <si>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</si>
  <si>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</si>
  <si>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</si>
  <si>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</si>
  <si>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</si>
  <si>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</si>
  <si>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</si>
  <si>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</si>
  <si>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</si>
  <si>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</si>
  <si>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</si>
  <si>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</si>
  <si>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</si>
  <si>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</si>
  <si>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</si>
  <si>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</si>
  <si>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</si>
  <si>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</si>
  <si>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</si>
  <si>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</si>
  <si>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</si>
  <si>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</si>
  <si>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</si>
  <si>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</si>
  <si>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</si>
  <si>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</si>
  <si>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</si>
  <si>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</si>
  <si>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</si>
  <si>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</si>
  <si>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</si>
  <si>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</si>
  <si>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</si>
  <si>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</si>
  <si>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</si>
  <si>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</si>
  <si>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</si>
  <si>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</si>
  <si>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</si>
  <si>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</si>
  <si>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</si>
  <si>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</si>
  <si>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</si>
  <si>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</si>
  <si>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</si>
  <si>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</si>
  <si>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</si>
  <si>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</si>
  <si>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</si>
  <si>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</si>
  <si>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</si>
  <si>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</si>
  <si>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</si>
  <si>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</si>
  <si>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</si>
  <si>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</si>
  <si>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</si>
  <si>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</si>
  <si>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</si>
  <si>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</si>
  <si>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</si>
  <si>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</si>
  <si>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</si>
  <si>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</si>
  <si>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</si>
  <si>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</si>
  <si>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</si>
  <si>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</si>
  <si>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</si>
  <si>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</si>
  <si>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</si>
  <si>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</si>
  <si>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</si>
  <si>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</si>
  <si>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</si>
  <si>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</si>
  <si>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</si>
  <si>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</si>
  <si>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</si>
  <si>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</si>
  <si>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</si>
  <si>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</si>
  <si>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</si>
  <si>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</si>
  <si>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</si>
  <si>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</si>
  <si>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</si>
  <si>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</si>
  <si>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</si>
  <si>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</si>
  <si>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</si>
  <si>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</si>
  <si>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</si>
  <si>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</si>
  <si>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</si>
  <si>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</si>
  <si>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</si>
  <si>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</si>
  <si>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</si>
  <si>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</si>
  <si>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</si>
  <si>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</si>
  <si>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</si>
  <si>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</si>
  <si>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</si>
  <si>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</si>
  <si>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</si>
  <si>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</si>
  <si>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</si>
  <si>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</si>
  <si>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</si>
  <si>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</si>
  <si>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</si>
  <si>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</si>
  <si>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</si>
  <si>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</si>
  <si>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</si>
  <si>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</si>
  <si>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</si>
  <si>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</si>
  <si>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</si>
  <si>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</si>
  <si>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</si>
  <si>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</si>
  <si>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</si>
  <si>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</si>
  <si>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</si>
  <si>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</si>
  <si>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</si>
  <si>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</si>
  <si>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</si>
  <si>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</si>
  <si>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</si>
  <si>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</si>
  <si>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</si>
  <si>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</si>
  <si>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</si>
  <si>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</si>
  <si>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</si>
  <si>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</si>
  <si>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</si>
  <si>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</si>
  <si>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</si>
  <si>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</si>
  <si>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</si>
  <si>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</si>
  <si>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</si>
  <si>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</si>
  <si>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</si>
  <si>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</si>
  <si>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</si>
  <si>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</si>
  <si>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</si>
  <si>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</si>
  <si>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</si>
  <si>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</si>
  <si>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</si>
  <si>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</si>
  <si>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</si>
  <si>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</si>
  <si>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</si>
  <si>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</si>
  <si>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</si>
  <si>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</si>
  <si>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</si>
  <si>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</si>
  <si>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</si>
  <si>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</si>
  <si>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</si>
  <si>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</si>
  <si>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</si>
  <si>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</si>
  <si>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</si>
  <si>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</si>
  <si>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</si>
  <si>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</si>
  <si>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</si>
  <si>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</si>
  <si>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</si>
  <si>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</si>
  <si>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</si>
  <si>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</si>
  <si>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</si>
  <si>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</si>
  <si>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</si>
  <si>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</si>
  <si>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</si>
  <si>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</si>
  <si>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</si>
  <si>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</si>
  <si>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</si>
  <si>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</si>
  <si>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</si>
  <si>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</si>
  <si>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</si>
  <si>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</si>
  <si>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</si>
  <si>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</si>
  <si>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</si>
  <si>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</si>
  <si>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</si>
  <si>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</si>
  <si>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</si>
  <si>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</si>
  <si>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</si>
  <si>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</si>
  <si>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</si>
  <si>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</si>
  <si>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</si>
  <si>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</si>
  <si>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</si>
  <si>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</si>
  <si>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</si>
  <si>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</si>
  <si>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</si>
  <si>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</si>
  <si>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</si>
  <si>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</si>
  <si>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</si>
  <si>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</si>
  <si>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</si>
  <si>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</si>
  <si>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</si>
  <si>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</si>
  <si>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</si>
  <si>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</si>
  <si>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</si>
  <si>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</si>
  <si>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</si>
  <si>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</si>
  <si>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</si>
  <si>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</si>
  <si>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</si>
  <si>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</si>
  <si>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</si>
  <si>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</si>
  <si>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</si>
  <si>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</si>
  <si>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</si>
  <si>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</si>
  <si>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</si>
  <si>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</si>
  <si>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</si>
  <si>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</si>
  <si>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</si>
  <si>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</si>
  <si>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</si>
  <si>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</si>
  <si>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</si>
  <si>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</si>
  <si>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</si>
  <si>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</si>
  <si>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</si>
  <si>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</si>
  <si>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</si>
  <si>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</si>
  <si>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</si>
  <si>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</si>
  <si>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</si>
  <si>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</si>
  <si>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</si>
  <si>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</si>
  <si>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</si>
  <si>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</si>
  <si>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</si>
  <si>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</si>
  <si>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</si>
  <si>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</si>
  <si>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</si>
  <si>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</si>
  <si>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</si>
  <si>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</si>
  <si>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</si>
  <si>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</si>
  <si>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</si>
  <si>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</si>
  <si>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</si>
  <si>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</si>
  <si>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</si>
  <si>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</si>
  <si>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</si>
  <si>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</si>
  <si>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</si>
  <si>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</si>
  <si>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</si>
  <si>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</si>
  <si>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</si>
  <si>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</si>
  <si>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</si>
  <si>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</si>
  <si>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</si>
  <si>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</si>
  <si>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</si>
  <si>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</si>
  <si>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</si>
  <si>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</si>
  <si>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</si>
  <si>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</si>
  <si>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</si>
  <si>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</si>
  <si>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</si>
  <si>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</si>
  <si>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</si>
  <si>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</si>
  <si>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</si>
  <si>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</si>
  <si>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</si>
  <si>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</si>
  <si>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</si>
  <si>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</si>
  <si>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</si>
  <si>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</si>
  <si>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</si>
  <si>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</si>
  <si>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</si>
  <si>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</si>
  <si>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</si>
  <si>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</si>
  <si>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</si>
  <si>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</si>
  <si>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</si>
  <si>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</si>
  <si>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</si>
  <si>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</si>
  <si>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</si>
  <si>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</si>
  <si>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</si>
  <si>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</si>
  <si>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</si>
  <si>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</si>
  <si>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</si>
  <si>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</si>
  <si>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</si>
  <si>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</si>
  <si>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</si>
  <si>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</si>
  <si>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</si>
  <si>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</si>
  <si>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</si>
  <si>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</si>
  <si>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</si>
  <si>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</si>
  <si>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</si>
  <si>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</si>
  <si>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</si>
  <si>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</si>
  <si>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</si>
  <si>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</si>
  <si>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</si>
  <si>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</si>
  <si>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</si>
  <si>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</si>
  <si>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</si>
  <si>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</si>
  <si>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</si>
  <si>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</si>
  <si>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</si>
  <si>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</si>
  <si>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</si>
  <si>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</si>
  <si>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</si>
  <si>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</si>
  <si>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</si>
  <si>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</si>
  <si>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</si>
  <si>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</si>
  <si>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</si>
  <si>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</si>
  <si>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</si>
  <si>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</si>
  <si>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</si>
  <si>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</si>
  <si>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</si>
  <si>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</si>
  <si>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</si>
  <si>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</si>
  <si>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</si>
  <si>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</si>
  <si>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</si>
  <si>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</si>
  <si>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</si>
  <si>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</si>
  <si>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</si>
  <si>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</si>
  <si>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</si>
  <si>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</si>
  <si>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</si>
  <si>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</si>
  <si>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</si>
  <si>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</si>
  <si>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</si>
  <si>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</si>
  <si>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</si>
  <si>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</si>
  <si>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</si>
  <si>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</si>
  <si>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</si>
  <si>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</si>
  <si>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</si>
  <si>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</si>
  <si>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</si>
  <si>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</si>
  <si>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</si>
  <si>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</si>
  <si>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</si>
  <si>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</si>
  <si>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</si>
  <si>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</si>
  <si>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</si>
  <si>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</si>
  <si>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</si>
  <si>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</si>
  <si>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</si>
  <si>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</si>
  <si>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</si>
  <si>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</si>
  <si>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</si>
  <si>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</si>
  <si>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</si>
  <si>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</si>
  <si>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</si>
  <si>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</si>
  <si>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</si>
  <si>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</si>
  <si>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</si>
  <si>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</si>
  <si>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</si>
  <si>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</si>
  <si>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</si>
  <si>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</si>
  <si>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</si>
  <si>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</si>
  <si>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</si>
  <si>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</si>
  <si>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</si>
  <si>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</si>
  <si>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</si>
  <si>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</si>
  <si>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</si>
  <si>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</si>
  <si>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</si>
  <si>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</si>
  <si>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</si>
  <si>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</si>
  <si>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</si>
  <si>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</si>
  <si>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</si>
  <si>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</si>
  <si>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</si>
  <si>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</si>
  <si>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</si>
  <si>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</si>
  <si>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</si>
  <si>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</si>
  <si>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</si>
  <si>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</si>
  <si>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</si>
  <si>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</si>
  <si>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</si>
  <si>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</si>
  <si>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</si>
  <si>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</si>
  <si>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</si>
  <si>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</si>
  <si>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</si>
  <si>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</si>
  <si>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</si>
  <si>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</si>
  <si>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</si>
  <si>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</si>
  <si>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</si>
  <si>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</si>
  <si>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</si>
  <si>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</si>
  <si>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</si>
  <si>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</si>
  <si>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</si>
  <si>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</si>
  <si>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</si>
  <si>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</si>
  <si>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</si>
  <si>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</si>
  <si>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</si>
  <si>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</si>
  <si>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</si>
  <si>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</si>
  <si>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</si>
  <si>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</si>
  <si>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</si>
  <si>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</si>
  <si>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</si>
  <si>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</si>
  <si>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</si>
  <si>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</si>
  <si>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</si>
  <si>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</si>
  <si>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</si>
  <si>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</si>
  <si>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</si>
  <si>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</si>
  <si>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</si>
  <si>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</si>
  <si>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</si>
  <si>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</si>
  <si>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</si>
  <si>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</si>
  <si>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</si>
  <si>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</si>
  <si>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</si>
  <si>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</si>
  <si>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</si>
  <si>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</si>
  <si>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</si>
  <si>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</si>
  <si>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</si>
  <si>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</si>
  <si>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</si>
  <si>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</si>
  <si>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</si>
  <si>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</si>
  <si>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</si>
  <si>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</si>
  <si>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</si>
  <si>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</si>
  <si>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</si>
  <si>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</si>
  <si>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</si>
  <si>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</si>
  <si>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</si>
  <si>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</si>
  <si>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</si>
  <si>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</si>
  <si>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</si>
  <si>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</si>
  <si>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</si>
  <si>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</si>
  <si>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</si>
  <si>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</si>
  <si>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</si>
  <si>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</si>
  <si>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</si>
  <si>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</si>
  <si>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</si>
  <si>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</si>
  <si>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</si>
  <si>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</si>
  <si>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</si>
  <si>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</si>
  <si>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</si>
  <si>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</si>
  <si>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</si>
  <si>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</si>
  <si>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</si>
  <si>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</si>
  <si>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</si>
  <si>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</si>
  <si>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</si>
  <si>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</si>
  <si>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</si>
  <si>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</si>
  <si>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</si>
  <si>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</si>
  <si>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</si>
  <si>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</si>
  <si>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</si>
  <si>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</si>
  <si>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</si>
  <si>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</si>
  <si>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</si>
  <si>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</si>
  <si>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</si>
  <si>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</si>
  <si>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</si>
  <si>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</si>
  <si>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</si>
  <si>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</si>
  <si>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</si>
  <si>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</si>
  <si>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</si>
  <si>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</si>
  <si>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</si>
  <si>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</si>
  <si>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</si>
  <si>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</si>
  <si>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</si>
  <si>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</si>
  <si>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</si>
  <si>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</si>
  <si>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</si>
  <si>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</si>
  <si>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</si>
  <si>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</si>
  <si>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</si>
  <si>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</si>
  <si>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</si>
  <si>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</si>
  <si>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</si>
  <si>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</si>
  <si>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</si>
  <si>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</si>
  <si>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</si>
  <si>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</si>
  <si>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</si>
  <si>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</si>
  <si>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</si>
  <si>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</si>
  <si>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</si>
  <si>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</si>
  <si>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</si>
  <si>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</si>
  <si>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</si>
  <si>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</si>
  <si>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</si>
  <si>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</si>
  <si>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</si>
  <si>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</si>
  <si>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</si>
  <si>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</si>
  <si>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</si>
  <si>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</si>
  <si>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</si>
  <si>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</si>
  <si>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</si>
  <si>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</si>
  <si>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</si>
  <si>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</si>
  <si>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</si>
  <si>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</si>
  <si>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</si>
  <si>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</si>
  <si>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</si>
  <si>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</si>
  <si>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</si>
  <si>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</si>
  <si>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</si>
  <si>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</si>
  <si>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</si>
  <si>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</si>
  <si>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</si>
  <si>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</si>
  <si>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</si>
  <si>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</si>
  <si>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</si>
  <si>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</si>
  <si>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</si>
  <si>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71066</t>
  </si>
  <si>
    <t>ZONHOVEN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</si>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</sst>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176606.4664340243</c:v>
                </c:pt>
                <c:pt idx="1">
                  <c:v>45009.679603241559</c:v>
                </c:pt>
                <c:pt idx="2">
                  <c:v>1300.8489999999999</c:v>
                </c:pt>
                <c:pt idx="3">
                  <c:v>1398.3462773487026</c:v>
                </c:pt>
                <c:pt idx="4">
                  <c:v>182105.95033811999</c:v>
                </c:pt>
                <c:pt idx="5">
                  <c:v>276083.43840503838</c:v>
                </c:pt>
                <c:pt idx="6">
                  <c:v>2536.3895248588465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7632"/>
        <c:axId val="131639168"/>
      </c:barChart>
      <c:catAx>
        <c:axId val="131637632"/>
        <c:scaling>
          <c:orientation val="minMax"/>
        </c:scaling>
        <c:axPos val="b"/>
        <c:numFmt formatCode="General" sourceLinked="0"/>
        <c:tickLblPos val="nextTo"/>
        <c:crossAx val="131639168"/>
        <c:crosses val="autoZero"/>
        <c:auto val="1"/>
        <c:lblAlgn val="ctr"/>
        <c:lblOffset val="100"/>
      </c:catAx>
      <c:valAx>
        <c:axId val="131639168"/>
        <c:scaling>
          <c:orientation val="minMax"/>
        </c:scaling>
        <c:axPos val="l"/>
        <c:majorGridlines/>
        <c:numFmt formatCode="#,##0" sourceLinked="1"/>
        <c:tickLblPos val="nextTo"/>
        <c:crossAx val="13163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176606.4664340243</c:v>
                </c:pt>
                <c:pt idx="1">
                  <c:v>45009.679603241559</c:v>
                </c:pt>
                <c:pt idx="2">
                  <c:v>1300.8489999999999</c:v>
                </c:pt>
                <c:pt idx="3">
                  <c:v>1398.3462773487026</c:v>
                </c:pt>
                <c:pt idx="4">
                  <c:v>182105.95033811999</c:v>
                </c:pt>
                <c:pt idx="5">
                  <c:v>276083.43840503838</c:v>
                </c:pt>
                <c:pt idx="6">
                  <c:v>2536.3895248588465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36943.509260867912</c:v>
                </c:pt>
                <c:pt idx="2">
                  <c:v>9051.15839881787</c:v>
                </c:pt>
                <c:pt idx="3">
                  <c:v>260.82048833590045</c:v>
                </c:pt>
                <c:pt idx="4">
                  <c:v>345.4536134649295</c:v>
                </c:pt>
                <c:pt idx="5">
                  <c:v>35422.244879688333</c:v>
                </c:pt>
                <c:pt idx="6">
                  <c:v>70767.291631513799</c:v>
                </c:pt>
                <c:pt idx="7">
                  <c:v>656.8422267395166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1616"/>
        <c:axId val="149877504"/>
      </c:barChart>
      <c:catAx>
        <c:axId val="149871616"/>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7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36943.509260867912</c:v>
                </c:pt>
                <c:pt idx="2">
                  <c:v>9051.15839881787</c:v>
                </c:pt>
                <c:pt idx="3">
                  <c:v>260.82048833590045</c:v>
                </c:pt>
                <c:pt idx="4">
                  <c:v>345.4536134649295</c:v>
                </c:pt>
                <c:pt idx="5">
                  <c:v>35422.244879688333</c:v>
                </c:pt>
                <c:pt idx="6">
                  <c:v>70767.291631513799</c:v>
                </c:pt>
                <c:pt idx="7">
                  <c:v>656.8422267395166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71066</v>
      </c>
      <c r="B6" s="415"/>
      <c r="C6" s="416"/>
    </row>
    <row r="7" spans="1:7" s="413" customFormat="1" ht="15.75" customHeight="1">
      <c r="A7" s="417" t="str">
        <f>txtMunicipality</f>
        <v>ZONHOVEN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0.20050020281823677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0.20050020281823677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8377</v>
      </c>
      <c r="C9" s="342">
        <v>8865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911.97</v>
      </c>
    </row>
    <row r="15" spans="1:6">
      <c r="A15" s="348" t="s">
        <v>184</v>
      </c>
      <c r="B15" s="334">
        <v>2</v>
      </c>
    </row>
    <row r="16" spans="1:6">
      <c r="A16" s="348" t="s">
        <v>6</v>
      </c>
      <c r="B16" s="334">
        <v>0</v>
      </c>
    </row>
    <row r="17" spans="1:6">
      <c r="A17" s="348" t="s">
        <v>7</v>
      </c>
      <c r="B17" s="334">
        <v>201</v>
      </c>
    </row>
    <row r="18" spans="1:6">
      <c r="A18" s="348" t="s">
        <v>8</v>
      </c>
      <c r="B18" s="334">
        <v>192</v>
      </c>
    </row>
    <row r="19" spans="1:6">
      <c r="A19" s="348" t="s">
        <v>9</v>
      </c>
      <c r="B19" s="334">
        <v>142</v>
      </c>
    </row>
    <row r="20" spans="1:6">
      <c r="A20" s="348" t="s">
        <v>10</v>
      </c>
      <c r="B20" s="334">
        <v>166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116</v>
      </c>
    </row>
    <row r="27" spans="1:6">
      <c r="A27" s="348" t="s">
        <v>17</v>
      </c>
      <c r="B27" s="334">
        <v>0</v>
      </c>
    </row>
    <row r="28" spans="1:6" s="356" customFormat="1">
      <c r="A28" s="355" t="s">
        <v>18</v>
      </c>
      <c r="B28" s="355">
        <v>0</v>
      </c>
    </row>
    <row r="29" spans="1:6">
      <c r="A29" s="355" t="s">
        <v>884</v>
      </c>
      <c r="B29" s="355">
        <v>38</v>
      </c>
      <c r="C29" s="356"/>
      <c r="D29" s="356"/>
      <c r="E29" s="356"/>
      <c r="F29" s="356"/>
    </row>
    <row r="30" spans="1:6">
      <c r="A30" s="355" t="s">
        <v>885</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31096</v>
      </c>
    </row>
    <row r="37" spans="1:6">
      <c r="A37" s="348" t="s">
        <v>25</v>
      </c>
      <c r="B37" s="348" t="s">
        <v>28</v>
      </c>
      <c r="C37" s="334">
        <v>0</v>
      </c>
      <c r="D37" s="334">
        <v>0</v>
      </c>
      <c r="E37" s="334">
        <v>0</v>
      </c>
      <c r="F37" s="334">
        <v>0</v>
      </c>
    </row>
    <row r="38" spans="1:6">
      <c r="A38" s="348" t="s">
        <v>25</v>
      </c>
      <c r="B38" s="348" t="s">
        <v>29</v>
      </c>
      <c r="C38" s="334">
        <v>0</v>
      </c>
      <c r="D38" s="334">
        <v>0</v>
      </c>
      <c r="E38" s="334">
        <v>0</v>
      </c>
      <c r="F38" s="334">
        <v>5069</v>
      </c>
    </row>
    <row r="39" spans="1:6">
      <c r="A39" s="348" t="s">
        <v>30</v>
      </c>
      <c r="B39" s="348" t="s">
        <v>31</v>
      </c>
      <c r="C39" s="334">
        <v>4075</v>
      </c>
      <c r="D39" s="334">
        <v>63487225</v>
      </c>
      <c r="E39" s="334">
        <v>8258</v>
      </c>
      <c r="F39" s="334">
        <v>30602337</v>
      </c>
    </row>
    <row r="40" spans="1:6">
      <c r="A40" s="348" t="s">
        <v>30</v>
      </c>
      <c r="B40" s="348" t="s">
        <v>29</v>
      </c>
      <c r="C40" s="334">
        <v>0</v>
      </c>
      <c r="D40" s="334">
        <v>0</v>
      </c>
      <c r="E40" s="334">
        <v>0</v>
      </c>
      <c r="F40" s="334">
        <v>0</v>
      </c>
    </row>
    <row r="41" spans="1:6">
      <c r="A41" s="348" t="s">
        <v>32</v>
      </c>
      <c r="B41" s="348" t="s">
        <v>33</v>
      </c>
      <c r="C41" s="334">
        <v>62</v>
      </c>
      <c r="D41" s="334">
        <v>1837107</v>
      </c>
      <c r="E41" s="334">
        <v>150</v>
      </c>
      <c r="F41" s="334">
        <v>1493288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718738</v>
      </c>
      <c r="E44" s="334">
        <v>29</v>
      </c>
      <c r="F44" s="334">
        <v>14277381</v>
      </c>
    </row>
    <row r="45" spans="1:6">
      <c r="A45" s="348" t="s">
        <v>32</v>
      </c>
      <c r="B45" s="348" t="s">
        <v>37</v>
      </c>
      <c r="C45" s="334">
        <v>3</v>
      </c>
      <c r="D45" s="334">
        <v>62628</v>
      </c>
      <c r="E45" s="334">
        <v>6</v>
      </c>
      <c r="F45" s="334">
        <v>79315</v>
      </c>
    </row>
    <row r="46" spans="1:6">
      <c r="A46" s="348" t="s">
        <v>32</v>
      </c>
      <c r="B46" s="348" t="s">
        <v>38</v>
      </c>
      <c r="C46" s="334">
        <v>0</v>
      </c>
      <c r="D46" s="334">
        <v>0</v>
      </c>
      <c r="E46" s="334">
        <v>0</v>
      </c>
      <c r="F46" s="334">
        <v>0</v>
      </c>
    </row>
    <row r="47" spans="1:6">
      <c r="A47" s="348" t="s">
        <v>32</v>
      </c>
      <c r="B47" s="348" t="s">
        <v>39</v>
      </c>
      <c r="C47" s="334">
        <v>3</v>
      </c>
      <c r="D47" s="334">
        <v>118573</v>
      </c>
      <c r="E47" s="334">
        <v>4</v>
      </c>
      <c r="F47" s="334">
        <v>95617</v>
      </c>
    </row>
    <row r="48" spans="1:6">
      <c r="A48" s="348" t="s">
        <v>32</v>
      </c>
      <c r="B48" s="348" t="s">
        <v>29</v>
      </c>
      <c r="C48" s="334">
        <v>4</v>
      </c>
      <c r="D48" s="334">
        <v>413976</v>
      </c>
      <c r="E48" s="334">
        <v>3</v>
      </c>
      <c r="F48" s="334">
        <v>1014474</v>
      </c>
    </row>
    <row r="49" spans="1:6">
      <c r="A49" s="348" t="s">
        <v>32</v>
      </c>
      <c r="B49" s="348" t="s">
        <v>40</v>
      </c>
      <c r="C49" s="334">
        <v>0</v>
      </c>
      <c r="D49" s="334">
        <v>0</v>
      </c>
      <c r="E49" s="334">
        <v>5</v>
      </c>
      <c r="F49" s="334">
        <v>39882</v>
      </c>
    </row>
    <row r="50" spans="1:6">
      <c r="A50" s="348" t="s">
        <v>32</v>
      </c>
      <c r="B50" s="348" t="s">
        <v>41</v>
      </c>
      <c r="C50" s="334">
        <v>4</v>
      </c>
      <c r="D50" s="334">
        <v>123259378</v>
      </c>
      <c r="E50" s="334">
        <v>18</v>
      </c>
      <c r="F50" s="334">
        <v>25079343</v>
      </c>
    </row>
    <row r="51" spans="1:6">
      <c r="A51" s="348" t="s">
        <v>42</v>
      </c>
      <c r="B51" s="348" t="s">
        <v>43</v>
      </c>
      <c r="C51" s="334">
        <v>4</v>
      </c>
      <c r="D51" s="334">
        <v>247443</v>
      </c>
      <c r="E51" s="334">
        <v>21</v>
      </c>
      <c r="F51" s="334">
        <v>243558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84</v>
      </c>
      <c r="F54" s="334">
        <v>1300849</v>
      </c>
    </row>
    <row r="55" spans="1:6">
      <c r="A55" s="348" t="s">
        <v>46</v>
      </c>
      <c r="B55" s="348" t="s">
        <v>29</v>
      </c>
      <c r="C55" s="334">
        <v>0</v>
      </c>
      <c r="D55" s="334">
        <v>0</v>
      </c>
      <c r="E55" s="334">
        <v>0</v>
      </c>
      <c r="F55" s="334">
        <v>0</v>
      </c>
    </row>
    <row r="56" spans="1:6">
      <c r="A56" s="348" t="s">
        <v>48</v>
      </c>
      <c r="B56" s="348" t="s">
        <v>29</v>
      </c>
      <c r="C56" s="334">
        <v>52</v>
      </c>
      <c r="D56" s="334">
        <v>1271174</v>
      </c>
      <c r="E56" s="334">
        <v>148</v>
      </c>
      <c r="F56" s="334">
        <v>715964</v>
      </c>
    </row>
    <row r="57" spans="1:6">
      <c r="A57" s="348" t="s">
        <v>49</v>
      </c>
      <c r="B57" s="348" t="s">
        <v>50</v>
      </c>
      <c r="C57" s="334">
        <v>53</v>
      </c>
      <c r="D57" s="334">
        <v>1559309</v>
      </c>
      <c r="E57" s="334">
        <v>114</v>
      </c>
      <c r="F57" s="334">
        <v>1893972</v>
      </c>
    </row>
    <row r="58" spans="1:6">
      <c r="A58" s="348" t="s">
        <v>49</v>
      </c>
      <c r="B58" s="348" t="s">
        <v>51</v>
      </c>
      <c r="C58" s="334">
        <v>30</v>
      </c>
      <c r="D58" s="334">
        <v>2511570</v>
      </c>
      <c r="E58" s="334">
        <v>51</v>
      </c>
      <c r="F58" s="334">
        <v>1538469</v>
      </c>
    </row>
    <row r="59" spans="1:6">
      <c r="A59" s="348" t="s">
        <v>49</v>
      </c>
      <c r="B59" s="348" t="s">
        <v>52</v>
      </c>
      <c r="C59" s="334">
        <v>126</v>
      </c>
      <c r="D59" s="334">
        <v>8098944</v>
      </c>
      <c r="E59" s="334">
        <v>248</v>
      </c>
      <c r="F59" s="334">
        <v>7786362</v>
      </c>
    </row>
    <row r="60" spans="1:6">
      <c r="A60" s="348" t="s">
        <v>49</v>
      </c>
      <c r="B60" s="348" t="s">
        <v>53</v>
      </c>
      <c r="C60" s="334">
        <v>41</v>
      </c>
      <c r="D60" s="334">
        <v>1912588</v>
      </c>
      <c r="E60" s="334">
        <v>75</v>
      </c>
      <c r="F60" s="334">
        <v>2118924</v>
      </c>
    </row>
    <row r="61" spans="1:6">
      <c r="A61" s="348" t="s">
        <v>49</v>
      </c>
      <c r="B61" s="348" t="s">
        <v>54</v>
      </c>
      <c r="C61" s="334">
        <v>148</v>
      </c>
      <c r="D61" s="334">
        <v>5627676</v>
      </c>
      <c r="E61" s="334">
        <v>467</v>
      </c>
      <c r="F61" s="334">
        <v>4789035</v>
      </c>
    </row>
    <row r="62" spans="1:6">
      <c r="A62" s="348" t="s">
        <v>49</v>
      </c>
      <c r="B62" s="348" t="s">
        <v>55</v>
      </c>
      <c r="C62" s="334">
        <v>13</v>
      </c>
      <c r="D62" s="334">
        <v>2367977</v>
      </c>
      <c r="E62" s="334">
        <v>16</v>
      </c>
      <c r="F62" s="334">
        <v>410700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205215</v>
      </c>
      <c r="E68" s="334">
        <v>9</v>
      </c>
      <c r="F68" s="334">
        <v>84773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59222986</v>
      </c>
      <c r="E73" s="475">
        <v>67516093.676789179</v>
      </c>
    </row>
    <row r="74" spans="1:6">
      <c r="A74" s="348" t="s">
        <v>64</v>
      </c>
      <c r="B74" s="348" t="s">
        <v>667</v>
      </c>
      <c r="C74" s="1294" t="s">
        <v>669</v>
      </c>
      <c r="D74" s="475">
        <v>6458966.1762221577</v>
      </c>
      <c r="E74" s="475">
        <v>7060902.17430868</v>
      </c>
    </row>
    <row r="75" spans="1:6">
      <c r="A75" s="348" t="s">
        <v>65</v>
      </c>
      <c r="B75" s="348" t="s">
        <v>666</v>
      </c>
      <c r="C75" s="1294" t="s">
        <v>670</v>
      </c>
      <c r="D75" s="475">
        <v>33301365</v>
      </c>
      <c r="E75" s="475">
        <v>37900525.834290467</v>
      </c>
    </row>
    <row r="76" spans="1:6">
      <c r="A76" s="348" t="s">
        <v>65</v>
      </c>
      <c r="B76" s="348" t="s">
        <v>667</v>
      </c>
      <c r="C76" s="1294" t="s">
        <v>671</v>
      </c>
      <c r="D76" s="475">
        <v>1411243.1762221577</v>
      </c>
      <c r="E76" s="475">
        <v>1587892.4268159526</v>
      </c>
    </row>
    <row r="77" spans="1:6">
      <c r="A77" s="348" t="s">
        <v>66</v>
      </c>
      <c r="B77" s="348" t="s">
        <v>666</v>
      </c>
      <c r="C77" s="1294" t="s">
        <v>672</v>
      </c>
      <c r="D77" s="475">
        <v>167790274</v>
      </c>
      <c r="E77" s="475">
        <v>183976036.38656995</v>
      </c>
    </row>
    <row r="78" spans="1:6">
      <c r="A78" s="341" t="s">
        <v>66</v>
      </c>
      <c r="B78" s="341" t="s">
        <v>667</v>
      </c>
      <c r="C78" s="341" t="s">
        <v>673</v>
      </c>
      <c r="D78" s="1295">
        <v>29007798</v>
      </c>
      <c r="E78" s="1295">
        <v>29989937.306278165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681239.64755568455</v>
      </c>
      <c r="C83" s="475">
        <v>681239.64755568455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6865.3387472030854</v>
      </c>
    </row>
    <row r="92" spans="1:6">
      <c r="A92" s="341" t="s">
        <v>69</v>
      </c>
      <c r="B92" s="342">
        <v>2448.2301824367237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1089</v>
      </c>
    </row>
    <row r="98" spans="1:6">
      <c r="A98" s="348" t="s">
        <v>72</v>
      </c>
      <c r="B98" s="334">
        <v>2</v>
      </c>
    </row>
    <row r="99" spans="1:6">
      <c r="A99" s="348" t="s">
        <v>73</v>
      </c>
      <c r="B99" s="334">
        <v>66</v>
      </c>
    </row>
    <row r="100" spans="1:6">
      <c r="A100" s="348" t="s">
        <v>74</v>
      </c>
      <c r="B100" s="334">
        <v>340</v>
      </c>
    </row>
    <row r="101" spans="1:6">
      <c r="A101" s="348" t="s">
        <v>75</v>
      </c>
      <c r="B101" s="334">
        <v>51</v>
      </c>
    </row>
    <row r="102" spans="1:6">
      <c r="A102" s="348" t="s">
        <v>76</v>
      </c>
      <c r="B102" s="334">
        <v>60</v>
      </c>
    </row>
    <row r="103" spans="1:6">
      <c r="A103" s="348" t="s">
        <v>77</v>
      </c>
      <c r="B103" s="334">
        <v>141</v>
      </c>
    </row>
    <row r="104" spans="1:6">
      <c r="A104" s="348" t="s">
        <v>78</v>
      </c>
      <c r="B104" s="334">
        <v>5249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57</v>
      </c>
      <c r="C123" s="334">
        <v>32</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271</v>
      </c>
    </row>
    <row r="130" spans="1:6">
      <c r="A130" s="348" t="s">
        <v>295</v>
      </c>
      <c r="B130" s="334">
        <v>3</v>
      </c>
    </row>
    <row r="131" spans="1:6">
      <c r="A131" s="348" t="s">
        <v>296</v>
      </c>
      <c r="B131" s="334">
        <v>3</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100405.80963803269</v>
      </c>
      <c r="C3" s="43" t="s">
        <v>170</v>
      </c>
      <c r="D3" s="43"/>
      <c r="E3" s="154"/>
      <c r="F3" s="43"/>
      <c r="G3" s="43"/>
      <c r="H3" s="43"/>
      <c r="I3" s="43"/>
      <c r="J3" s="43"/>
      <c r="K3" s="96"/>
    </row>
    <row r="4" spans="1:11">
      <c r="A4" s="383" t="s">
        <v>171</v>
      </c>
      <c r="B4" s="49">
        <f>IF(ISERROR('SEAP template'!B78+'SEAP template'!C78),0,'SEAP template'!B78+'SEAP template'!C78)</f>
        <v>9313.5689296398086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0.20050020281823677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1300.8489999999999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1300.8489999999999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0.20050020281823677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260.82048833590045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30602.337</v>
      </c>
      <c r="C5" s="17">
        <f>IF(ISERROR('Eigen informatie GS &amp; warmtenet'!B57),0,'Eigen informatie GS &amp; warmtenet'!B57)</f>
        <v>0</v>
      </c>
      <c r="D5" s="30">
        <f>(SUM(HH_hh_gas_kWh,HH_rest_gas_kWh)/1000)*0.902</f>
        <v>57265.476949999997</v>
      </c>
      <c r="E5" s="17">
        <f>B46*B57</f>
        <v>5351.7980868170625</v>
      </c>
      <c r="F5" s="17">
        <f>B51*B62</f>
        <v>62354.862040517924</v>
      </c>
      <c r="G5" s="18"/>
      <c r="H5" s="17"/>
      <c r="I5" s="17"/>
      <c r="J5" s="17">
        <f>B50*B61+C50*C61</f>
        <v>0</v>
      </c>
      <c r="K5" s="17"/>
      <c r="L5" s="17"/>
      <c r="M5" s="17"/>
      <c r="N5" s="17">
        <f>B48*B59+C48*C59</f>
        <v>11745.036942819572</v>
      </c>
      <c r="O5" s="17">
        <f>B69*B70*B71</f>
        <v>476.81666666666666</v>
      </c>
      <c r="P5" s="17">
        <f>B77*B78*B79/1000-B77*B78*B79/1000/B80</f>
        <v>1944.8</v>
      </c>
    </row>
    <row r="6" spans="1:16">
      <c r="A6" s="16" t="s">
        <v>624</v>
      </c>
      <c r="B6" s="788">
        <f>kWh_PV_kleiner_dan_10kW</f>
        <v>6865.3387472030854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37467.675747203088</v>
      </c>
      <c r="C8" s="21">
        <f>C5</f>
        <v>0</v>
      </c>
      <c r="D8" s="21">
        <f>D5</f>
        <v>57265.476949999997</v>
      </c>
      <c r="E8" s="21">
        <f>E5</f>
        <v>5351.7980868170625</v>
      </c>
      <c r="F8" s="21">
        <f>F5</f>
        <v>62354.862040517924</v>
      </c>
      <c r="G8" s="21"/>
      <c r="H8" s="21"/>
      <c r="I8" s="21"/>
      <c r="J8" s="21">
        <f>J5</f>
        <v>0</v>
      </c>
      <c r="K8" s="21"/>
      <c r="L8" s="21">
        <f>L5</f>
        <v>0</v>
      </c>
      <c r="M8" s="21">
        <f>M5</f>
        <v>0</v>
      </c>
      <c r="N8" s="21">
        <f>N5</f>
        <v>11745.036942819572</v>
      </c>
      <c r="O8" s="21">
        <f>O5</f>
        <v>476.81666666666666</v>
      </c>
      <c r="P8" s="21">
        <f>P5</f>
        <v>1944.8</v>
      </c>
    </row>
    <row r="9" spans="1:16">
      <c r="B9" s="19"/>
      <c r="C9" s="19"/>
      <c r="D9" s="258"/>
      <c r="E9" s="19"/>
      <c r="F9" s="19"/>
      <c r="G9" s="19"/>
      <c r="H9" s="19"/>
      <c r="I9" s="19"/>
      <c r="J9" s="19"/>
      <c r="K9" s="19"/>
      <c r="L9" s="19"/>
      <c r="M9" s="19"/>
      <c r="N9" s="19"/>
      <c r="O9" s="19"/>
      <c r="P9" s="19"/>
    </row>
    <row r="10" spans="1:16">
      <c r="A10" s="24" t="s">
        <v>214</v>
      </c>
      <c r="B10" s="25">
        <f ca="1">'EF ele_warmte'!B12</f>
        <v>0.20050020281823677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7512.2765864421499</v>
      </c>
      <c r="C12" s="23">
        <f ca="1">C10*C8</f>
        <v>0</v>
      </c>
      <c r="D12" s="23">
        <f>D8*D10</f>
        <v>11567.626343899999</v>
      </c>
      <c r="E12" s="23">
        <f>E10*E8</f>
        <v>1214.8581657074733</v>
      </c>
      <c r="F12" s="23">
        <f>F10*F8</f>
        <v>16648.748164818287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1089</v>
      </c>
      <c r="C18" s="166" t="s">
        <v>111</v>
      </c>
      <c r="D18" s="228"/>
      <c r="E18" s="15"/>
    </row>
    <row r="19" spans="1:7">
      <c r="A19" s="171" t="s">
        <v>72</v>
      </c>
      <c r="B19" s="37">
        <f>aantalw2001_ander</f>
        <v>2</v>
      </c>
      <c r="C19" s="166" t="s">
        <v>111</v>
      </c>
      <c r="D19" s="229"/>
      <c r="E19" s="15"/>
    </row>
    <row r="20" spans="1:7">
      <c r="A20" s="171" t="s">
        <v>73</v>
      </c>
      <c r="B20" s="37">
        <f>aantalw2001_propaan</f>
        <v>66</v>
      </c>
      <c r="C20" s="167">
        <f>IF(ISERROR(B20/SUM($B$20,$B$21,$B$22)*100),0,B20/SUM($B$20,$B$21,$B$22)*100)</f>
        <v>14.442013129102845</v>
      </c>
      <c r="D20" s="229"/>
      <c r="E20" s="15"/>
    </row>
    <row r="21" spans="1:7">
      <c r="A21" s="171" t="s">
        <v>74</v>
      </c>
      <c r="B21" s="37">
        <f>aantalw2001_elektriciteit</f>
        <v>340</v>
      </c>
      <c r="C21" s="167">
        <f>IF(ISERROR(B21/SUM($B$20,$B$21,$B$22)*100),0,B21/SUM($B$20,$B$21,$B$22)*100)</f>
        <v>74.398249452954047</v>
      </c>
      <c r="D21" s="229"/>
      <c r="E21" s="15"/>
    </row>
    <row r="22" spans="1:7">
      <c r="A22" s="171" t="s">
        <v>75</v>
      </c>
      <c r="B22" s="37">
        <f>aantalw2001_hout</f>
        <v>51</v>
      </c>
      <c r="C22" s="167">
        <f>IF(ISERROR(B22/SUM($B$20,$B$21,$B$22)*100),0,B22/SUM($B$20,$B$21,$B$22)*100)</f>
        <v>11.159737417943107</v>
      </c>
      <c r="D22" s="229"/>
      <c r="E22" s="15"/>
    </row>
    <row r="23" spans="1:7">
      <c r="A23" s="171" t="s">
        <v>76</v>
      </c>
      <c r="B23" s="37">
        <f>aantalw2001_niet_gespec</f>
        <v>60</v>
      </c>
      <c r="C23" s="166" t="s">
        <v>111</v>
      </c>
      <c r="D23" s="228"/>
      <c r="E23" s="15"/>
    </row>
    <row r="24" spans="1:7">
      <c r="A24" s="171" t="s">
        <v>77</v>
      </c>
      <c r="B24" s="37">
        <f>aantalw2001_steenkool</f>
        <v>141</v>
      </c>
      <c r="C24" s="166" t="s">
        <v>111</v>
      </c>
      <c r="D24" s="229"/>
      <c r="E24" s="15"/>
    </row>
    <row r="25" spans="1:7">
      <c r="A25" s="171" t="s">
        <v>78</v>
      </c>
      <c r="B25" s="37">
        <f>aantalw2001_stookolie</f>
        <v>5249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8377</v>
      </c>
      <c r="C28" s="36"/>
      <c r="D28" s="228"/>
    </row>
    <row r="29" spans="1:7" s="15" customFormat="1">
      <c r="A29" s="230" t="s">
        <v>699</v>
      </c>
      <c r="B29" s="37">
        <f>SUM(HH_hh_gas_aantal,HH_rest_gas_aantal)</f>
        <v>4075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4075</v>
      </c>
      <c r="C32" s="167">
        <f>IF(ISERROR(B32/SUM($B$32,$B$34,$B$35,$B$36,$B$38,$B$39)*100),0,B32/SUM($B$32,$B$34,$B$35,$B$36,$B$38,$B$39)*100)</f>
        <v>49.244712990936556</v>
      </c>
      <c r="D32" s="233"/>
      <c r="G32" s="15"/>
    </row>
    <row r="33" spans="1:7">
      <c r="A33" s="171" t="s">
        <v>72</v>
      </c>
      <c r="B33" s="34" t="s">
        <v>111</v>
      </c>
      <c r="C33" s="167"/>
      <c r="D33" s="233"/>
      <c r="G33" s="15"/>
    </row>
    <row r="34" spans="1:7">
      <c r="A34" s="171" t="s">
        <v>73</v>
      </c>
      <c r="B34" s="33">
        <f>IF((($B$28-$B$32-$B$39-$B$77-$B$38)*C20/100)&lt;0,0,($B$28-$B$32-$B$39-$B$77-$B$38)*C20/100)</f>
        <v>236.61794310722104</v>
      </c>
      <c r="C34" s="167">
        <f>IF(ISERROR(B34/SUM($B$32,$B$34,$B$35,$B$36,$B$38,$B$39)*100),0,B34/SUM($B$32,$B$34,$B$35,$B$36,$B$38,$B$39)*100)</f>
        <v>2.8594313366431545</v>
      </c>
      <c r="D34" s="233"/>
      <c r="G34" s="15"/>
    </row>
    <row r="35" spans="1:7">
      <c r="A35" s="171" t="s">
        <v>74</v>
      </c>
      <c r="B35" s="33">
        <f>IF((($B$28-$B$32-$B$39-$B$77-$B$38)*C21/100)&lt;0,0,($B$28-$B$32-$B$39-$B$77-$B$38)*C21/100)</f>
        <v>1218.9409190371991</v>
      </c>
      <c r="C35" s="167">
        <f>IF(ISERROR(B35/SUM($B$32,$B$34,$B$35,$B$36,$B$38,$B$39)*100),0,B35/SUM($B$32,$B$34,$B$35,$B$36,$B$38,$B$39)*100)</f>
        <v>14.730403855434432</v>
      </c>
      <c r="D35" s="233"/>
      <c r="G35" s="15"/>
    </row>
    <row r="36" spans="1:7">
      <c r="A36" s="171" t="s">
        <v>75</v>
      </c>
      <c r="B36" s="33">
        <f>IF((($B$28-$B$32-$B$39-$B$77-$B$38)*C22/100)&lt;0,0,($B$28-$B$32-$B$39-$B$77-$B$38)*C22/100)</f>
        <v>182.84113785557986</v>
      </c>
      <c r="C36" s="167">
        <f>IF(ISERROR(B36/SUM($B$32,$B$34,$B$35,$B$36,$B$38,$B$39)*100),0,B36/SUM($B$32,$B$34,$B$35,$B$36,$B$38,$B$39)*100)</f>
        <v>2.2095605783151644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2561.6</v>
      </c>
      <c r="C39" s="167">
        <f>IF(ISERROR(B39/SUM($B$32,$B$34,$B$35,$B$36,$B$38,$B$39)*100),0,B39/SUM($B$32,$B$34,$B$35,$B$36,$B$38,$B$39)*100)</f>
        <v>30.955891238670695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4075</v>
      </c>
      <c r="C44" s="34" t="s">
        <v>111</v>
      </c>
      <c r="D44" s="174"/>
    </row>
    <row r="45" spans="1:7">
      <c r="A45" s="171" t="s">
        <v>72</v>
      </c>
      <c r="B45" s="33" t="str">
        <f t="shared" si="0"/>
        <v>-</v>
      </c>
      <c r="C45" s="34" t="s">
        <v>111</v>
      </c>
      <c r="D45" s="174"/>
    </row>
    <row r="46" spans="1:7">
      <c r="A46" s="171" t="s">
        <v>73</v>
      </c>
      <c r="B46" s="33">
        <f t="shared" si="0"/>
        <v>236.61794310722104</v>
      </c>
      <c r="C46" s="34" t="s">
        <v>111</v>
      </c>
      <c r="D46" s="174"/>
    </row>
    <row r="47" spans="1:7">
      <c r="A47" s="171" t="s">
        <v>74</v>
      </c>
      <c r="B47" s="33">
        <f t="shared" si="0"/>
        <v>1218.9409190371991</v>
      </c>
      <c r="C47" s="34" t="s">
        <v>111</v>
      </c>
      <c r="D47" s="174"/>
    </row>
    <row r="48" spans="1:7">
      <c r="A48" s="171" t="s">
        <v>75</v>
      </c>
      <c r="B48" s="33">
        <f t="shared" si="0"/>
        <v>182.84113785557986</v>
      </c>
      <c r="C48" s="33">
        <f>B48*10</f>
        <v>1828.4113785557986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2561.6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18537.462000000003</v>
      </c>
      <c r="C5" s="17">
        <f>IF(ISERROR('Eigen informatie GS &amp; warmtenet'!B58),0,'Eigen informatie GS &amp; warmtenet'!B58)</f>
        <v>0</v>
      </c>
      <c r="D5" s="30">
        <f>SUM(D6:D12)</f>
        <v>19914.413728</v>
      </c>
      <c r="E5" s="17">
        <f>SUM(E6:E12)</f>
        <v>382.33567937679913</v>
      </c>
      <c r="F5" s="17">
        <f>SUM(F6:F12)</f>
        <v>4587.6094974081625</v>
      </c>
      <c r="G5" s="18"/>
      <c r="H5" s="17"/>
      <c r="I5" s="17"/>
      <c r="J5" s="17">
        <f>SUM(J6:J12)</f>
        <v>0</v>
      </c>
      <c r="K5" s="17"/>
      <c r="L5" s="17"/>
      <c r="M5" s="17"/>
      <c r="N5" s="17">
        <f>SUM(N6:N12)</f>
        <v>1525.9686984566033</v>
      </c>
      <c r="O5" s="17">
        <f>B38*B39*B40</f>
        <v>4.6900000000000004</v>
      </c>
      <c r="P5" s="17">
        <f>B46*B47*B48/1000-B46*B47*B48/1000/B49</f>
        <v>57.2</v>
      </c>
      <c r="R5" s="32"/>
    </row>
    <row r="6" spans="1:18">
      <c r="A6" s="32" t="s">
        <v>54</v>
      </c>
      <c r="B6" s="37">
        <f>B26</f>
        <v>4789.0349999999999</v>
      </c>
      <c r="C6" s="33"/>
      <c r="D6" s="37">
        <f>IF(ISERROR(TER_kantoor_gas_kWh/1000),0,TER_kantoor_gas_kWh/1000)*0.902</f>
        <v>5076.1637520000004</v>
      </c>
      <c r="E6" s="33">
        <f>$C$26*'E Balans VL '!I12/100/3.6*1000000</f>
        <v>62.694367385707096</v>
      </c>
      <c r="F6" s="33">
        <f>$C$26*('E Balans VL '!L12+'E Balans VL '!N12)/100/3.6*1000000</f>
        <v>1221.154436960931</v>
      </c>
      <c r="G6" s="34"/>
      <c r="H6" s="33"/>
      <c r="I6" s="33"/>
      <c r="J6" s="33">
        <f>$C$26*('E Balans VL '!D12+'E Balans VL '!E12)/100/3.6*1000000</f>
        <v>0</v>
      </c>
      <c r="K6" s="33"/>
      <c r="L6" s="33"/>
      <c r="M6" s="33"/>
      <c r="N6" s="33">
        <f>$C$26*'E Balans VL '!Y12/100/3.6*1000000</f>
        <v>4.8051618188483323</v>
      </c>
      <c r="O6" s="33"/>
      <c r="P6" s="33"/>
      <c r="R6" s="32"/>
    </row>
    <row r="7" spans="1:18">
      <c r="A7" s="32" t="s">
        <v>53</v>
      </c>
      <c r="B7" s="37">
        <f t="shared" ref="B7:B12" si="0">B27</f>
        <v>2118.924</v>
      </c>
      <c r="C7" s="33"/>
      <c r="D7" s="37">
        <f>IF(ISERROR(TER_horeca_gas_kWh/1000),0,TER_horeca_gas_kWh/1000)*0.902</f>
        <v>1725.154376</v>
      </c>
      <c r="E7" s="33">
        <f>$C$27*'E Balans VL '!I9/100/3.6*1000000</f>
        <v>70.123495417681042</v>
      </c>
      <c r="F7" s="33">
        <f>$C$27*('E Balans VL '!L9+'E Balans VL '!N9)/100/3.6*1000000</f>
        <v>911.12919929958582</v>
      </c>
      <c r="G7" s="34"/>
      <c r="H7" s="33"/>
      <c r="I7" s="33"/>
      <c r="J7" s="33">
        <f>$C$27*('E Balans VL '!D9+'E Balans VL '!E9)/100/3.6*1000000</f>
        <v>0</v>
      </c>
      <c r="K7" s="33"/>
      <c r="L7" s="33"/>
      <c r="M7" s="33"/>
      <c r="N7" s="33">
        <f>$C$27*'E Balans VL '!Y9/100/3.6*1000000</f>
        <v>0.51005577695322379</v>
      </c>
      <c r="O7" s="33"/>
      <c r="P7" s="33"/>
      <c r="R7" s="32"/>
    </row>
    <row r="8" spans="1:18">
      <c r="A8" s="6" t="s">
        <v>52</v>
      </c>
      <c r="B8" s="37">
        <f t="shared" si="0"/>
        <v>7786.3620000000001</v>
      </c>
      <c r="C8" s="33"/>
      <c r="D8" s="37">
        <f>IF(ISERROR(TER_handel_gas_kWh/1000),0,TER_handel_gas_kWh/1000)*0.902</f>
        <v>7305.2474880000009</v>
      </c>
      <c r="E8" s="33">
        <f>$C$28*'E Balans VL '!I13/100/3.6*1000000</f>
        <v>245.74948192699682</v>
      </c>
      <c r="F8" s="33">
        <f>$C$28*('E Balans VL '!L13+'E Balans VL '!N13)/100/3.6*1000000</f>
        <v>1527.0426975223188</v>
      </c>
      <c r="G8" s="34"/>
      <c r="H8" s="33"/>
      <c r="I8" s="33"/>
      <c r="J8" s="33">
        <f>$C$28*('E Balans VL '!D13+'E Balans VL '!E13)/100/3.6*1000000</f>
        <v>0</v>
      </c>
      <c r="K8" s="33"/>
      <c r="L8" s="33"/>
      <c r="M8" s="33"/>
      <c r="N8" s="33">
        <f>$C$28*'E Balans VL '!Y13/100/3.6*1000000</f>
        <v>9.2408999903760787</v>
      </c>
      <c r="O8" s="33"/>
      <c r="P8" s="33"/>
      <c r="R8" s="32"/>
    </row>
    <row r="9" spans="1:18">
      <c r="A9" s="32" t="s">
        <v>51</v>
      </c>
      <c r="B9" s="37">
        <f t="shared" si="0"/>
        <v>1538.4690000000001</v>
      </c>
      <c r="C9" s="33"/>
      <c r="D9" s="37">
        <f>IF(ISERROR(TER_gezond_gas_kWh/1000),0,TER_gezond_gas_kWh/1000)*0.902</f>
        <v>2265.4361400000003</v>
      </c>
      <c r="E9" s="33">
        <f>$C$29*'E Balans VL '!I10/100/3.6*1000000</f>
        <v>0.19696903891197604</v>
      </c>
      <c r="F9" s="33">
        <f>$C$29*('E Balans VL '!L10+'E Balans VL '!N10)/100/3.6*1000000</f>
        <v>320.52757584524363</v>
      </c>
      <c r="G9" s="34"/>
      <c r="H9" s="33"/>
      <c r="I9" s="33"/>
      <c r="J9" s="33">
        <f>$C$29*('E Balans VL '!D10+'E Balans VL '!E10)/100/3.6*1000000</f>
        <v>0</v>
      </c>
      <c r="K9" s="33"/>
      <c r="L9" s="33"/>
      <c r="M9" s="33"/>
      <c r="N9" s="33">
        <f>$C$29*'E Balans VL '!Y10/100/3.6*1000000</f>
        <v>18.070045581048202</v>
      </c>
      <c r="O9" s="33"/>
      <c r="P9" s="33"/>
      <c r="R9" s="32"/>
    </row>
    <row r="10" spans="1:18">
      <c r="A10" s="32" t="s">
        <v>50</v>
      </c>
      <c r="B10" s="37">
        <f t="shared" si="0"/>
        <v>1893.972</v>
      </c>
      <c r="C10" s="33"/>
      <c r="D10" s="37">
        <f>IF(ISERROR(TER_ander_gas_kWh/1000),0,TER_ander_gas_kWh/1000)*0.902</f>
        <v>1406.4967180000001</v>
      </c>
      <c r="E10" s="33">
        <f>$C$30*'E Balans VL '!I14/100/3.6*1000000</f>
        <v>2.8480884909611155</v>
      </c>
      <c r="F10" s="33">
        <f>$C$30*('E Balans VL '!L14+'E Balans VL '!N14)/100/3.6*1000000</f>
        <v>418.12796617587435</v>
      </c>
      <c r="G10" s="34"/>
      <c r="H10" s="33"/>
      <c r="I10" s="33"/>
      <c r="J10" s="33">
        <f>$C$30*('E Balans VL '!D14+'E Balans VL '!E14)/100/3.6*1000000</f>
        <v>0</v>
      </c>
      <c r="K10" s="33"/>
      <c r="L10" s="33"/>
      <c r="M10" s="33"/>
      <c r="N10" s="33">
        <f>$C$30*'E Balans VL '!Y14/100/3.6*1000000</f>
        <v>1492.5773955098982</v>
      </c>
      <c r="O10" s="33"/>
      <c r="P10" s="33"/>
      <c r="R10" s="32"/>
    </row>
    <row r="11" spans="1:18">
      <c r="A11" s="32" t="s">
        <v>55</v>
      </c>
      <c r="B11" s="37">
        <f t="shared" si="0"/>
        <v>410.7</v>
      </c>
      <c r="C11" s="33"/>
      <c r="D11" s="37">
        <f>IF(ISERROR(TER_onderwijs_gas_kWh/1000),0,TER_onderwijs_gas_kWh/1000)*0.902</f>
        <v>2135.915254</v>
      </c>
      <c r="E11" s="33">
        <f>$C$31*'E Balans VL '!I11/100/3.6*1000000</f>
        <v>0.72327711654103433</v>
      </c>
      <c r="F11" s="33">
        <f>$C$31*('E Balans VL '!L11+'E Balans VL '!N11)/100/3.6*1000000</f>
        <v>189.62762160420863</v>
      </c>
      <c r="G11" s="34"/>
      <c r="H11" s="33"/>
      <c r="I11" s="33"/>
      <c r="J11" s="33">
        <f>$C$31*('E Balans VL '!D11+'E Balans VL '!E11)/100/3.6*1000000</f>
        <v>0</v>
      </c>
      <c r="K11" s="33"/>
      <c r="L11" s="33"/>
      <c r="M11" s="33"/>
      <c r="N11" s="33">
        <f>$C$31*'E Balans VL '!Y11/100/3.6*1000000</f>
        <v>0.76513977947941636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18537.462000000003</v>
      </c>
      <c r="C16" s="21">
        <f t="shared" ca="1" si="1"/>
        <v>0</v>
      </c>
      <c r="D16" s="21">
        <f t="shared" ca="1" si="1"/>
        <v>19914.413728</v>
      </c>
      <c r="E16" s="21">
        <f t="shared" si="1"/>
        <v>382.33567937679913</v>
      </c>
      <c r="F16" s="21">
        <f t="shared" ca="1" si="1"/>
        <v>4587.6094974081625</v>
      </c>
      <c r="G16" s="21">
        <f t="shared" si="1"/>
        <v>0</v>
      </c>
      <c r="H16" s="21">
        <f t="shared" si="1"/>
        <v>0</v>
      </c>
      <c r="I16" s="21">
        <f t="shared" si="1"/>
        <v>0</v>
      </c>
      <c r="J16" s="21">
        <f t="shared" si="1"/>
        <v>0</v>
      </c>
      <c r="K16" s="21">
        <f t="shared" si="1"/>
        <v>0</v>
      </c>
      <c r="L16" s="21">
        <f t="shared" ca="1" si="1"/>
        <v>0</v>
      </c>
      <c r="M16" s="21">
        <f t="shared" si="1"/>
        <v>0</v>
      </c>
      <c r="N16" s="21">
        <f t="shared" ca="1" si="1"/>
        <v>1525.9686984566033</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0.20050020281823677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3716.7648907353578</v>
      </c>
      <c r="C20" s="23">
        <f t="shared" ref="C20:P20" ca="1" si="2">C16*C18</f>
        <v>0</v>
      </c>
      <c r="D20" s="23">
        <f t="shared" ca="1" si="2"/>
        <v>4022.7115730560004</v>
      </c>
      <c r="E20" s="23">
        <f t="shared" si="2"/>
        <v>86.790199218533402</v>
      </c>
      <c r="F20" s="23">
        <f t="shared" ca="1" si="2"/>
        <v>1224.8917358079796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4789.0349999999999</v>
      </c>
      <c r="C26" s="39">
        <f>IF(ISERROR(B26*3.6/1000000/'E Balans VL '!Z12*100),0,B26*3.6/1000000/'E Balans VL '!Z12*100)</f>
        <v>0.10258485015641869</v>
      </c>
      <c r="D26" s="237" t="s">
        <v>660</v>
      </c>
      <c r="F26" s="6"/>
    </row>
    <row r="27" spans="1:18">
      <c r="A27" s="231" t="s">
        <v>53</v>
      </c>
      <c r="B27" s="33">
        <f>IF(ISERROR(TER_horeca_ele_kWh/1000),0,TER_horeca_ele_kWh/1000)</f>
        <v>2118.924</v>
      </c>
      <c r="C27" s="39">
        <f>IF(ISERROR(B27*3.6/1000000/'E Balans VL '!Z9*100),0,B27*3.6/1000000/'E Balans VL '!Z9*100)</f>
        <v>0.17003628569535489</v>
      </c>
      <c r="D27" s="237" t="s">
        <v>660</v>
      </c>
      <c r="F27" s="6"/>
    </row>
    <row r="28" spans="1:18">
      <c r="A28" s="171" t="s">
        <v>52</v>
      </c>
      <c r="B28" s="33">
        <f>IF(ISERROR(TER_handel_ele_kWh/1000),0,TER_handel_ele_kWh/1000)</f>
        <v>7786.3620000000001</v>
      </c>
      <c r="C28" s="39">
        <f>IF(ISERROR(B28*3.6/1000000/'E Balans VL '!Z13*100),0,B28*3.6/1000000/'E Balans VL '!Z13*100)</f>
        <v>0.22965301820894227</v>
      </c>
      <c r="D28" s="237" t="s">
        <v>660</v>
      </c>
      <c r="F28" s="6"/>
    </row>
    <row r="29" spans="1:18">
      <c r="A29" s="231" t="s">
        <v>51</v>
      </c>
      <c r="B29" s="33">
        <f>IF(ISERROR(TER_gezond_ele_kWh/1000),0,TER_gezond_ele_kWh/1000)</f>
        <v>1538.4690000000001</v>
      </c>
      <c r="C29" s="39">
        <f>IF(ISERROR(B29*3.6/1000000/'E Balans VL '!Z10*100),0,B29*3.6/1000000/'E Balans VL '!Z10*100)</f>
        <v>0.16426724129932649</v>
      </c>
      <c r="D29" s="237" t="s">
        <v>660</v>
      </c>
      <c r="F29" s="6"/>
    </row>
    <row r="30" spans="1:18">
      <c r="A30" s="231" t="s">
        <v>50</v>
      </c>
      <c r="B30" s="33">
        <f>IF(ISERROR(TER_ander_ele_kWh/1000),0,TER_ander_ele_kWh/1000)</f>
        <v>1893.972</v>
      </c>
      <c r="C30" s="39">
        <f>IF(ISERROR(B30*3.6/1000000/'E Balans VL '!Z14*100),0,B30*3.6/1000000/'E Balans VL '!Z14*100)</f>
        <v>0.14305914248804694</v>
      </c>
      <c r="D30" s="237" t="s">
        <v>660</v>
      </c>
      <c r="F30" s="6"/>
    </row>
    <row r="31" spans="1:18">
      <c r="A31" s="231" t="s">
        <v>55</v>
      </c>
      <c r="B31" s="33">
        <f>IF(ISERROR(TER_onderwijs_ele_kWh/1000),0,TER_onderwijs_ele_kWh/1000)</f>
        <v>410.7</v>
      </c>
      <c r="C31" s="39">
        <f>IF(ISERROR(B31*3.6/1000000/'E Balans VL '!Z11*100),0,B31*3.6/1000000/'E Balans VL '!Z11*100)</f>
        <v>8.2934040225172631E-2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42079.3</v>
      </c>
      <c r="C5" s="17">
        <f>IF(ISERROR('Eigen informatie GS &amp; warmtenet'!B59),0,'Eigen informatie GS &amp; warmtenet'!B59)</f>
        <v>0</v>
      </c>
      <c r="D5" s="30">
        <f>SUM(D6:D15)</f>
        <v>114022.1808</v>
      </c>
      <c r="E5" s="17">
        <f>SUM(E6:E15)</f>
        <v>1589.6112482717178</v>
      </c>
      <c r="F5" s="17">
        <f>SUM(F6:F15)</f>
        <v>13433.723907552019</v>
      </c>
      <c r="G5" s="18"/>
      <c r="H5" s="17"/>
      <c r="I5" s="17"/>
      <c r="J5" s="17">
        <f>SUM(J6:J15)</f>
        <v>14.717901030584722</v>
      </c>
      <c r="K5" s="17"/>
      <c r="L5" s="17"/>
      <c r="M5" s="17"/>
      <c r="N5" s="17">
        <f>SUM(N6:N15)</f>
        <v>10966.416481265664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14277.380999999999</v>
      </c>
      <c r="C8" s="33"/>
      <c r="D8" s="37">
        <f>IF( ISERROR(IND_metaal_Gas_kWH/1000),0,IND_metaal_Gas_kWH/1000)*0.902</f>
        <v>648.30167600000004</v>
      </c>
      <c r="E8" s="33">
        <f>C30*'E Balans VL '!I18/100/3.6*1000000</f>
        <v>513.74336038542481</v>
      </c>
      <c r="F8" s="33">
        <f>C30*'E Balans VL '!L18/100/3.6*1000000+C30*'E Balans VL '!N18/100/3.6*1000000</f>
        <v>6234.4694598030355</v>
      </c>
      <c r="G8" s="34"/>
      <c r="H8" s="33"/>
      <c r="I8" s="33"/>
      <c r="J8" s="40">
        <f>C30*'E Balans VL '!D18/100/3.6*1000000+C30*'E Balans VL '!E18/100/3.6*1000000</f>
        <v>0</v>
      </c>
      <c r="K8" s="33"/>
      <c r="L8" s="33"/>
      <c r="M8" s="33"/>
      <c r="N8" s="33">
        <f>C30*'E Balans VL '!Y18/100/3.6*1000000</f>
        <v>715.57263321153653</v>
      </c>
      <c r="O8" s="33"/>
      <c r="P8" s="33"/>
      <c r="R8" s="32"/>
    </row>
    <row r="9" spans="1:18">
      <c r="A9" s="6" t="s">
        <v>33</v>
      </c>
      <c r="B9" s="37">
        <f t="shared" si="0"/>
        <v>1493.288</v>
      </c>
      <c r="C9" s="33"/>
      <c r="D9" s="37">
        <f>IF( ISERROR(IND_andere_gas_kWh/1000),0,IND_andere_gas_kWh/1000)*0.902</f>
        <v>1657.070514</v>
      </c>
      <c r="E9" s="33">
        <f>C31*'E Balans VL '!I19/100/3.6*1000000</f>
        <v>381.05331101267285</v>
      </c>
      <c r="F9" s="33">
        <f>C31*'E Balans VL '!L19/100/3.6*1000000+C31*'E Balans VL '!N19/100/3.6*1000000</f>
        <v>1285.6087281104083</v>
      </c>
      <c r="G9" s="34"/>
      <c r="H9" s="33"/>
      <c r="I9" s="33"/>
      <c r="J9" s="40">
        <f>C31*'E Balans VL '!D19/100/3.6*1000000+C31*'E Balans VL '!E19/100/3.6*1000000</f>
        <v>0</v>
      </c>
      <c r="K9" s="33"/>
      <c r="L9" s="33"/>
      <c r="M9" s="33"/>
      <c r="N9" s="33">
        <f>C31*'E Balans VL '!Y19/100/3.6*1000000</f>
        <v>467.0022973730247</v>
      </c>
      <c r="O9" s="33"/>
      <c r="P9" s="33"/>
      <c r="R9" s="32"/>
    </row>
    <row r="10" spans="1:18">
      <c r="A10" s="6" t="s">
        <v>41</v>
      </c>
      <c r="B10" s="37">
        <f t="shared" si="0"/>
        <v>25079.343000000001</v>
      </c>
      <c r="C10" s="33"/>
      <c r="D10" s="37">
        <f>IF( ISERROR(IND_voed_gas_kWh/1000),0,IND_voed_gas_kWh/1000)*0.902</f>
        <v>111179.958956</v>
      </c>
      <c r="E10" s="33">
        <f>C32*'E Balans VL '!I20/100/3.6*1000000</f>
        <v>637.55133581997325</v>
      </c>
      <c r="F10" s="33">
        <f>C32*'E Balans VL '!L20/100/3.6*1000000+C32*'E Balans VL '!N20/100/3.6*1000000</f>
        <v>5675.0788474944839</v>
      </c>
      <c r="G10" s="34"/>
      <c r="H10" s="33"/>
      <c r="I10" s="33"/>
      <c r="J10" s="40">
        <f>C32*'E Balans VL '!D20/100/3.6*1000000+C32*'E Balans VL '!E20/100/3.6*1000000</f>
        <v>0</v>
      </c>
      <c r="K10" s="33"/>
      <c r="L10" s="33"/>
      <c r="M10" s="33"/>
      <c r="N10" s="33">
        <f>C32*'E Balans VL '!Y20/100/3.6*1000000</f>
        <v>9405.4334273311288</v>
      </c>
      <c r="O10" s="33"/>
      <c r="P10" s="33"/>
      <c r="R10" s="32"/>
    </row>
    <row r="11" spans="1:18">
      <c r="A11" s="6" t="s">
        <v>40</v>
      </c>
      <c r="B11" s="37">
        <f t="shared" si="0"/>
        <v>39.881999999999998</v>
      </c>
      <c r="C11" s="33"/>
      <c r="D11" s="37">
        <f>IF( ISERROR(IND_textiel_gas_kWh/1000),0,IND_textiel_gas_kWh/1000)*0.902</f>
        <v>0</v>
      </c>
      <c r="E11" s="33">
        <f>C33*'E Balans VL '!I21/100/3.6*1000000</f>
        <v>0.1094868151811111</v>
      </c>
      <c r="F11" s="33">
        <f>C33*'E Balans VL '!L21/100/3.6*1000000+C33*'E Balans VL '!N21/100/3.6*1000000</f>
        <v>2.1143774302892226</v>
      </c>
      <c r="G11" s="34"/>
      <c r="H11" s="33"/>
      <c r="I11" s="33"/>
      <c r="J11" s="40">
        <f>C33*'E Balans VL '!D21/100/3.6*1000000+C33*'E Balans VL '!E21/100/3.6*1000000</f>
        <v>0</v>
      </c>
      <c r="K11" s="33"/>
      <c r="L11" s="33"/>
      <c r="M11" s="33"/>
      <c r="N11" s="33">
        <f>C33*'E Balans VL '!Y21/100/3.6*1000000</f>
        <v>8.015622022269725E-2</v>
      </c>
      <c r="O11" s="33"/>
      <c r="P11" s="33"/>
      <c r="R11" s="32"/>
    </row>
    <row r="12" spans="1:18">
      <c r="A12" s="6" t="s">
        <v>37</v>
      </c>
      <c r="B12" s="37">
        <f t="shared" si="0"/>
        <v>79.314999999999998</v>
      </c>
      <c r="C12" s="33"/>
      <c r="D12" s="37">
        <f>IF( ISERROR(IND_min_gas_kWh/1000),0,IND_min_gas_kWh/1000)*0.902</f>
        <v>56.490456000000002</v>
      </c>
      <c r="E12" s="33">
        <f>C34*'E Balans VL '!I22/100/3.6*1000000</f>
        <v>1.6852449689850191</v>
      </c>
      <c r="F12" s="33">
        <f>C34*'E Balans VL '!L22/100/3.6*1000000+C34*'E Balans VL '!N22/100/3.6*1000000</f>
        <v>12.940918180251691</v>
      </c>
      <c r="G12" s="34"/>
      <c r="H12" s="33"/>
      <c r="I12" s="33"/>
      <c r="J12" s="40">
        <f>C34*'E Balans VL '!D22/100/3.6*1000000+C34*'E Balans VL '!E22/100/3.6*1000000</f>
        <v>9.2409376716405339E-2</v>
      </c>
      <c r="K12" s="33"/>
      <c r="L12" s="33"/>
      <c r="M12" s="33"/>
      <c r="N12" s="33">
        <f>C34*'E Balans VL '!Y22/100/3.6*1000000</f>
        <v>0</v>
      </c>
      <c r="O12" s="33"/>
      <c r="P12" s="33"/>
      <c r="R12" s="32"/>
    </row>
    <row r="13" spans="1:18">
      <c r="A13" s="6" t="s">
        <v>39</v>
      </c>
      <c r="B13" s="37">
        <f t="shared" si="0"/>
        <v>95.617000000000004</v>
      </c>
      <c r="C13" s="33"/>
      <c r="D13" s="37">
        <f>IF( ISERROR(IND_papier_gas_kWh/1000),0,IND_papier_gas_kWh/1000)*0.902</f>
        <v>106.95284599999999</v>
      </c>
      <c r="E13" s="33">
        <f>C35*'E Balans VL '!I23/100/3.6*1000000</f>
        <v>0.41007349631428824</v>
      </c>
      <c r="F13" s="33">
        <f>C35*'E Balans VL '!L23/100/3.6*1000000+C35*'E Balans VL '!N23/100/3.6*1000000</f>
        <v>2.4031519862752093</v>
      </c>
      <c r="G13" s="34"/>
      <c r="H13" s="33"/>
      <c r="I13" s="33"/>
      <c r="J13" s="40">
        <f>C35*'E Balans VL '!D23/100/3.6*1000000+C35*'E Balans VL '!E23/100/3.6*1000000</f>
        <v>6.4010337123282461</v>
      </c>
      <c r="K13" s="33"/>
      <c r="L13" s="33"/>
      <c r="M13" s="33"/>
      <c r="N13" s="33">
        <f>C35*'E Balans VL '!Y23/100/3.6*1000000</f>
        <v>174.04567859013102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1014.474</v>
      </c>
      <c r="C15" s="33"/>
      <c r="D15" s="37">
        <f>IF( ISERROR(IND_rest_gas_kWh/1000),0,IND_rest_gas_kWh/1000)*0.902</f>
        <v>373.40635200000003</v>
      </c>
      <c r="E15" s="33">
        <f>C37*'E Balans VL '!I15/100/3.6*1000000</f>
        <v>55.058435773166686</v>
      </c>
      <c r="F15" s="33">
        <f>C37*'E Balans VL '!L15/100/3.6*1000000+C37*'E Balans VL '!N15/100/3.6*1000000</f>
        <v>221.10842454727796</v>
      </c>
      <c r="G15" s="34"/>
      <c r="H15" s="33"/>
      <c r="I15" s="33"/>
      <c r="J15" s="40">
        <f>C37*'E Balans VL '!D15/100/3.6*1000000+C37*'E Balans VL '!E15/100/3.6*1000000</f>
        <v>8.22445794154007</v>
      </c>
      <c r="K15" s="33"/>
      <c r="L15" s="33"/>
      <c r="M15" s="33"/>
      <c r="N15" s="33">
        <f>C37*'E Balans VL '!Y15/100/3.6*1000000</f>
        <v>204.28228853961946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42079.3</v>
      </c>
      <c r="C18" s="21">
        <f>C5+C16</f>
        <v>0</v>
      </c>
      <c r="D18" s="21">
        <f>MAX((D5+D16),0)</f>
        <v>114022.1808</v>
      </c>
      <c r="E18" s="21">
        <f>MAX((E5+E16),0)</f>
        <v>1589.6112482717178</v>
      </c>
      <c r="F18" s="21">
        <f>MAX((F5+F16),0)</f>
        <v>13433.723907552019</v>
      </c>
      <c r="G18" s="21"/>
      <c r="H18" s="21"/>
      <c r="I18" s="21"/>
      <c r="J18" s="21">
        <f>MAX((J5+J16),0)</f>
        <v>14.717901030584722</v>
      </c>
      <c r="K18" s="21"/>
      <c r="L18" s="21">
        <f>MAX((L5+L16),0)</f>
        <v>0</v>
      </c>
      <c r="M18" s="21"/>
      <c r="N18" s="21">
        <f>MAX((N5+N16),0)</f>
        <v>10966.416481265664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0.20050020281823677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8436.9081844494303</v>
      </c>
      <c r="C22" s="23">
        <f ca="1">C18*C20</f>
        <v>0</v>
      </c>
      <c r="D22" s="23">
        <f>D18*D20</f>
        <v>23032.480521600002</v>
      </c>
      <c r="E22" s="23">
        <f>E18*E20</f>
        <v>360.84175335767998</v>
      </c>
      <c r="F22" s="23">
        <f>F18*F20</f>
        <v>3586.8042833163895</v>
      </c>
      <c r="G22" s="23"/>
      <c r="H22" s="23"/>
      <c r="I22" s="23"/>
      <c r="J22" s="23">
        <f>J18*J20</f>
        <v>5.2101369648269911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14277.380999999999</v>
      </c>
      <c r="C30" s="39">
        <f>IF(ISERROR(B30*3.6/1000000/'E Balans VL '!Z18*100),0,B30*3.6/1000000/'E Balans VL '!Z18*100)</f>
        <v>3.0250709349187646</v>
      </c>
      <c r="D30" s="237" t="s">
        <v>660</v>
      </c>
    </row>
    <row r="31" spans="1:18">
      <c r="A31" s="6" t="s">
        <v>33</v>
      </c>
      <c r="B31" s="37">
        <f>IF( ISERROR(IND_ander_ele_kWh/1000),0,IND_ander_ele_kWh/1000)</f>
        <v>1493.288</v>
      </c>
      <c r="C31" s="39">
        <f>IF(ISERROR(B31*3.6/1000000/'E Balans VL '!Z19*100),0,B31*3.6/1000000/'E Balans VL '!Z19*100)</f>
        <v>6.2855882676999916E-2</v>
      </c>
      <c r="D31" s="237" t="s">
        <v>660</v>
      </c>
    </row>
    <row r="32" spans="1:18">
      <c r="A32" s="171" t="s">
        <v>41</v>
      </c>
      <c r="B32" s="37">
        <f>IF( ISERROR(IND_voed_ele_kWh/1000),0,IND_voed_ele_kWh/1000)</f>
        <v>25079.343000000001</v>
      </c>
      <c r="C32" s="39">
        <f>IF(ISERROR(B32*3.6/1000000/'E Balans VL '!Z20*100),0,B32*3.6/1000000/'E Balans VL '!Z20*100)</f>
        <v>4.1897880014004407</v>
      </c>
      <c r="D32" s="237" t="s">
        <v>660</v>
      </c>
    </row>
    <row r="33" spans="1:5">
      <c r="A33" s="171" t="s">
        <v>40</v>
      </c>
      <c r="B33" s="37">
        <f>IF( ISERROR(IND_textiel_ele_kWh/1000),0,IND_textiel_ele_kWh/1000)</f>
        <v>39.881999999999998</v>
      </c>
      <c r="C33" s="39">
        <f>IF(ISERROR(B33*3.6/1000000/'E Balans VL '!Z21*100),0,B33*3.6/1000000/'E Balans VL '!Z21*100)</f>
        <v>2.3284305075583806E-3</v>
      </c>
      <c r="D33" s="237" t="s">
        <v>660</v>
      </c>
    </row>
    <row r="34" spans="1:5">
      <c r="A34" s="171" t="s">
        <v>37</v>
      </c>
      <c r="B34" s="37">
        <f>IF( ISERROR(IND_min_ele_kWh/1000),0,IND_min_ele_kWh/1000)</f>
        <v>79.314999999999998</v>
      </c>
      <c r="C34" s="39">
        <f>IF(ISERROR(B34*3.6/1000000/'E Balans VL '!Z22*100),0,B34*3.6/1000000/'E Balans VL '!Z22*100)</f>
        <v>1.0053603994531672E-2</v>
      </c>
      <c r="D34" s="237" t="s">
        <v>660</v>
      </c>
    </row>
    <row r="35" spans="1:5">
      <c r="A35" s="171" t="s">
        <v>39</v>
      </c>
      <c r="B35" s="37">
        <f>IF( ISERROR(IND_papier_ele_kWh/1000),0,IND_papier_ele_kWh/1000)</f>
        <v>95.617000000000004</v>
      </c>
      <c r="C35" s="39">
        <f>IF(ISERROR(B35*3.6/1000000/'E Balans VL '!Z22*100),0,B35*3.6/1000000/'E Balans VL '!Z22*100)</f>
        <v>1.2119970410958013E-2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1014.474</v>
      </c>
      <c r="C37" s="39">
        <f>IF(ISERROR(B37*3.6/1000000/'E Balans VL '!Z15*100),0,B37*3.6/1000000/'E Balans VL '!Z15*100)</f>
        <v>8.1902414243373196E-3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243.55799999999999</v>
      </c>
      <c r="C5" s="17">
        <f>'Eigen informatie GS &amp; warmtenet'!B60</f>
        <v>0</v>
      </c>
      <c r="D5" s="30">
        <f>IF(ISERROR(SUM(LB_lb_gas_kWh,LB_rest_gas_kWh)/1000),0,SUM(LB_lb_gas_kWh,LB_rest_gas_kWh)/1000)*0.902</f>
        <v>223.19358600000001</v>
      </c>
      <c r="E5" s="17">
        <f>B17*'E Balans VL '!I25/3.6*1000000/100</f>
        <v>6.2804256653976713</v>
      </c>
      <c r="F5" s="17">
        <f>B17*('E Balans VL '!L25/3.6*1000000+'E Balans VL '!N25/3.6*1000000)/100</f>
        <v>890.25087336792853</v>
      </c>
      <c r="G5" s="18"/>
      <c r="H5" s="17"/>
      <c r="I5" s="17"/>
      <c r="J5" s="17">
        <f>('E Balans VL '!D25+'E Balans VL '!E25)/3.6*1000000*landbouw!B17/100</f>
        <v>35.063392315376348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243.55799999999999</v>
      </c>
      <c r="C8" s="21">
        <f>C5+C6</f>
        <v>0</v>
      </c>
      <c r="D8" s="21">
        <f>MAX((D5+D6),0)</f>
        <v>223.19358600000001</v>
      </c>
      <c r="E8" s="21">
        <f>MAX((E5+E6),0)</f>
        <v>6.2804256653976713</v>
      </c>
      <c r="F8" s="21">
        <f>MAX((F5+F6),0)</f>
        <v>890.25087336792853</v>
      </c>
      <c r="G8" s="21"/>
      <c r="H8" s="21"/>
      <c r="I8" s="21"/>
      <c r="J8" s="21">
        <f>MAX((J5+J6),0)</f>
        <v>35.063392315376348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0.20050020281823677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48.833428398004109</v>
      </c>
      <c r="C12" s="23">
        <f ca="1">C8*C10</f>
        <v>0</v>
      </c>
      <c r="D12" s="23">
        <f>D8*D10</f>
        <v>45.085104372000004</v>
      </c>
      <c r="E12" s="23">
        <f>E8*E10</f>
        <v>1.4256566260452714</v>
      </c>
      <c r="F12" s="23">
        <f>F8*F10</f>
        <v>237.69698318923693</v>
      </c>
      <c r="G12" s="23"/>
      <c r="H12" s="23"/>
      <c r="I12" s="23"/>
      <c r="J12" s="23">
        <f>J8*J10</f>
        <v>12.412440879643226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3.434329129201736E-2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41.517556021162839</v>
      </c>
      <c r="C26" s="247">
        <f>B26*'GWP N2O_CH4'!B5</f>
        <v>871.86867644441963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2.2234723033313304</v>
      </c>
      <c r="C27" s="247">
        <f>B27*'GWP N2O_CH4'!B5</f>
        <v>46.692918369957937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0.63535659373900089</v>
      </c>
      <c r="C28" s="247">
        <f>B28*'GWP N2O_CH4'!B4</f>
        <v>196.96054405909027</v>
      </c>
      <c r="D28" s="50"/>
    </row>
    <row r="29" spans="1:4">
      <c r="A29" s="41" t="s">
        <v>277</v>
      </c>
      <c r="B29" s="247">
        <f>B34*'ha_N2O bodem landbouw'!B4</f>
        <v>6.0163396092538184</v>
      </c>
      <c r="C29" s="247">
        <f>B29*'GWP N2O_CH4'!B4</f>
        <v>1865.0652788686837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1.3540033494868872E-3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2.196032069865627E-4</v>
      </c>
      <c r="C5" s="463" t="s">
        <v>211</v>
      </c>
      <c r="D5" s="448">
        <f>SUM(D6:D11)</f>
        <v>4.9254863083311295E-4</v>
      </c>
      <c r="E5" s="448">
        <f>SUM(E6:E11)</f>
        <v>2.194236724988103E-3</v>
      </c>
      <c r="F5" s="461" t="s">
        <v>211</v>
      </c>
      <c r="G5" s="448">
        <f>SUM(G6:G11)</f>
        <v>0.82493978248722777</v>
      </c>
      <c r="H5" s="448">
        <f>SUM(H6:H11)</f>
        <v>0.13599080683461401</v>
      </c>
      <c r="I5" s="463" t="s">
        <v>211</v>
      </c>
      <c r="J5" s="463" t="s">
        <v>211</v>
      </c>
      <c r="K5" s="463" t="s">
        <v>211</v>
      </c>
      <c r="L5" s="463" t="s">
        <v>211</v>
      </c>
      <c r="M5" s="448">
        <f>SUM(M6:M11)</f>
        <v>3.0063400373488661E-2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4.9960918073351834E-5</v>
      </c>
      <c r="C6" s="449"/>
      <c r="D6" s="892">
        <f>vkm_2011_GW_PW*SUMIFS(TableVerdeelsleutelVkm[CNG],TableVerdeelsleutelVkm[Voertuigtype],"Lichte voertuigen")*SUMIFS(TableECFTransport[EnergieConsumptieFactor (PJ per km)],TableECFTransport[Index],CONCATENATE($A6,"_CNG_CNG"))</f>
        <v>9.9273219353893241E-5</v>
      </c>
      <c r="E6" s="892">
        <f>vkm_2011_GW_PW*SUMIFS(TableVerdeelsleutelVkm[LPG],TableVerdeelsleutelVkm[Voertuigtype],"Lichte voertuigen")*SUMIFS(TableECFTransport[EnergieConsumptieFactor (PJ per km)],TableECFTransport[Index],CONCATENATE($A6,"_LPG_LPG"))</f>
        <v>3.9067570493896419E-4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9.2889277769388809E-2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2.6876247047876414E-2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3.7320043464085951E-3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6.1891090738799316E-2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1.9993465894218119E-5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1.9500935711029377E-3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2.8093260419118111E-5</v>
      </c>
      <c r="C8" s="449"/>
      <c r="D8" s="451">
        <f>vkm_2011_NGW_PW*SUMIFS(TableVerdeelsleutelVkm[CNG],TableVerdeelsleutelVkm[Voertuigtype],"Lichte voertuigen")*SUMIFS(TableECFTransport[EnergieConsumptieFactor (PJ per km)],TableECFTransport[Index],CONCATENATE($A8,"_CNG_CNG"))</f>
        <v>9.8840045521239104E-5</v>
      </c>
      <c r="E8" s="451">
        <f>vkm_2011_NGW_PW*SUMIFS(TableVerdeelsleutelVkm[LPG],TableVerdeelsleutelVkm[Voertuigtype],"Lichte voertuigen")*SUMIFS(TableECFTransport[EnergieConsumptieFactor (PJ per km)],TableECFTransport[Index],CONCATENATE($A8,"_LPG_LPG"))</f>
        <v>3.597294673521517E-4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7.9870054115673342E-2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2.5946959296836585E-2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3.294042336669095E-3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1.7260552297871771E-2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5.2732450810411947E-6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5.4384451548112548E-4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1.4154902849409276E-4</v>
      </c>
      <c r="C10" s="449"/>
      <c r="D10" s="451">
        <f>vkm_2011_SW_PW*SUMIFS(TableVerdeelsleutelVkm[CNG],TableVerdeelsleutelVkm[Voertuigtype],"Lichte voertuigen")*SUMIFS(TableECFTransport[EnergieConsumptieFactor (PJ per km)],TableECFTransport[Index],CONCATENATE($A10,"_CNG_CNG"))</f>
        <v>2.9443536595798056E-4</v>
      </c>
      <c r="E10" s="451">
        <f>vkm_2011_SW_PW*SUMIFS(TableVerdeelsleutelVkm[LPG],TableVerdeelsleutelVkm[Voertuigtype],"Lichte voertuigen")*SUMIFS(TableECFTransport[EnergieConsumptieFactor (PJ per km)],TableECFTransport[Index],CONCATENATE($A10,"_LPG_LPG"))</f>
        <v>1.4438315526969872E-3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0.30751954319382513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8.3049921025295251E-2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1.2177425720228272E-2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0.26550926437166944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9.241275363049908E-5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8.3659898835986377E-3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61.000890829600749</v>
      </c>
      <c r="C14" s="21"/>
      <c r="D14" s="21">
        <f t="shared" ref="D14:M14" si="0">((D5)*10^9/3600)+D12</f>
        <v>136.81906412030915</v>
      </c>
      <c r="E14" s="21">
        <f t="shared" si="0"/>
        <v>609.5102013855842</v>
      </c>
      <c r="F14" s="21"/>
      <c r="G14" s="21">
        <f t="shared" si="0"/>
        <v>229149.93957978551</v>
      </c>
      <c r="H14" s="21">
        <f t="shared" si="0"/>
        <v>37775.22412072611</v>
      </c>
      <c r="I14" s="21"/>
      <c r="J14" s="21"/>
      <c r="K14" s="21"/>
      <c r="L14" s="21"/>
      <c r="M14" s="21">
        <f t="shared" si="0"/>
        <v>8350.9445481912953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0.20050020281823677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12.230690983428071</v>
      </c>
      <c r="C18" s="23"/>
      <c r="D18" s="23">
        <f t="shared" ref="D18:M18" si="1">D14*D16</f>
        <v>27.637450952302451</v>
      </c>
      <c r="E18" s="23">
        <f t="shared" si="1"/>
        <v>138.35881571452762</v>
      </c>
      <c r="F18" s="23"/>
      <c r="G18" s="23">
        <f t="shared" si="1"/>
        <v>61183.033867802733</v>
      </c>
      <c r="H18" s="23">
        <f t="shared" si="1"/>
        <v>9406.0308060608022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8.8562996863755048E-3</v>
      </c>
      <c r="H50" s="321">
        <f t="shared" si="2"/>
        <v>0</v>
      </c>
      <c r="I50" s="321">
        <f t="shared" si="2"/>
        <v>0</v>
      </c>
      <c r="J50" s="321">
        <f t="shared" si="2"/>
        <v>0</v>
      </c>
      <c r="K50" s="321">
        <f t="shared" si="2"/>
        <v>0</v>
      </c>
      <c r="L50" s="321">
        <f t="shared" si="2"/>
        <v>0</v>
      </c>
      <c r="M50" s="321">
        <f t="shared" si="2"/>
        <v>2.7470260311634266E-4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8.8562996863755048E-3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2.7470260311634266E-4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2460.0832462154181</v>
      </c>
      <c r="H54" s="21">
        <f t="shared" si="3"/>
        <v>0</v>
      </c>
      <c r="I54" s="21">
        <f t="shared" si="3"/>
        <v>0</v>
      </c>
      <c r="J54" s="21">
        <f t="shared" si="3"/>
        <v>0</v>
      </c>
      <c r="K54" s="21">
        <f t="shared" si="3"/>
        <v>0</v>
      </c>
      <c r="L54" s="21">
        <f t="shared" si="3"/>
        <v>0</v>
      </c>
      <c r="M54" s="21">
        <f t="shared" si="3"/>
        <v>76.306278643428527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0.20050020281823677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656.8422267395166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19838.311000000002</v>
      </c>
      <c r="D10" s="1012">
        <f ca="1">tertiair!C16</f>
        <v>0</v>
      </c>
      <c r="E10" s="1012">
        <f ca="1">tertiair!D16</f>
        <v>19914.413728</v>
      </c>
      <c r="F10" s="1012">
        <f>tertiair!E16</f>
        <v>382.33567937679913</v>
      </c>
      <c r="G10" s="1012">
        <f ca="1">tertiair!F16</f>
        <v>4587.6094974081625</v>
      </c>
      <c r="H10" s="1012">
        <f>tertiair!G16</f>
        <v>0</v>
      </c>
      <c r="I10" s="1012">
        <f>tertiair!H16</f>
        <v>0</v>
      </c>
      <c r="J10" s="1012">
        <f>tertiair!I16</f>
        <v>0</v>
      </c>
      <c r="K10" s="1012">
        <f>tertiair!J16</f>
        <v>0</v>
      </c>
      <c r="L10" s="1012">
        <f>tertiair!K16</f>
        <v>0</v>
      </c>
      <c r="M10" s="1012">
        <f ca="1">tertiair!L16</f>
        <v>0</v>
      </c>
      <c r="N10" s="1012">
        <f>tertiair!M16</f>
        <v>0</v>
      </c>
      <c r="O10" s="1012">
        <f ca="1">tertiair!N16</f>
        <v>1525.9686984566033</v>
      </c>
      <c r="P10" s="1012">
        <f>tertiair!O16</f>
        <v>4.6900000000000004</v>
      </c>
      <c r="Q10" s="1013">
        <f>tertiair!P16</f>
        <v>57.2</v>
      </c>
      <c r="R10" s="700">
        <f ca="1">SUM(C10:Q10)</f>
        <v>46310.528603241561</v>
      </c>
      <c r="S10" s="67"/>
    </row>
    <row r="11" spans="1:19" s="473" customFormat="1">
      <c r="A11" s="809" t="s">
        <v>225</v>
      </c>
      <c r="B11" s="814"/>
      <c r="C11" s="1012">
        <f>huishoudens!B8</f>
        <v>37467.675747203088</v>
      </c>
      <c r="D11" s="1012">
        <f>huishoudens!C8</f>
        <v>0</v>
      </c>
      <c r="E11" s="1012">
        <f>huishoudens!D8</f>
        <v>57265.476949999997</v>
      </c>
      <c r="F11" s="1012">
        <f>huishoudens!E8</f>
        <v>5351.7980868170625</v>
      </c>
      <c r="G11" s="1012">
        <f>huishoudens!F8</f>
        <v>62354.862040517924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11745.036942819572</v>
      </c>
      <c r="P11" s="1012">
        <f>huishoudens!O8</f>
        <v>476.81666666666666</v>
      </c>
      <c r="Q11" s="1013">
        <f>huishoudens!P8</f>
        <v>1944.8</v>
      </c>
      <c r="R11" s="700">
        <f>SUM(C11:Q11)</f>
        <v>176606.4664340243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42079.3</v>
      </c>
      <c r="D13" s="1012">
        <f>industrie!C18</f>
        <v>0</v>
      </c>
      <c r="E13" s="1012">
        <f>industrie!D18</f>
        <v>114022.1808</v>
      </c>
      <c r="F13" s="1012">
        <f>industrie!E18</f>
        <v>1589.6112482717178</v>
      </c>
      <c r="G13" s="1012">
        <f>industrie!F18</f>
        <v>13433.723907552019</v>
      </c>
      <c r="H13" s="1012">
        <f>industrie!G18</f>
        <v>0</v>
      </c>
      <c r="I13" s="1012">
        <f>industrie!H18</f>
        <v>0</v>
      </c>
      <c r="J13" s="1012">
        <f>industrie!I18</f>
        <v>0</v>
      </c>
      <c r="K13" s="1012">
        <f>industrie!J18</f>
        <v>14.717901030584722</v>
      </c>
      <c r="L13" s="1012">
        <f>industrie!K18</f>
        <v>0</v>
      </c>
      <c r="M13" s="1012">
        <f>industrie!L18</f>
        <v>0</v>
      </c>
      <c r="N13" s="1012">
        <f>industrie!M18</f>
        <v>0</v>
      </c>
      <c r="O13" s="1012">
        <f>industrie!N18</f>
        <v>10966.416481265664</v>
      </c>
      <c r="P13" s="1012">
        <f>industrie!O18</f>
        <v>0</v>
      </c>
      <c r="Q13" s="1013">
        <f>industrie!P18</f>
        <v>0</v>
      </c>
      <c r="R13" s="700">
        <f>SUM(C13:Q13)</f>
        <v>182105.95033811999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99385.286747203092</v>
      </c>
      <c r="D16" s="732">
        <f t="shared" ref="D16:R16" ca="1" si="0">SUM(D9:D15)</f>
        <v>0</v>
      </c>
      <c r="E16" s="732">
        <f t="shared" ca="1" si="0"/>
        <v>191202.071478</v>
      </c>
      <c r="F16" s="732">
        <f t="shared" si="0"/>
        <v>7323.7450144655795</v>
      </c>
      <c r="G16" s="732">
        <f t="shared" ca="1" si="0"/>
        <v>80376.195445478108</v>
      </c>
      <c r="H16" s="732">
        <f t="shared" si="0"/>
        <v>0</v>
      </c>
      <c r="I16" s="732">
        <f t="shared" si="0"/>
        <v>0</v>
      </c>
      <c r="J16" s="732">
        <f t="shared" si="0"/>
        <v>0</v>
      </c>
      <c r="K16" s="732">
        <f t="shared" si="0"/>
        <v>14.717901030584722</v>
      </c>
      <c r="L16" s="732">
        <f t="shared" si="0"/>
        <v>0</v>
      </c>
      <c r="M16" s="732">
        <f t="shared" ca="1" si="0"/>
        <v>0</v>
      </c>
      <c r="N16" s="732">
        <f t="shared" si="0"/>
        <v>0</v>
      </c>
      <c r="O16" s="732">
        <f t="shared" ca="1" si="0"/>
        <v>24237.422122541837</v>
      </c>
      <c r="P16" s="732">
        <f t="shared" si="0"/>
        <v>481.50666666666666</v>
      </c>
      <c r="Q16" s="732">
        <f t="shared" si="0"/>
        <v>2002</v>
      </c>
      <c r="R16" s="732">
        <f t="shared" ca="1" si="0"/>
        <v>405022.94537538587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2460.0832462154181</v>
      </c>
      <c r="I19" s="1012">
        <f>transport!H54</f>
        <v>0</v>
      </c>
      <c r="J19" s="1012">
        <f>transport!I54</f>
        <v>0</v>
      </c>
      <c r="K19" s="1012">
        <f>transport!J54</f>
        <v>0</v>
      </c>
      <c r="L19" s="1012">
        <f>transport!K54</f>
        <v>0</v>
      </c>
      <c r="M19" s="1012">
        <f>transport!L54</f>
        <v>0</v>
      </c>
      <c r="N19" s="1012">
        <f>transport!M54</f>
        <v>76.306278643428527</v>
      </c>
      <c r="O19" s="1012">
        <f>transport!N54</f>
        <v>0</v>
      </c>
      <c r="P19" s="1012">
        <f>transport!O54</f>
        <v>0</v>
      </c>
      <c r="Q19" s="1013">
        <f>transport!P54</f>
        <v>0</v>
      </c>
      <c r="R19" s="700">
        <f>SUM(C19:Q19)</f>
        <v>2536.3895248588465</v>
      </c>
      <c r="S19" s="67"/>
    </row>
    <row r="20" spans="1:19" s="473" customFormat="1">
      <c r="A20" s="809" t="s">
        <v>307</v>
      </c>
      <c r="B20" s="814"/>
      <c r="C20" s="1012">
        <f>transport!B14</f>
        <v>61.000890829600749</v>
      </c>
      <c r="D20" s="1012">
        <f>transport!C14</f>
        <v>0</v>
      </c>
      <c r="E20" s="1012">
        <f>transport!D14</f>
        <v>136.81906412030915</v>
      </c>
      <c r="F20" s="1012">
        <f>transport!E14</f>
        <v>609.5102013855842</v>
      </c>
      <c r="G20" s="1012">
        <f>transport!F14</f>
        <v>0</v>
      </c>
      <c r="H20" s="1012">
        <f>transport!G14</f>
        <v>229149.93957978551</v>
      </c>
      <c r="I20" s="1012">
        <f>transport!H14</f>
        <v>37775.22412072611</v>
      </c>
      <c r="J20" s="1012">
        <f>transport!I14</f>
        <v>0</v>
      </c>
      <c r="K20" s="1012">
        <f>transport!J14</f>
        <v>0</v>
      </c>
      <c r="L20" s="1012">
        <f>transport!K14</f>
        <v>0</v>
      </c>
      <c r="M20" s="1012">
        <f>transport!L14</f>
        <v>0</v>
      </c>
      <c r="N20" s="1012">
        <f>transport!M14</f>
        <v>8350.9445481912953</v>
      </c>
      <c r="O20" s="1012">
        <f>transport!N14</f>
        <v>0</v>
      </c>
      <c r="P20" s="1012">
        <f>transport!O14</f>
        <v>0</v>
      </c>
      <c r="Q20" s="1013">
        <f>transport!P14</f>
        <v>0</v>
      </c>
      <c r="R20" s="700">
        <f>SUM(C20:Q20)</f>
        <v>276083.43840503838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61.000890829600749</v>
      </c>
      <c r="D22" s="812">
        <f t="shared" ref="D22:R22" si="1">SUM(D18:D21)</f>
        <v>0</v>
      </c>
      <c r="E22" s="812">
        <f t="shared" si="1"/>
        <v>136.81906412030915</v>
      </c>
      <c r="F22" s="812">
        <f t="shared" si="1"/>
        <v>609.5102013855842</v>
      </c>
      <c r="G22" s="812">
        <f t="shared" si="1"/>
        <v>0</v>
      </c>
      <c r="H22" s="812">
        <f t="shared" si="1"/>
        <v>231610.02282600093</v>
      </c>
      <c r="I22" s="812">
        <f t="shared" si="1"/>
        <v>37775.22412072611</v>
      </c>
      <c r="J22" s="812">
        <f t="shared" si="1"/>
        <v>0</v>
      </c>
      <c r="K22" s="812">
        <f t="shared" si="1"/>
        <v>0</v>
      </c>
      <c r="L22" s="812">
        <f t="shared" si="1"/>
        <v>0</v>
      </c>
      <c r="M22" s="812">
        <f t="shared" si="1"/>
        <v>0</v>
      </c>
      <c r="N22" s="812">
        <f t="shared" si="1"/>
        <v>8427.2508268347246</v>
      </c>
      <c r="O22" s="812">
        <f t="shared" si="1"/>
        <v>0</v>
      </c>
      <c r="P22" s="812">
        <f t="shared" si="1"/>
        <v>0</v>
      </c>
      <c r="Q22" s="812">
        <f t="shared" si="1"/>
        <v>0</v>
      </c>
      <c r="R22" s="812">
        <f t="shared" si="1"/>
        <v>278619.82792989723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243.55799999999999</v>
      </c>
      <c r="D24" s="1012">
        <f>+landbouw!C8</f>
        <v>0</v>
      </c>
      <c r="E24" s="1012">
        <f>+landbouw!D8</f>
        <v>223.19358600000001</v>
      </c>
      <c r="F24" s="1012">
        <f>+landbouw!E8</f>
        <v>6.2804256653976713</v>
      </c>
      <c r="G24" s="1012">
        <f>+landbouw!F8</f>
        <v>890.25087336792853</v>
      </c>
      <c r="H24" s="1012">
        <f>+landbouw!G8</f>
        <v>0</v>
      </c>
      <c r="I24" s="1012">
        <f>+landbouw!H8</f>
        <v>0</v>
      </c>
      <c r="J24" s="1012">
        <f>+landbouw!I8</f>
        <v>0</v>
      </c>
      <c r="K24" s="1012">
        <f>+landbouw!J8</f>
        <v>35.063392315376348</v>
      </c>
      <c r="L24" s="1012">
        <f>+landbouw!K8</f>
        <v>0</v>
      </c>
      <c r="M24" s="1012">
        <f>+landbouw!L8</f>
        <v>0</v>
      </c>
      <c r="N24" s="1012">
        <f>+landbouw!M8</f>
        <v>0</v>
      </c>
      <c r="O24" s="1012">
        <f>+landbouw!N8</f>
        <v>0</v>
      </c>
      <c r="P24" s="1012">
        <f>+landbouw!O8</f>
        <v>0</v>
      </c>
      <c r="Q24" s="1013">
        <f>+landbouw!P8</f>
        <v>0</v>
      </c>
      <c r="R24" s="700">
        <f>SUM(C24:Q24)</f>
        <v>1398.3462773487026</v>
      </c>
      <c r="S24" s="67"/>
    </row>
    <row r="25" spans="1:19" s="473" customFormat="1" ht="15" thickBot="1">
      <c r="A25" s="831" t="s">
        <v>848</v>
      </c>
      <c r="B25" s="1015"/>
      <c r="C25" s="1016">
        <f>IF(Onbekend_ele_kWh="---",0,Onbekend_ele_kWh)/1000+IF(REST_rest_ele_kWh="---",0,REST_rest_ele_kWh)/1000</f>
        <v>715.96400000000006</v>
      </c>
      <c r="D25" s="1016"/>
      <c r="E25" s="1016">
        <f>IF(onbekend_gas_kWh="---",0,onbekend_gas_kWh)/1000+IF(REST_rest_gas_kWh="---",0,REST_rest_gas_kWh)/1000</f>
        <v>1271.174</v>
      </c>
      <c r="F25" s="1016"/>
      <c r="G25" s="1016"/>
      <c r="H25" s="1016"/>
      <c r="I25" s="1016"/>
      <c r="J25" s="1016"/>
      <c r="K25" s="1016"/>
      <c r="L25" s="1016"/>
      <c r="M25" s="1016"/>
      <c r="N25" s="1016"/>
      <c r="O25" s="1016"/>
      <c r="P25" s="1016"/>
      <c r="Q25" s="1017"/>
      <c r="R25" s="700">
        <f>SUM(C25:Q25)</f>
        <v>1987.1379999999999</v>
      </c>
      <c r="S25" s="67"/>
    </row>
    <row r="26" spans="1:19" s="473" customFormat="1" ht="15.75" thickBot="1">
      <c r="A26" s="705" t="s">
        <v>849</v>
      </c>
      <c r="B26" s="817"/>
      <c r="C26" s="812">
        <f>SUM(C24:C25)</f>
        <v>959.52200000000005</v>
      </c>
      <c r="D26" s="812">
        <f t="shared" ref="D26:R26" si="2">SUM(D24:D25)</f>
        <v>0</v>
      </c>
      <c r="E26" s="812">
        <f t="shared" si="2"/>
        <v>1494.3675860000001</v>
      </c>
      <c r="F26" s="812">
        <f t="shared" si="2"/>
        <v>6.2804256653976713</v>
      </c>
      <c r="G26" s="812">
        <f t="shared" si="2"/>
        <v>890.25087336792853</v>
      </c>
      <c r="H26" s="812">
        <f t="shared" si="2"/>
        <v>0</v>
      </c>
      <c r="I26" s="812">
        <f t="shared" si="2"/>
        <v>0</v>
      </c>
      <c r="J26" s="812">
        <f t="shared" si="2"/>
        <v>0</v>
      </c>
      <c r="K26" s="812">
        <f t="shared" si="2"/>
        <v>35.063392315376348</v>
      </c>
      <c r="L26" s="812">
        <f t="shared" si="2"/>
        <v>0</v>
      </c>
      <c r="M26" s="812">
        <f t="shared" si="2"/>
        <v>0</v>
      </c>
      <c r="N26" s="812">
        <f t="shared" si="2"/>
        <v>0</v>
      </c>
      <c r="O26" s="812">
        <f t="shared" si="2"/>
        <v>0</v>
      </c>
      <c r="P26" s="812">
        <f t="shared" si="2"/>
        <v>0</v>
      </c>
      <c r="Q26" s="812">
        <f t="shared" si="2"/>
        <v>0</v>
      </c>
      <c r="R26" s="812">
        <f t="shared" si="2"/>
        <v>3385.4842773487026</v>
      </c>
      <c r="S26" s="67"/>
    </row>
    <row r="27" spans="1:19" s="473" customFormat="1" ht="17.25" thickTop="1" thickBot="1">
      <c r="A27" s="706" t="s">
        <v>116</v>
      </c>
      <c r="B27" s="805"/>
      <c r="C27" s="707">
        <f ca="1">C22+C16+C26</f>
        <v>100405.80963803269</v>
      </c>
      <c r="D27" s="707">
        <f t="shared" ref="D27:R27" ca="1" si="3">D22+D16+D26</f>
        <v>0</v>
      </c>
      <c r="E27" s="707">
        <f t="shared" ca="1" si="3"/>
        <v>192833.2581281203</v>
      </c>
      <c r="F27" s="707">
        <f t="shared" si="3"/>
        <v>7939.5356415165616</v>
      </c>
      <c r="G27" s="707">
        <f t="shared" ca="1" si="3"/>
        <v>81266.446318846036</v>
      </c>
      <c r="H27" s="707">
        <f t="shared" si="3"/>
        <v>231610.02282600093</v>
      </c>
      <c r="I27" s="707">
        <f t="shared" si="3"/>
        <v>37775.22412072611</v>
      </c>
      <c r="J27" s="707">
        <f t="shared" si="3"/>
        <v>0</v>
      </c>
      <c r="K27" s="707">
        <f t="shared" si="3"/>
        <v>49.781293345961068</v>
      </c>
      <c r="L27" s="707">
        <f t="shared" si="3"/>
        <v>0</v>
      </c>
      <c r="M27" s="707">
        <f t="shared" ca="1" si="3"/>
        <v>0</v>
      </c>
      <c r="N27" s="707">
        <f t="shared" si="3"/>
        <v>8427.2508268347246</v>
      </c>
      <c r="O27" s="707">
        <f t="shared" ca="1" si="3"/>
        <v>24237.422122541837</v>
      </c>
      <c r="P27" s="707">
        <f t="shared" si="3"/>
        <v>481.50666666666666</v>
      </c>
      <c r="Q27" s="707">
        <f t="shared" si="3"/>
        <v>2002</v>
      </c>
      <c r="R27" s="707">
        <f t="shared" ca="1" si="3"/>
        <v>687028.25758263189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3977.5853790712581</v>
      </c>
      <c r="D40" s="1012">
        <f ca="1">tertiair!C20</f>
        <v>0</v>
      </c>
      <c r="E40" s="1012">
        <f ca="1">tertiair!D20</f>
        <v>4022.7115730560004</v>
      </c>
      <c r="F40" s="1012">
        <f>tertiair!E20</f>
        <v>86.790199218533402</v>
      </c>
      <c r="G40" s="1012">
        <f ca="1">tertiair!F20</f>
        <v>1224.8917358079796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9311.9788871537712</v>
      </c>
    </row>
    <row r="41" spans="1:18">
      <c r="A41" s="822" t="s">
        <v>225</v>
      </c>
      <c r="B41" s="829"/>
      <c r="C41" s="1012">
        <f ca="1">huishoudens!B12</f>
        <v>7512.2765864421499</v>
      </c>
      <c r="D41" s="1012">
        <f ca="1">huishoudens!C12</f>
        <v>0</v>
      </c>
      <c r="E41" s="1012">
        <f>huishoudens!D12</f>
        <v>11567.626343899999</v>
      </c>
      <c r="F41" s="1012">
        <f>huishoudens!E12</f>
        <v>1214.8581657074733</v>
      </c>
      <c r="G41" s="1012">
        <f>huishoudens!F12</f>
        <v>16648.748164818287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36943.509260867912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8436.9081844494303</v>
      </c>
      <c r="D43" s="1012">
        <f ca="1">industrie!C22</f>
        <v>0</v>
      </c>
      <c r="E43" s="1012">
        <f>industrie!D22</f>
        <v>23032.480521600002</v>
      </c>
      <c r="F43" s="1012">
        <f>industrie!E22</f>
        <v>360.84175335767998</v>
      </c>
      <c r="G43" s="1012">
        <f>industrie!F22</f>
        <v>3586.8042833163895</v>
      </c>
      <c r="H43" s="1012">
        <f>industrie!G22</f>
        <v>0</v>
      </c>
      <c r="I43" s="1012">
        <f>industrie!H22</f>
        <v>0</v>
      </c>
      <c r="J43" s="1012">
        <f>industrie!I22</f>
        <v>0</v>
      </c>
      <c r="K43" s="1012">
        <f>industrie!J22</f>
        <v>5.2101369648269911</v>
      </c>
      <c r="L43" s="1012">
        <f>industrie!K22</f>
        <v>0</v>
      </c>
      <c r="M43" s="1012">
        <f>industrie!L22</f>
        <v>0</v>
      </c>
      <c r="N43" s="1012">
        <f>industrie!M22</f>
        <v>0</v>
      </c>
      <c r="O43" s="1012">
        <f>industrie!N22</f>
        <v>0</v>
      </c>
      <c r="P43" s="1012">
        <f>industrie!O22</f>
        <v>0</v>
      </c>
      <c r="Q43" s="774">
        <f>industrie!P22</f>
        <v>0</v>
      </c>
      <c r="R43" s="849">
        <f t="shared" ca="1" si="4"/>
        <v>35422.244879688333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19926.770149962838</v>
      </c>
      <c r="D46" s="732">
        <f t="shared" ref="D46:Q46" ca="1" si="5">SUM(D39:D45)</f>
        <v>0</v>
      </c>
      <c r="E46" s="732">
        <f t="shared" ca="1" si="5"/>
        <v>38622.818438556002</v>
      </c>
      <c r="F46" s="732">
        <f t="shared" si="5"/>
        <v>1662.4901182836866</v>
      </c>
      <c r="G46" s="732">
        <f t="shared" ca="1" si="5"/>
        <v>21460.444183942654</v>
      </c>
      <c r="H46" s="732">
        <f t="shared" si="5"/>
        <v>0</v>
      </c>
      <c r="I46" s="732">
        <f t="shared" si="5"/>
        <v>0</v>
      </c>
      <c r="J46" s="732">
        <f t="shared" si="5"/>
        <v>0</v>
      </c>
      <c r="K46" s="732">
        <f t="shared" si="5"/>
        <v>5.2101369648269911</v>
      </c>
      <c r="L46" s="732">
        <f t="shared" si="5"/>
        <v>0</v>
      </c>
      <c r="M46" s="732">
        <f t="shared" ca="1" si="5"/>
        <v>0</v>
      </c>
      <c r="N46" s="732">
        <f t="shared" si="5"/>
        <v>0</v>
      </c>
      <c r="O46" s="732">
        <f t="shared" ca="1" si="5"/>
        <v>0</v>
      </c>
      <c r="P46" s="732">
        <f t="shared" si="5"/>
        <v>0</v>
      </c>
      <c r="Q46" s="732">
        <f t="shared" si="5"/>
        <v>0</v>
      </c>
      <c r="R46" s="732">
        <f ca="1">SUM(R39:R45)</f>
        <v>81677.733027710026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656.8422267395166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656.8422267395166</v>
      </c>
    </row>
    <row r="50" spans="1:18">
      <c r="A50" s="825" t="s">
        <v>307</v>
      </c>
      <c r="B50" s="835"/>
      <c r="C50" s="703">
        <f ca="1">transport!B18</f>
        <v>12.230690983428071</v>
      </c>
      <c r="D50" s="703">
        <f>transport!C18</f>
        <v>0</v>
      </c>
      <c r="E50" s="703">
        <f>transport!D18</f>
        <v>27.637450952302451</v>
      </c>
      <c r="F50" s="703">
        <f>transport!E18</f>
        <v>138.35881571452762</v>
      </c>
      <c r="G50" s="703">
        <f>transport!F18</f>
        <v>0</v>
      </c>
      <c r="H50" s="703">
        <f>transport!G18</f>
        <v>61183.033867802733</v>
      </c>
      <c r="I50" s="703">
        <f>transport!H18</f>
        <v>9406.0308060608022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70767.291631513799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12.230690983428071</v>
      </c>
      <c r="D52" s="732">
        <f t="shared" ref="D52:Q52" ca="1" si="6">SUM(D48:D51)</f>
        <v>0</v>
      </c>
      <c r="E52" s="732">
        <f t="shared" si="6"/>
        <v>27.637450952302451</v>
      </c>
      <c r="F52" s="732">
        <f t="shared" si="6"/>
        <v>138.35881571452762</v>
      </c>
      <c r="G52" s="732">
        <f t="shared" si="6"/>
        <v>0</v>
      </c>
      <c r="H52" s="732">
        <f t="shared" si="6"/>
        <v>61839.876094542247</v>
      </c>
      <c r="I52" s="732">
        <f t="shared" si="6"/>
        <v>9406.0308060608022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71424.133858253321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48.833428398004109</v>
      </c>
      <c r="D54" s="703">
        <f ca="1">+landbouw!C12</f>
        <v>0</v>
      </c>
      <c r="E54" s="703">
        <f>+landbouw!D12</f>
        <v>45.085104372000004</v>
      </c>
      <c r="F54" s="703">
        <f>+landbouw!E12</f>
        <v>1.4256566260452714</v>
      </c>
      <c r="G54" s="703">
        <f>+landbouw!F12</f>
        <v>237.69698318923693</v>
      </c>
      <c r="H54" s="703">
        <f>+landbouw!G12</f>
        <v>0</v>
      </c>
      <c r="I54" s="703">
        <f>+landbouw!H12</f>
        <v>0</v>
      </c>
      <c r="J54" s="703">
        <f>+landbouw!I12</f>
        <v>0</v>
      </c>
      <c r="K54" s="703">
        <f>+landbouw!J12</f>
        <v>12.412440879643226</v>
      </c>
      <c r="L54" s="703">
        <f>+landbouw!K12</f>
        <v>0</v>
      </c>
      <c r="M54" s="703">
        <f>+landbouw!L12</f>
        <v>0</v>
      </c>
      <c r="N54" s="703">
        <f>+landbouw!M12</f>
        <v>0</v>
      </c>
      <c r="O54" s="703">
        <f>+landbouw!N12</f>
        <v>0</v>
      </c>
      <c r="P54" s="703">
        <f>+landbouw!O12</f>
        <v>0</v>
      </c>
      <c r="Q54" s="704">
        <f>+landbouw!P12</f>
        <v>0</v>
      </c>
      <c r="R54" s="731">
        <f ca="1">SUM(C54:Q54)</f>
        <v>345.4536134649295</v>
      </c>
    </row>
    <row r="55" spans="1:18" ht="15" thickBot="1">
      <c r="A55" s="825" t="s">
        <v>848</v>
      </c>
      <c r="B55" s="835"/>
      <c r="C55" s="703">
        <f ca="1">C25*'EF ele_warmte'!B12</f>
        <v>143.5509272105561</v>
      </c>
      <c r="D55" s="703"/>
      <c r="E55" s="703">
        <f>E25*EF_CO2_aardgas</f>
        <v>256.77714800000001</v>
      </c>
      <c r="F55" s="703"/>
      <c r="G55" s="703"/>
      <c r="H55" s="703"/>
      <c r="I55" s="703"/>
      <c r="J55" s="703"/>
      <c r="K55" s="703"/>
      <c r="L55" s="703"/>
      <c r="M55" s="703"/>
      <c r="N55" s="703"/>
      <c r="O55" s="703"/>
      <c r="P55" s="703"/>
      <c r="Q55" s="704"/>
      <c r="R55" s="731">
        <f ca="1">SUM(C55:Q55)</f>
        <v>400.32807521055611</v>
      </c>
    </row>
    <row r="56" spans="1:18" ht="15.75" thickBot="1">
      <c r="A56" s="823" t="s">
        <v>849</v>
      </c>
      <c r="B56" s="836"/>
      <c r="C56" s="732">
        <f ca="1">SUM(C54:C55)</f>
        <v>192.38435560856021</v>
      </c>
      <c r="D56" s="732">
        <f t="shared" ref="D56:Q56" ca="1" si="7">SUM(D54:D55)</f>
        <v>0</v>
      </c>
      <c r="E56" s="732">
        <f t="shared" si="7"/>
        <v>301.862252372</v>
      </c>
      <c r="F56" s="732">
        <f t="shared" si="7"/>
        <v>1.4256566260452714</v>
      </c>
      <c r="G56" s="732">
        <f t="shared" si="7"/>
        <v>237.69698318923693</v>
      </c>
      <c r="H56" s="732">
        <f t="shared" si="7"/>
        <v>0</v>
      </c>
      <c r="I56" s="732">
        <f t="shared" si="7"/>
        <v>0</v>
      </c>
      <c r="J56" s="732">
        <f t="shared" si="7"/>
        <v>0</v>
      </c>
      <c r="K56" s="732">
        <f t="shared" si="7"/>
        <v>12.412440879643226</v>
      </c>
      <c r="L56" s="732">
        <f t="shared" si="7"/>
        <v>0</v>
      </c>
      <c r="M56" s="732">
        <f t="shared" si="7"/>
        <v>0</v>
      </c>
      <c r="N56" s="732">
        <f t="shared" si="7"/>
        <v>0</v>
      </c>
      <c r="O56" s="732">
        <f t="shared" si="7"/>
        <v>0</v>
      </c>
      <c r="P56" s="732">
        <f t="shared" si="7"/>
        <v>0</v>
      </c>
      <c r="Q56" s="733">
        <f t="shared" si="7"/>
        <v>0</v>
      </c>
      <c r="R56" s="734">
        <f ca="1">SUM(R54:R55)</f>
        <v>745.78168867548561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20131.385196554827</v>
      </c>
      <c r="D61" s="740">
        <f t="shared" ref="D61:Q61" ca="1" si="8">D46+D52+D56</f>
        <v>0</v>
      </c>
      <c r="E61" s="740">
        <f t="shared" ca="1" si="8"/>
        <v>38952.3181418803</v>
      </c>
      <c r="F61" s="740">
        <f t="shared" si="8"/>
        <v>1802.2745906242596</v>
      </c>
      <c r="G61" s="740">
        <f t="shared" ca="1" si="8"/>
        <v>21698.141167131893</v>
      </c>
      <c r="H61" s="740">
        <f t="shared" si="8"/>
        <v>61839.876094542247</v>
      </c>
      <c r="I61" s="740">
        <f t="shared" si="8"/>
        <v>9406.0308060608022</v>
      </c>
      <c r="J61" s="740">
        <f t="shared" si="8"/>
        <v>0</v>
      </c>
      <c r="K61" s="740">
        <f t="shared" si="8"/>
        <v>17.622577844470218</v>
      </c>
      <c r="L61" s="740">
        <f t="shared" si="8"/>
        <v>0</v>
      </c>
      <c r="M61" s="740">
        <f t="shared" ca="1" si="8"/>
        <v>0</v>
      </c>
      <c r="N61" s="740">
        <f t="shared" si="8"/>
        <v>0</v>
      </c>
      <c r="O61" s="740">
        <f t="shared" ca="1" si="8"/>
        <v>0</v>
      </c>
      <c r="P61" s="740">
        <f t="shared" si="8"/>
        <v>0</v>
      </c>
      <c r="Q61" s="740">
        <f t="shared" si="8"/>
        <v>0</v>
      </c>
      <c r="R61" s="740">
        <f ca="1">R46+R52+R56</f>
        <v>153847.64857463885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0.20050020281823677</v>
      </c>
      <c r="D63" s="781">
        <f t="shared" ca="1" si="9"/>
        <v>0</v>
      </c>
      <c r="E63" s="1023">
        <f t="shared" ca="1" si="9"/>
        <v>0.20199999999999999</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9313.5689296398086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9313.5689296398086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9313.5689296398086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9313.5689296398086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37467.675747203088</v>
      </c>
      <c r="C4" s="477">
        <f>huishoudens!C8</f>
        <v>0</v>
      </c>
      <c r="D4" s="477">
        <f>huishoudens!D8</f>
        <v>57265.476949999997</v>
      </c>
      <c r="E4" s="477">
        <f>huishoudens!E8</f>
        <v>5351.7980868170625</v>
      </c>
      <c r="F4" s="477">
        <f>huishoudens!F8</f>
        <v>62354.862040517924</v>
      </c>
      <c r="G4" s="477">
        <f>huishoudens!G8</f>
        <v>0</v>
      </c>
      <c r="H4" s="477">
        <f>huishoudens!H8</f>
        <v>0</v>
      </c>
      <c r="I4" s="477">
        <f>huishoudens!I8</f>
        <v>0</v>
      </c>
      <c r="J4" s="477">
        <f>huishoudens!J8</f>
        <v>0</v>
      </c>
      <c r="K4" s="477">
        <f>huishoudens!K8</f>
        <v>0</v>
      </c>
      <c r="L4" s="477">
        <f>huishoudens!L8</f>
        <v>0</v>
      </c>
      <c r="M4" s="477">
        <f>huishoudens!M8</f>
        <v>0</v>
      </c>
      <c r="N4" s="477">
        <f>huishoudens!N8</f>
        <v>11745.036942819572</v>
      </c>
      <c r="O4" s="477">
        <f>huishoudens!O8</f>
        <v>476.81666666666666</v>
      </c>
      <c r="P4" s="478">
        <f>huishoudens!P8</f>
        <v>1944.8</v>
      </c>
      <c r="Q4" s="479">
        <f>SUM(B4:P4)</f>
        <v>176606.4664340243</v>
      </c>
    </row>
    <row r="5" spans="1:17">
      <c r="A5" s="476" t="s">
        <v>156</v>
      </c>
      <c r="B5" s="477">
        <f ca="1">tertiair!B16</f>
        <v>18537.462000000003</v>
      </c>
      <c r="C5" s="477">
        <f ca="1">tertiair!C16</f>
        <v>0</v>
      </c>
      <c r="D5" s="477">
        <f ca="1">tertiair!D16</f>
        <v>19914.413728</v>
      </c>
      <c r="E5" s="477">
        <f>tertiair!E16</f>
        <v>382.33567937679913</v>
      </c>
      <c r="F5" s="477">
        <f ca="1">tertiair!F16</f>
        <v>4587.6094974081625</v>
      </c>
      <c r="G5" s="477">
        <f>tertiair!G16</f>
        <v>0</v>
      </c>
      <c r="H5" s="477">
        <f>tertiair!H16</f>
        <v>0</v>
      </c>
      <c r="I5" s="477">
        <f>tertiair!I16</f>
        <v>0</v>
      </c>
      <c r="J5" s="477">
        <f>tertiair!J16</f>
        <v>0</v>
      </c>
      <c r="K5" s="477">
        <f>tertiair!K16</f>
        <v>0</v>
      </c>
      <c r="L5" s="477">
        <f ca="1">tertiair!L16</f>
        <v>0</v>
      </c>
      <c r="M5" s="477">
        <f>tertiair!M16</f>
        <v>0</v>
      </c>
      <c r="N5" s="477">
        <f ca="1">tertiair!N16</f>
        <v>1525.9686984566033</v>
      </c>
      <c r="O5" s="477">
        <f>tertiair!O16</f>
        <v>4.6900000000000004</v>
      </c>
      <c r="P5" s="478">
        <f>tertiair!P16</f>
        <v>57.2</v>
      </c>
      <c r="Q5" s="476">
        <f t="shared" ref="Q5:Q14" ca="1" si="0">SUM(B5:P5)</f>
        <v>45009.679603241559</v>
      </c>
    </row>
    <row r="6" spans="1:17">
      <c r="A6" s="476" t="s">
        <v>194</v>
      </c>
      <c r="B6" s="477">
        <f>'openbare verlichting'!B8</f>
        <v>1300.8489999999999</v>
      </c>
      <c r="C6" s="477"/>
      <c r="D6" s="477"/>
      <c r="E6" s="477"/>
      <c r="F6" s="477"/>
      <c r="G6" s="477"/>
      <c r="H6" s="477"/>
      <c r="I6" s="477"/>
      <c r="J6" s="477"/>
      <c r="K6" s="477"/>
      <c r="L6" s="477"/>
      <c r="M6" s="477"/>
      <c r="N6" s="477"/>
      <c r="O6" s="477"/>
      <c r="P6" s="478"/>
      <c r="Q6" s="476">
        <f t="shared" si="0"/>
        <v>1300.8489999999999</v>
      </c>
    </row>
    <row r="7" spans="1:17">
      <c r="A7" s="476" t="s">
        <v>112</v>
      </c>
      <c r="B7" s="477">
        <f>landbouw!B8</f>
        <v>243.55799999999999</v>
      </c>
      <c r="C7" s="477">
        <f>landbouw!C8</f>
        <v>0</v>
      </c>
      <c r="D7" s="477">
        <f>landbouw!D8</f>
        <v>223.19358600000001</v>
      </c>
      <c r="E7" s="477">
        <f>landbouw!E8</f>
        <v>6.2804256653976713</v>
      </c>
      <c r="F7" s="477">
        <f>landbouw!F8</f>
        <v>890.25087336792853</v>
      </c>
      <c r="G7" s="477">
        <f>landbouw!G8</f>
        <v>0</v>
      </c>
      <c r="H7" s="477">
        <f>landbouw!H8</f>
        <v>0</v>
      </c>
      <c r="I7" s="477">
        <f>landbouw!I8</f>
        <v>0</v>
      </c>
      <c r="J7" s="477">
        <f>landbouw!J8</f>
        <v>35.063392315376348</v>
      </c>
      <c r="K7" s="477">
        <f>landbouw!K8</f>
        <v>0</v>
      </c>
      <c r="L7" s="477">
        <f>landbouw!L8</f>
        <v>0</v>
      </c>
      <c r="M7" s="477">
        <f>landbouw!M8</f>
        <v>0</v>
      </c>
      <c r="N7" s="477">
        <f>landbouw!N8</f>
        <v>0</v>
      </c>
      <c r="O7" s="477">
        <f>landbouw!O8</f>
        <v>0</v>
      </c>
      <c r="P7" s="478">
        <f>landbouw!P8</f>
        <v>0</v>
      </c>
      <c r="Q7" s="476">
        <f t="shared" si="0"/>
        <v>1398.3462773487026</v>
      </c>
    </row>
    <row r="8" spans="1:17">
      <c r="A8" s="476" t="s">
        <v>638</v>
      </c>
      <c r="B8" s="477">
        <f>industrie!B18</f>
        <v>42079.3</v>
      </c>
      <c r="C8" s="477">
        <f>industrie!C18</f>
        <v>0</v>
      </c>
      <c r="D8" s="477">
        <f>industrie!D18</f>
        <v>114022.1808</v>
      </c>
      <c r="E8" s="477">
        <f>industrie!E18</f>
        <v>1589.6112482717178</v>
      </c>
      <c r="F8" s="477">
        <f>industrie!F18</f>
        <v>13433.723907552019</v>
      </c>
      <c r="G8" s="477">
        <f>industrie!G18</f>
        <v>0</v>
      </c>
      <c r="H8" s="477">
        <f>industrie!H18</f>
        <v>0</v>
      </c>
      <c r="I8" s="477">
        <f>industrie!I18</f>
        <v>0</v>
      </c>
      <c r="J8" s="477">
        <f>industrie!J18</f>
        <v>14.717901030584722</v>
      </c>
      <c r="K8" s="477">
        <f>industrie!K18</f>
        <v>0</v>
      </c>
      <c r="L8" s="477">
        <f>industrie!L18</f>
        <v>0</v>
      </c>
      <c r="M8" s="477">
        <f>industrie!M18</f>
        <v>0</v>
      </c>
      <c r="N8" s="477">
        <f>industrie!N18</f>
        <v>10966.416481265664</v>
      </c>
      <c r="O8" s="477">
        <f>industrie!O18</f>
        <v>0</v>
      </c>
      <c r="P8" s="478">
        <f>industrie!P18</f>
        <v>0</v>
      </c>
      <c r="Q8" s="476">
        <f t="shared" si="0"/>
        <v>182105.95033811999</v>
      </c>
    </row>
    <row r="9" spans="1:17" s="482" customFormat="1">
      <c r="A9" s="480" t="s">
        <v>564</v>
      </c>
      <c r="B9" s="481">
        <f>transport!B14</f>
        <v>61.000890829600749</v>
      </c>
      <c r="C9" s="481">
        <f>transport!C14</f>
        <v>0</v>
      </c>
      <c r="D9" s="481">
        <f>transport!D14</f>
        <v>136.81906412030915</v>
      </c>
      <c r="E9" s="481">
        <f>transport!E14</f>
        <v>609.5102013855842</v>
      </c>
      <c r="F9" s="481">
        <f>transport!F14</f>
        <v>0</v>
      </c>
      <c r="G9" s="481">
        <f>transport!G14</f>
        <v>229149.93957978551</v>
      </c>
      <c r="H9" s="481">
        <f>transport!H14</f>
        <v>37775.22412072611</v>
      </c>
      <c r="I9" s="481">
        <f>transport!I14</f>
        <v>0</v>
      </c>
      <c r="J9" s="481">
        <f>transport!J14</f>
        <v>0</v>
      </c>
      <c r="K9" s="481">
        <f>transport!K14</f>
        <v>0</v>
      </c>
      <c r="L9" s="481">
        <f>transport!L14</f>
        <v>0</v>
      </c>
      <c r="M9" s="481">
        <f>transport!M14</f>
        <v>8350.9445481912953</v>
      </c>
      <c r="N9" s="481">
        <f>transport!N14</f>
        <v>0</v>
      </c>
      <c r="O9" s="481">
        <f>transport!O14</f>
        <v>0</v>
      </c>
      <c r="P9" s="481">
        <f>transport!P14</f>
        <v>0</v>
      </c>
      <c r="Q9" s="480">
        <f>SUM(B9:P9)</f>
        <v>276083.43840503838</v>
      </c>
    </row>
    <row r="10" spans="1:17">
      <c r="A10" s="476" t="s">
        <v>554</v>
      </c>
      <c r="B10" s="477">
        <f>transport!B54</f>
        <v>0</v>
      </c>
      <c r="C10" s="477">
        <f>transport!C54</f>
        <v>0</v>
      </c>
      <c r="D10" s="477">
        <f>transport!D54</f>
        <v>0</v>
      </c>
      <c r="E10" s="477">
        <f>transport!E54</f>
        <v>0</v>
      </c>
      <c r="F10" s="477">
        <f>transport!F54</f>
        <v>0</v>
      </c>
      <c r="G10" s="477">
        <f>transport!G54</f>
        <v>2460.0832462154181</v>
      </c>
      <c r="H10" s="477">
        <f>transport!H54</f>
        <v>0</v>
      </c>
      <c r="I10" s="477">
        <f>transport!I54</f>
        <v>0</v>
      </c>
      <c r="J10" s="477">
        <f>transport!J54</f>
        <v>0</v>
      </c>
      <c r="K10" s="477">
        <f>transport!K54</f>
        <v>0</v>
      </c>
      <c r="L10" s="477">
        <f>transport!L54</f>
        <v>0</v>
      </c>
      <c r="M10" s="477">
        <f>transport!M54</f>
        <v>76.306278643428527</v>
      </c>
      <c r="N10" s="477">
        <f>transport!N54</f>
        <v>0</v>
      </c>
      <c r="O10" s="477">
        <f>transport!O54</f>
        <v>0</v>
      </c>
      <c r="P10" s="478">
        <f>transport!P54</f>
        <v>0</v>
      </c>
      <c r="Q10" s="476">
        <f t="shared" si="0"/>
        <v>2536.3895248588465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715.96400000000006</v>
      </c>
      <c r="C14" s="484"/>
      <c r="D14" s="484">
        <f>'SEAP template'!E25</f>
        <v>1271.174</v>
      </c>
      <c r="E14" s="484"/>
      <c r="F14" s="484"/>
      <c r="G14" s="484"/>
      <c r="H14" s="484"/>
      <c r="I14" s="484"/>
      <c r="J14" s="484"/>
      <c r="K14" s="484"/>
      <c r="L14" s="484"/>
      <c r="M14" s="484"/>
      <c r="N14" s="484"/>
      <c r="O14" s="484"/>
      <c r="P14" s="485"/>
      <c r="Q14" s="476">
        <f t="shared" si="0"/>
        <v>1987.1379999999999</v>
      </c>
    </row>
    <row r="15" spans="1:17" s="486" customFormat="1">
      <c r="A15" s="1038" t="s">
        <v>558</v>
      </c>
      <c r="B15" s="978">
        <f ca="1">SUM(B4:B14)</f>
        <v>100405.80963803269</v>
      </c>
      <c r="C15" s="978">
        <f t="shared" ref="C15:Q15" ca="1" si="1">SUM(C4:C14)</f>
        <v>0</v>
      </c>
      <c r="D15" s="978">
        <f t="shared" ca="1" si="1"/>
        <v>192833.25812812027</v>
      </c>
      <c r="E15" s="978">
        <f t="shared" si="1"/>
        <v>7939.5356415165616</v>
      </c>
      <c r="F15" s="978">
        <f t="shared" ca="1" si="1"/>
        <v>81266.446318846036</v>
      </c>
      <c r="G15" s="978">
        <f t="shared" si="1"/>
        <v>231610.02282600093</v>
      </c>
      <c r="H15" s="978">
        <f t="shared" si="1"/>
        <v>37775.22412072611</v>
      </c>
      <c r="I15" s="978">
        <f t="shared" si="1"/>
        <v>0</v>
      </c>
      <c r="J15" s="978">
        <f t="shared" si="1"/>
        <v>49.781293345961068</v>
      </c>
      <c r="K15" s="978">
        <f t="shared" si="1"/>
        <v>0</v>
      </c>
      <c r="L15" s="978">
        <f t="shared" ca="1" si="1"/>
        <v>0</v>
      </c>
      <c r="M15" s="978">
        <f t="shared" si="1"/>
        <v>8427.2508268347246</v>
      </c>
      <c r="N15" s="978">
        <f t="shared" ca="1" si="1"/>
        <v>24237.422122541837</v>
      </c>
      <c r="O15" s="978">
        <f t="shared" si="1"/>
        <v>481.50666666666666</v>
      </c>
      <c r="P15" s="978">
        <f t="shared" si="1"/>
        <v>2002</v>
      </c>
      <c r="Q15" s="978">
        <f t="shared" ca="1" si="1"/>
        <v>687028.25758263178</v>
      </c>
    </row>
    <row r="17" spans="1:17">
      <c r="A17" s="487" t="s">
        <v>559</v>
      </c>
      <c r="B17" s="786">
        <f ca="1">huishoudens!B10</f>
        <v>0.20050020281823677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7512.2765864421499</v>
      </c>
      <c r="C22" s="477">
        <f t="shared" ref="C22:C32" ca="1" si="3">C4*$C$17</f>
        <v>0</v>
      </c>
      <c r="D22" s="477">
        <f t="shared" ref="D22:D32" si="4">D4*$D$17</f>
        <v>11567.626343899999</v>
      </c>
      <c r="E22" s="477">
        <f t="shared" ref="E22:E32" si="5">E4*$E$17</f>
        <v>1214.8581657074733</v>
      </c>
      <c r="F22" s="477">
        <f t="shared" ref="F22:F32" si="6">F4*$F$17</f>
        <v>16648.748164818287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36943.509260867912</v>
      </c>
    </row>
    <row r="23" spans="1:17">
      <c r="A23" s="476" t="s">
        <v>156</v>
      </c>
      <c r="B23" s="477">
        <f t="shared" ca="1" si="2"/>
        <v>3716.7648907353578</v>
      </c>
      <c r="C23" s="477">
        <f t="shared" ca="1" si="3"/>
        <v>0</v>
      </c>
      <c r="D23" s="477">
        <f t="shared" ca="1" si="4"/>
        <v>4022.7115730560004</v>
      </c>
      <c r="E23" s="477">
        <f t="shared" si="5"/>
        <v>86.790199218533402</v>
      </c>
      <c r="F23" s="477">
        <f t="shared" ca="1" si="6"/>
        <v>1224.8917358079796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9051.15839881787</v>
      </c>
    </row>
    <row r="24" spans="1:17">
      <c r="A24" s="476" t="s">
        <v>194</v>
      </c>
      <c r="B24" s="477">
        <f t="shared" ca="1" si="2"/>
        <v>260.82048833590045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260.82048833590045</v>
      </c>
    </row>
    <row r="25" spans="1:17">
      <c r="A25" s="476" t="s">
        <v>112</v>
      </c>
      <c r="B25" s="477">
        <f t="shared" ca="1" si="2"/>
        <v>48.833428398004109</v>
      </c>
      <c r="C25" s="477">
        <f t="shared" ca="1" si="3"/>
        <v>0</v>
      </c>
      <c r="D25" s="477">
        <f t="shared" si="4"/>
        <v>45.085104372000004</v>
      </c>
      <c r="E25" s="477">
        <f t="shared" si="5"/>
        <v>1.4256566260452714</v>
      </c>
      <c r="F25" s="477">
        <f t="shared" si="6"/>
        <v>237.69698318923693</v>
      </c>
      <c r="G25" s="477">
        <f t="shared" si="7"/>
        <v>0</v>
      </c>
      <c r="H25" s="477">
        <f t="shared" si="8"/>
        <v>0</v>
      </c>
      <c r="I25" s="477">
        <f t="shared" si="9"/>
        <v>0</v>
      </c>
      <c r="J25" s="477">
        <f t="shared" si="10"/>
        <v>12.412440879643226</v>
      </c>
      <c r="K25" s="477">
        <f t="shared" si="11"/>
        <v>0</v>
      </c>
      <c r="L25" s="477">
        <f t="shared" si="12"/>
        <v>0</v>
      </c>
      <c r="M25" s="477">
        <f t="shared" si="13"/>
        <v>0</v>
      </c>
      <c r="N25" s="477">
        <f t="shared" si="14"/>
        <v>0</v>
      </c>
      <c r="O25" s="477">
        <f t="shared" si="15"/>
        <v>0</v>
      </c>
      <c r="P25" s="478">
        <f t="shared" si="16"/>
        <v>0</v>
      </c>
      <c r="Q25" s="476">
        <f t="shared" ca="1" si="17"/>
        <v>345.4536134649295</v>
      </c>
    </row>
    <row r="26" spans="1:17">
      <c r="A26" s="476" t="s">
        <v>638</v>
      </c>
      <c r="B26" s="477">
        <f t="shared" ca="1" si="2"/>
        <v>8436.9081844494303</v>
      </c>
      <c r="C26" s="477">
        <f t="shared" ca="1" si="3"/>
        <v>0</v>
      </c>
      <c r="D26" s="477">
        <f t="shared" si="4"/>
        <v>23032.480521600002</v>
      </c>
      <c r="E26" s="477">
        <f t="shared" si="5"/>
        <v>360.84175335767998</v>
      </c>
      <c r="F26" s="477">
        <f t="shared" si="6"/>
        <v>3586.8042833163895</v>
      </c>
      <c r="G26" s="477">
        <f t="shared" si="7"/>
        <v>0</v>
      </c>
      <c r="H26" s="477">
        <f t="shared" si="8"/>
        <v>0</v>
      </c>
      <c r="I26" s="477">
        <f t="shared" si="9"/>
        <v>0</v>
      </c>
      <c r="J26" s="477">
        <f t="shared" si="10"/>
        <v>5.2101369648269911</v>
      </c>
      <c r="K26" s="477">
        <f t="shared" si="11"/>
        <v>0</v>
      </c>
      <c r="L26" s="477">
        <f t="shared" si="12"/>
        <v>0</v>
      </c>
      <c r="M26" s="477">
        <f t="shared" si="13"/>
        <v>0</v>
      </c>
      <c r="N26" s="477">
        <f t="shared" si="14"/>
        <v>0</v>
      </c>
      <c r="O26" s="477">
        <f t="shared" si="15"/>
        <v>0</v>
      </c>
      <c r="P26" s="478">
        <f t="shared" si="16"/>
        <v>0</v>
      </c>
      <c r="Q26" s="476">
        <f t="shared" ca="1" si="17"/>
        <v>35422.244879688333</v>
      </c>
    </row>
    <row r="27" spans="1:17" s="482" customFormat="1">
      <c r="A27" s="480" t="s">
        <v>564</v>
      </c>
      <c r="B27" s="780">
        <f t="shared" ca="1" si="2"/>
        <v>12.230690983428071</v>
      </c>
      <c r="C27" s="481">
        <f t="shared" ca="1" si="3"/>
        <v>0</v>
      </c>
      <c r="D27" s="481">
        <f t="shared" si="4"/>
        <v>27.637450952302451</v>
      </c>
      <c r="E27" s="481">
        <f t="shared" si="5"/>
        <v>138.35881571452762</v>
      </c>
      <c r="F27" s="481">
        <f t="shared" si="6"/>
        <v>0</v>
      </c>
      <c r="G27" s="481">
        <f t="shared" si="7"/>
        <v>61183.033867802733</v>
      </c>
      <c r="H27" s="481">
        <f t="shared" si="8"/>
        <v>9406.0308060608022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70767.291631513799</v>
      </c>
    </row>
    <row r="28" spans="1:17">
      <c r="A28" s="476" t="s">
        <v>554</v>
      </c>
      <c r="B28" s="477">
        <f t="shared" ca="1" si="2"/>
        <v>0</v>
      </c>
      <c r="C28" s="477">
        <f t="shared" ca="1" si="3"/>
        <v>0</v>
      </c>
      <c r="D28" s="477">
        <f t="shared" si="4"/>
        <v>0</v>
      </c>
      <c r="E28" s="477">
        <f t="shared" si="5"/>
        <v>0</v>
      </c>
      <c r="F28" s="477">
        <f t="shared" si="6"/>
        <v>0</v>
      </c>
      <c r="G28" s="477">
        <f t="shared" si="7"/>
        <v>656.8422267395166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656.8422267395166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143.5509272105561</v>
      </c>
      <c r="C32" s="477">
        <f t="shared" ca="1" si="3"/>
        <v>0</v>
      </c>
      <c r="D32" s="477">
        <f t="shared" si="4"/>
        <v>256.77714800000001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400.32807521055611</v>
      </c>
    </row>
    <row r="33" spans="1:17" s="486" customFormat="1">
      <c r="A33" s="1038" t="s">
        <v>558</v>
      </c>
      <c r="B33" s="978">
        <f ca="1">SUM(B22:B32)</f>
        <v>20131.385196554827</v>
      </c>
      <c r="C33" s="978">
        <f t="shared" ref="C33:Q33" ca="1" si="18">SUM(C22:C32)</f>
        <v>0</v>
      </c>
      <c r="D33" s="978">
        <f t="shared" ca="1" si="18"/>
        <v>38952.318141880307</v>
      </c>
      <c r="E33" s="978">
        <f t="shared" si="18"/>
        <v>1802.2745906242599</v>
      </c>
      <c r="F33" s="978">
        <f t="shared" ca="1" si="18"/>
        <v>21698.141167131893</v>
      </c>
      <c r="G33" s="978">
        <f t="shared" si="18"/>
        <v>61839.876094542247</v>
      </c>
      <c r="H33" s="978">
        <f t="shared" si="18"/>
        <v>9406.0308060608022</v>
      </c>
      <c r="I33" s="978">
        <f t="shared" si="18"/>
        <v>0</v>
      </c>
      <c r="J33" s="978">
        <f t="shared" si="18"/>
        <v>17.622577844470218</v>
      </c>
      <c r="K33" s="978">
        <f t="shared" si="18"/>
        <v>0</v>
      </c>
      <c r="L33" s="978">
        <f t="shared" ca="1" si="18"/>
        <v>0</v>
      </c>
      <c r="M33" s="978">
        <f t="shared" si="18"/>
        <v>0</v>
      </c>
      <c r="N33" s="978">
        <f t="shared" ca="1" si="18"/>
        <v>0</v>
      </c>
      <c r="O33" s="978">
        <f t="shared" si="18"/>
        <v>0</v>
      </c>
      <c r="P33" s="978">
        <f t="shared" si="18"/>
        <v>0</v>
      </c>
      <c r="Q33" s="978">
        <f t="shared" ca="1" si="18"/>
        <v>153847.64857463882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9313.5689296398086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9313.5689296398086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0.20050020281823677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0.20050020281823677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2019-08-12T08:26:16Z</dcterms:modified>
</cp:coreProperties>
</file>