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K10" s="1"/>
  <c r="I9"/>
  <c r="I77" i="14" s="1"/>
  <c r="I9" i="59" s="1"/>
  <c r="G9" i="18"/>
  <c r="F9"/>
  <c r="D9"/>
  <c r="E77" i="14" s="1"/>
  <c r="E9" i="59" s="1"/>
  <c r="C9" i="18"/>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29"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N19" i="59" l="1"/>
  <c r="N20" s="1"/>
  <c r="N90" i="14"/>
  <c r="L18" i="59"/>
  <c r="L20" s="1"/>
  <c r="L90" i="14"/>
  <c r="O78"/>
  <c r="O9" i="59"/>
  <c r="O19"/>
  <c r="O20" s="1"/>
  <c r="O90" i="14"/>
  <c r="E89"/>
  <c r="E19" i="59" s="1"/>
  <c r="P29" i="48"/>
  <c r="E20" i="59"/>
  <c r="P31" i="48"/>
  <c r="E10" i="59"/>
  <c r="N77" i="14"/>
  <c r="N9" i="59" s="1"/>
  <c r="K20"/>
  <c r="P25" i="48"/>
  <c r="R25" i="14"/>
  <c r="O10" i="59"/>
  <c r="O32" i="48"/>
  <c r="D10" i="18"/>
  <c r="F13" i="15"/>
  <c r="L78" i="14"/>
  <c r="L8" i="59"/>
  <c r="L10" s="1"/>
  <c r="H90" i="14"/>
  <c r="H18" i="59"/>
  <c r="H20" s="1"/>
  <c r="H78" i="14"/>
  <c r="H8" i="59"/>
  <c r="H10" s="1"/>
  <c r="K10"/>
  <c r="C98" i="18"/>
  <c r="B101" s="1"/>
  <c r="C8" s="1"/>
  <c r="L10"/>
  <c r="K90" i="14"/>
  <c r="B17" i="18"/>
  <c r="B20" s="1"/>
  <c r="G78" i="14"/>
  <c r="N10" i="59"/>
  <c r="B8" i="18"/>
  <c r="B10" s="1"/>
  <c r="O19"/>
  <c r="L13" i="15"/>
  <c r="N13"/>
  <c r="Q77" i="14"/>
  <c r="P9" i="59" s="1"/>
  <c r="O9" i="18"/>
  <c r="O18"/>
  <c r="B89" i="14"/>
  <c r="B19" i="59" s="1"/>
  <c r="G88" i="14"/>
  <c r="F89"/>
  <c r="I101" i="18"/>
  <c r="H8" s="1"/>
  <c r="E101"/>
  <c r="E8" s="1"/>
  <c r="H101"/>
  <c r="D101"/>
  <c r="G101"/>
  <c r="C101"/>
  <c r="I102"/>
  <c r="H17" s="1"/>
  <c r="E102"/>
  <c r="E17" s="1"/>
  <c r="H102"/>
  <c r="D102"/>
  <c r="G102"/>
  <c r="C102"/>
  <c r="F102"/>
  <c r="B102"/>
  <c r="C17" s="1"/>
  <c r="Q88" i="14"/>
  <c r="P18" i="59" s="1"/>
  <c r="B88" i="14"/>
  <c r="B18" i="59" s="1"/>
  <c r="B77" i="14"/>
  <c r="B9" i="59" s="1"/>
  <c r="Q14" i="48"/>
  <c r="O24"/>
  <c r="O30"/>
  <c r="P24"/>
  <c r="P30"/>
  <c r="C77" i="14"/>
  <c r="C9" i="59" s="1"/>
  <c r="C88" i="14"/>
  <c r="C18" i="59" s="1"/>
  <c r="E78" i="14"/>
  <c r="E90"/>
  <c r="G90" l="1"/>
  <c r="G18" i="59"/>
  <c r="G20" s="1"/>
  <c r="C89" i="14"/>
  <c r="C19" i="59" s="1"/>
  <c r="F19"/>
  <c r="F101" i="18"/>
  <c r="N78" i="14"/>
  <c r="Q89"/>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5" i="48" l="1"/>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78" i="14"/>
  <c r="J8" i="59"/>
  <c r="J10" s="1"/>
  <c r="J90" i="14"/>
  <c r="J17" i="59"/>
  <c r="J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31"/>
  <c r="J29"/>
  <c r="J28"/>
  <c r="J27"/>
  <c r="J30"/>
  <c r="J24"/>
  <c r="I25"/>
  <c r="I27"/>
  <c r="I32"/>
  <c r="I31"/>
  <c r="I29"/>
  <c r="I26"/>
  <c r="I24"/>
  <c r="I22"/>
  <c r="I28"/>
  <c r="I30"/>
  <c r="H32"/>
  <c r="H25"/>
  <c r="H29"/>
  <c r="H26"/>
  <c r="H28"/>
  <c r="H24"/>
  <c r="H22"/>
  <c r="H30"/>
  <c r="H23"/>
  <c r="D11" i="14"/>
  <c r="C4" i="48"/>
  <c r="F32"/>
  <c r="F28"/>
  <c r="F27"/>
  <c r="F31"/>
  <c r="F30"/>
  <c r="F24"/>
  <c r="F29"/>
  <c r="E28"/>
  <c r="E32"/>
  <c r="E24"/>
  <c r="E29"/>
  <c r="E31"/>
  <c r="E30"/>
  <c r="M32"/>
  <c r="M24"/>
  <c r="M29"/>
  <c r="M25"/>
  <c r="M26"/>
  <c r="M22"/>
  <c r="M30"/>
  <c r="M23"/>
  <c r="L10" i="14"/>
  <c r="L16" s="1"/>
  <c r="L27" s="1"/>
  <c r="K5" i="48"/>
  <c r="D28"/>
  <c r="D32"/>
  <c r="D30"/>
  <c r="D24"/>
  <c r="D31"/>
  <c r="D29"/>
  <c r="L32"/>
  <c r="L28"/>
  <c r="L27"/>
  <c r="L31"/>
  <c r="L22"/>
  <c r="L30"/>
  <c r="L29"/>
  <c r="L24"/>
  <c r="P5"/>
  <c r="P23" s="1"/>
  <c r="Q10" i="14"/>
  <c r="N46"/>
  <c r="P4" i="48"/>
  <c r="Q11" i="14"/>
  <c r="P11"/>
  <c r="O4" i="48"/>
  <c r="D4"/>
  <c r="D22" s="1"/>
  <c r="E11" i="14"/>
  <c r="G26" i="48"/>
  <c r="G32"/>
  <c r="G25"/>
  <c r="G29"/>
  <c r="G30"/>
  <c r="G24"/>
  <c r="G22"/>
  <c r="G23"/>
  <c r="B4"/>
  <c r="C11" i="14"/>
  <c r="N32" i="48"/>
  <c r="N28"/>
  <c r="N27"/>
  <c r="N30"/>
  <c r="N24"/>
  <c r="N31"/>
  <c r="N29"/>
  <c r="B10"/>
  <c r="C19" i="14"/>
  <c r="K27" i="48"/>
  <c r="K31"/>
  <c r="K28"/>
  <c r="K32"/>
  <c r="K25"/>
  <c r="K26"/>
  <c r="K24"/>
  <c r="K29"/>
  <c r="K22"/>
  <c r="K30"/>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G13" i="48"/>
  <c r="H13"/>
  <c r="H31" s="1"/>
  <c r="I18" i="14"/>
  <c r="K23" i="48"/>
  <c r="K33" s="1"/>
  <c r="K15"/>
  <c r="Q13" i="14"/>
  <c r="P8" i="48"/>
  <c r="P26" s="1"/>
  <c r="F20" i="14"/>
  <c r="F22" s="1"/>
  <c r="E9" i="48"/>
  <c r="E27" s="1"/>
  <c r="C20" i="14"/>
  <c r="B9" i="48"/>
  <c r="F4"/>
  <c r="F22" s="1"/>
  <c r="G11" i="14"/>
  <c r="J10"/>
  <c r="J16" s="1"/>
  <c r="J27" s="1"/>
  <c r="I5" i="48"/>
  <c r="O22"/>
  <c r="Q16" i="14"/>
  <c r="Q27" s="1"/>
  <c r="L46"/>
  <c r="L61" s="1"/>
  <c r="L63" s="1"/>
  <c r="J46"/>
  <c r="J61" s="1"/>
  <c r="M12" i="22"/>
  <c r="N18" i="14"/>
  <c r="M13" i="48"/>
  <c r="M31" s="1"/>
  <c r="C22" i="14"/>
  <c r="P15" i="48"/>
  <c r="P22"/>
  <c r="P33" s="1"/>
  <c r="E20" i="14"/>
  <c r="E22" s="1"/>
  <c r="D9" i="48"/>
  <c r="D27" s="1"/>
  <c r="O5"/>
  <c r="O23" s="1"/>
  <c r="P10" i="14"/>
  <c r="K24"/>
  <c r="K26" s="1"/>
  <c r="J7" i="48"/>
  <c r="J25" s="1"/>
  <c r="G24" i="1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R11" s="1"/>
  <c r="E4" i="48"/>
  <c r="H19" i="14"/>
  <c r="R19" s="1"/>
  <c r="G10" i="48"/>
  <c r="I23"/>
  <c r="I33" s="1"/>
  <c r="I15"/>
  <c r="R18" i="14"/>
  <c r="N22"/>
  <c r="N27" s="1"/>
  <c r="Q46"/>
  <c r="Q61" s="1"/>
  <c r="Q63" s="1"/>
  <c r="N4" i="48"/>
  <c r="N22" s="1"/>
  <c r="O11" i="14"/>
  <c r="G31" i="48"/>
  <c r="Q13"/>
  <c r="K11" i="14"/>
  <c r="J4" i="48"/>
  <c r="E7"/>
  <c r="E25" s="1"/>
  <c r="F24" i="14"/>
  <c r="F26" s="1"/>
  <c r="N20"/>
  <c r="M9" i="48"/>
  <c r="O22" i="16"/>
  <c r="P43" i="14" s="1"/>
  <c r="O8" i="48"/>
  <c r="O26" s="1"/>
  <c r="O33" s="1"/>
  <c r="P13" i="14"/>
  <c r="P16" s="1"/>
  <c r="P27" s="1"/>
  <c r="I20"/>
  <c r="I22" s="1"/>
  <c r="I27" s="1"/>
  <c r="H9" i="48"/>
  <c r="N19" i="14"/>
  <c r="M10" i="48"/>
  <c r="M28" s="1"/>
  <c r="P46" i="14"/>
  <c r="P61"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K10" i="14"/>
  <c r="J5" i="48"/>
  <c r="J23" s="1"/>
  <c r="E22"/>
  <c r="Q4"/>
  <c r="M27"/>
  <c r="M33" s="1"/>
  <c r="M15"/>
  <c r="H20" i="14"/>
  <c r="R20" s="1"/>
  <c r="R22" s="1"/>
  <c r="G9" i="48"/>
  <c r="P63" i="14"/>
  <c r="J20" i="15"/>
  <c r="K40" i="14" s="1"/>
  <c r="J22" i="48"/>
  <c r="H27"/>
  <c r="H33" s="1"/>
  <c r="H15"/>
  <c r="G28"/>
  <c r="Q10"/>
  <c r="O15"/>
  <c r="R24" i="14"/>
  <c r="R26" s="1"/>
  <c r="Q7" i="48"/>
  <c r="E20" i="15"/>
  <c r="F40" i="14" s="1"/>
  <c r="J18" i="16"/>
  <c r="E18"/>
  <c r="E22" s="1"/>
  <c r="F43" i="14" s="1"/>
  <c r="F18" i="16"/>
  <c r="F22" s="1"/>
  <c r="G43" i="14" s="1"/>
  <c r="N18" i="16"/>
  <c r="G18" i="22"/>
  <c r="H50" i="14" s="1"/>
  <c r="H52" s="1"/>
  <c r="H61" s="1"/>
  <c r="H18" i="22"/>
  <c r="I50" i="14" s="1"/>
  <c r="I52" s="1"/>
  <c r="I61" s="1"/>
  <c r="I63" s="1"/>
  <c r="J33" i="48" l="1"/>
  <c r="F16" i="14"/>
  <c r="F27" s="1"/>
  <c r="J15" i="48"/>
  <c r="J22" i="16"/>
  <c r="K43" i="14" s="1"/>
  <c r="K13"/>
  <c r="J8" i="48"/>
  <c r="J26" s="1"/>
  <c r="E8"/>
  <c r="E26" s="1"/>
  <c r="F13" i="14"/>
  <c r="G27" i="48"/>
  <c r="G33" s="1"/>
  <c r="G15"/>
  <c r="Q9"/>
  <c r="F46" i="14"/>
  <c r="F61" s="1"/>
  <c r="K16"/>
  <c r="K27" s="1"/>
  <c r="H22"/>
  <c r="H27" s="1"/>
  <c r="E33" i="48"/>
  <c r="H63" i="14"/>
  <c r="K46"/>
  <c r="K61" s="1"/>
  <c r="K63" s="1"/>
  <c r="E15" i="48"/>
  <c r="N8"/>
  <c r="N26" s="1"/>
  <c r="O13" i="14"/>
  <c r="N22" i="16"/>
  <c r="O43" i="14" s="1"/>
  <c r="G13"/>
  <c r="F8" i="48"/>
  <c r="F63" i="14" l="1"/>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<sst xmlns="http://schemas.openxmlformats.org/spreadsheetml/2006/main" count="2392" uniqueCount="890">
  <si>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</si>
  <si>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</si>
  <si>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</si>
  <si>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</si>
  <si>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</si>
  <si>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</si>
  <si>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</si>
  <si>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</si>
  <si>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</si>
  <si>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</si>
  <si>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</si>
  <si>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</si>
  <si>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</si>
  <si>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</si>
  <si>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</si>
  <si>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</si>
  <si>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</si>
  <si>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</si>
  <si>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</si>
  <si>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</si>
  <si>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</si>
  <si>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</si>
  <si>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</si>
  <si>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</si>
  <si>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</si>
  <si>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</si>
  <si>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</si>
  <si>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</si>
  <si>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</si>
  <si>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</si>
  <si>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</si>
  <si>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</si>
  <si>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</si>
  <si>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</si>
  <si>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</si>
  <si>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</si>
  <si>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</si>
  <si>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</si>
  <si>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</si>
  <si>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</si>
  <si>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</si>
  <si>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</si>
  <si>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</si>
  <si>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</si>
  <si>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</si>
  <si>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</si>
  <si>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</si>
  <si>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</si>
  <si>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</si>
  <si>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</si>
  <si>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</si>
  <si>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</si>
  <si>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</si>
  <si>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</si>
  <si>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</si>
  <si>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</si>
  <si>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</si>
  <si>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</si>
  <si>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</si>
  <si>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</si>
  <si>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</si>
  <si>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</si>
  <si>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</si>
  <si>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</si>
  <si>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</si>
  <si>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</si>
  <si>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</si>
  <si>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</si>
  <si>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</si>
  <si>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</si>
  <si>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</si>
  <si>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</si>
  <si>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</si>
  <si>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</si>
  <si>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</si>
  <si>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</si>
  <si>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</si>
  <si>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</si>
  <si>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</si>
  <si>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</si>
  <si>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</si>
  <si>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</si>
  <si>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</si>
  <si>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</si>
  <si>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</si>
  <si>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</si>
  <si>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</si>
  <si>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</si>
  <si>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</si>
  <si>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</si>
  <si>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</si>
  <si>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</si>
  <si>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</si>
  <si>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</si>
  <si>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</si>
  <si>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</si>
  <si>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</si>
  <si>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</si>
  <si>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</si>
  <si>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</si>
  <si>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</si>
  <si>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</si>
  <si>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</si>
  <si>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</si>
  <si>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</si>
  <si>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</si>
  <si>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</si>
  <si>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</si>
  <si>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</si>
  <si>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</si>
  <si>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</si>
  <si>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</si>
  <si>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</si>
  <si>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</si>
  <si>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</si>
  <si>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</si>
  <si>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</si>
  <si>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</si>
  <si>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</si>
  <si>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</si>
  <si>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</si>
  <si>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</si>
  <si>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</si>
  <si>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</si>
  <si>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</si>
  <si>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</si>
  <si>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</si>
  <si>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</si>
  <si>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</si>
  <si>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</si>
  <si>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</si>
  <si>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</si>
  <si>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</si>
  <si>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</si>
  <si>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</si>
  <si>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</si>
  <si>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</si>
  <si>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</si>
  <si>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</si>
  <si>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</si>
  <si>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</si>
  <si>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</si>
  <si>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</si>
  <si>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</si>
  <si>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</si>
  <si>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</si>
  <si>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</si>
  <si>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</si>
  <si>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</si>
  <si>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</si>
  <si>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</si>
  <si>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</si>
  <si>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</si>
  <si>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</si>
  <si>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</si>
  <si>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</si>
  <si>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</si>
  <si>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</si>
  <si>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</si>
  <si>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</si>
  <si>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</si>
  <si>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</si>
  <si>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</si>
  <si>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</si>
  <si>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</si>
  <si>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</si>
  <si>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</si>
  <si>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</si>
  <si>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</si>
  <si>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</si>
  <si>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</si>
  <si>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</si>
  <si>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</si>
  <si>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</si>
  <si>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</si>
  <si>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</si>
  <si>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</si>
  <si>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</si>
  <si>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</si>
  <si>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</si>
  <si>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</si>
  <si>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</si>
  <si>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</si>
  <si>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</si>
  <si>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</si>
  <si>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</si>
  <si>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</si>
  <si>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</si>
  <si>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</si>
  <si>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</si>
  <si>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</si>
  <si>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</si>
  <si>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</si>
  <si>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</si>
  <si>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</si>
  <si>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</si>
  <si>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</si>
  <si>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</si>
  <si>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</si>
  <si>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</si>
  <si>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</si>
  <si>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</si>
  <si>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</si>
  <si>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</si>
  <si>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</si>
  <si>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</si>
  <si>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</si>
  <si>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</si>
  <si>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</si>
  <si>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</si>
  <si>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</si>
  <si>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</si>
  <si>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</si>
  <si>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</si>
  <si>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</si>
  <si>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</si>
  <si>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</si>
  <si>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</si>
  <si>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</si>
  <si>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</si>
  <si>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</si>
  <si>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</si>
  <si>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</si>
  <si>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</si>
  <si>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</si>
  <si>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</si>
  <si>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</si>
  <si>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</si>
  <si>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</si>
  <si>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</si>
  <si>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</si>
  <si>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</si>
  <si>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</si>
  <si>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</si>
  <si>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</si>
  <si>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</si>
  <si>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</si>
  <si>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</si>
  <si>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</si>
  <si>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</si>
  <si>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</si>
  <si>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</si>
  <si>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</si>
  <si>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</si>
  <si>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</si>
  <si>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</si>
  <si>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</si>
  <si>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</si>
  <si>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</si>
  <si>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</si>
  <si>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</si>
  <si>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</si>
  <si>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</si>
  <si>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</si>
  <si>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</si>
  <si>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</si>
  <si>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</si>
  <si>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</si>
  <si>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</si>
  <si>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</si>
  <si>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</si>
  <si>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</si>
  <si>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</si>
  <si>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</si>
  <si>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</si>
  <si>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</si>
  <si>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</si>
  <si>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</si>
  <si>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</si>
  <si>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</si>
  <si>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</si>
  <si>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</si>
  <si>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</si>
  <si>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</si>
  <si>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</si>
  <si>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</si>
  <si>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</si>
  <si>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</si>
  <si>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</si>
  <si>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</si>
  <si>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</si>
  <si>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</si>
  <si>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</si>
  <si>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</si>
  <si>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</si>
  <si>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</si>
  <si>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</si>
  <si>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</si>
  <si>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</si>
  <si>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</si>
  <si>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</si>
  <si>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</si>
  <si>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</si>
  <si>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</si>
  <si>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</si>
  <si>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</si>
  <si>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</si>
  <si>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</si>
  <si>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</si>
  <si>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</si>
  <si>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</si>
  <si>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</si>
  <si>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</si>
  <si>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</si>
  <si>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</si>
  <si>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</si>
  <si>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</si>
  <si>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</si>
  <si>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</si>
  <si>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</si>
  <si>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</si>
  <si>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</si>
  <si>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</si>
  <si>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</si>
  <si>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</si>
  <si>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</si>
  <si>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</si>
  <si>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</si>
  <si>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</si>
  <si>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</si>
  <si>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</si>
  <si>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</si>
  <si>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</si>
  <si>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</si>
  <si>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</si>
  <si>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</si>
  <si>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</si>
  <si>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</si>
  <si>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</si>
  <si>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</si>
  <si>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</si>
  <si>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</si>
  <si>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</si>
  <si>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</si>
  <si>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</si>
  <si>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</si>
  <si>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</si>
  <si>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</si>
  <si>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</si>
  <si>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</si>
  <si>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</si>
  <si>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</si>
  <si>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</si>
  <si>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</si>
  <si>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</si>
  <si>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</si>
  <si>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</si>
  <si>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</si>
  <si>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</si>
  <si>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</si>
  <si>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</si>
  <si>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</si>
  <si>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</si>
  <si>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</si>
  <si>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</si>
  <si>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</si>
  <si>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</si>
  <si>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</si>
  <si>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</si>
  <si>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</si>
  <si>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</si>
  <si>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</si>
  <si>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</si>
  <si>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</si>
  <si>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</si>
  <si>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</si>
  <si>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</si>
  <si>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</si>
  <si>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</si>
  <si>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</si>
  <si>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</si>
  <si>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</si>
  <si>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</si>
  <si>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</si>
  <si>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</si>
  <si>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</si>
  <si>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</si>
  <si>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</si>
  <si>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</si>
  <si>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</si>
  <si>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</si>
  <si>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</si>
  <si>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</si>
  <si>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</si>
  <si>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</si>
  <si>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</si>
  <si>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</si>
  <si>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</si>
  <si>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</si>
  <si>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</si>
  <si>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</si>
  <si>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</si>
  <si>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</si>
  <si>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</si>
  <si>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</si>
  <si>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</si>
  <si>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</si>
  <si>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</si>
  <si>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</si>
  <si>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</si>
  <si>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</si>
  <si>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</si>
  <si>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</si>
  <si>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</si>
  <si>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</si>
  <si>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</si>
  <si>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</si>
  <si>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</si>
  <si>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</si>
  <si>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</si>
  <si>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</si>
  <si>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</si>
  <si>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</si>
  <si>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</si>
  <si>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</si>
  <si>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</si>
  <si>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</si>
  <si>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</si>
  <si>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</si>
  <si>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</si>
  <si>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</si>
  <si>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</si>
  <si>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</si>
  <si>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</si>
  <si>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</si>
  <si>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</si>
  <si>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</si>
  <si>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</si>
  <si>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</si>
  <si>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</si>
  <si>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</si>
  <si>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</si>
  <si>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</si>
  <si>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</si>
  <si>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</si>
  <si>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</si>
  <si>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</si>
  <si>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</si>
  <si>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</si>
  <si>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</si>
  <si>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</si>
  <si>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</si>
  <si>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</si>
  <si>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</si>
  <si>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</si>
  <si>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</si>
  <si>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</si>
  <si>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</si>
  <si>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</si>
  <si>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</si>
  <si>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</si>
  <si>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</si>
  <si>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</si>
  <si>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</si>
  <si>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</si>
  <si>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</si>
  <si>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</si>
  <si>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</si>
  <si>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</si>
  <si>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</si>
  <si>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</si>
  <si>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</si>
  <si>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</si>
  <si>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</si>
  <si>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</si>
  <si>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</si>
  <si>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</si>
  <si>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</si>
  <si>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</si>
  <si>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</si>
  <si>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</si>
  <si>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</si>
  <si>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</si>
  <si>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</si>
  <si>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</si>
  <si>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</si>
  <si>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</si>
  <si>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</si>
  <si>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</si>
  <si>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</si>
  <si>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</si>
  <si>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</si>
  <si>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</si>
  <si>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</si>
  <si>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</si>
  <si>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</si>
  <si>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</si>
  <si>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</si>
  <si>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</si>
  <si>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</si>
  <si>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</si>
  <si>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</si>
  <si>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</si>
  <si>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</si>
  <si>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</si>
  <si>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</si>
  <si>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</si>
  <si>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</si>
  <si>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</si>
  <si>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</si>
  <si>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</si>
  <si>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</si>
  <si>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</si>
  <si>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</si>
  <si>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</si>
  <si>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</si>
  <si>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</si>
  <si>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</si>
  <si>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</si>
  <si>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</si>
  <si>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</si>
  <si>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</si>
  <si>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</si>
  <si>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</si>
  <si>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</si>
  <si>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</si>
  <si>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</si>
  <si>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</si>
  <si>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</si>
  <si>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</si>
  <si>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</si>
  <si>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</si>
  <si>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</si>
  <si>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</si>
  <si>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</si>
  <si>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</si>
  <si>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</si>
  <si>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</si>
  <si>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</si>
  <si>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</si>
  <si>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</si>
  <si>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</si>
  <si>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</si>
  <si>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</si>
  <si>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</si>
  <si>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</si>
  <si>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</si>
  <si>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</si>
  <si>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</si>
  <si>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</si>
  <si>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</si>
  <si>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</si>
  <si>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</si>
  <si>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</si>
  <si>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</si>
  <si>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</si>
  <si>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</si>
  <si>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</si>
  <si>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</si>
  <si>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</si>
  <si>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</si>
  <si>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</si>
  <si>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</si>
  <si>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</si>
  <si>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</si>
  <si>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</si>
  <si>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</si>
  <si>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</si>
  <si>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</si>
  <si>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</si>
  <si>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</si>
  <si>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</si>
  <si>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</si>
  <si>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</si>
  <si>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</si>
  <si>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</si>
  <si>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</si>
  <si>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</si>
  <si>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</si>
  <si>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</si>
  <si>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</si>
  <si>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</si>
  <si>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</si>
  <si>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</si>
  <si>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</si>
  <si>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</si>
  <si>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</si>
  <si>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</si>
  <si>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</si>
  <si>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</si>
  <si>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</si>
  <si>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</si>
  <si>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</si>
  <si>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</si>
  <si>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</si>
  <si>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</si>
  <si>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</si>
  <si>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</si>
  <si>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</si>
  <si>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</si>
  <si>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</si>
  <si>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</si>
  <si>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</si>
  <si>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</si>
  <si>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</si>
  <si>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</si>
  <si>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</si>
  <si>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</si>
  <si>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</si>
  <si>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</si>
  <si>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</si>
  <si>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</si>
  <si>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</si>
  <si>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</si>
  <si>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</si>
  <si>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</si>
  <si>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</si>
  <si>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</si>
  <si>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</si>
  <si>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</si>
  <si>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</si>
  <si>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</si>
  <si>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</si>
  <si>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</si>
  <si>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</si>
  <si>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</si>
  <si>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</si>
  <si>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</si>
  <si>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</si>
  <si>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</si>
  <si>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</si>
  <si>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</si>
  <si>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</si>
  <si>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</si>
  <si>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</si>
  <si>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</si>
  <si>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</si>
  <si>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</si>
  <si>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</si>
  <si>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</si>
  <si>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</si>
  <si>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</si>
  <si>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</si>
  <si>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</si>
  <si>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</si>
  <si>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</si>
  <si>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</si>
  <si>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</si>
  <si>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</si>
  <si>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</si>
  <si>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</si>
  <si>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</si>
  <si>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</si>
  <si>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</si>
  <si>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</si>
  <si>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</si>
  <si>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</si>
  <si>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</si>
  <si>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</si>
  <si>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</si>
  <si>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</si>
  <si>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</si>
  <si>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</si>
  <si>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</si>
  <si>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</si>
  <si>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</si>
  <si>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</si>
  <si>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</si>
  <si>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</si>
  <si>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</si>
  <si>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</si>
  <si>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</si>
  <si>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</si>
  <si>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</si>
  <si>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</si>
  <si>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</si>
  <si>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</si>
  <si>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</si>
  <si>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</si>
  <si>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</si>
  <si>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</si>
  <si>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</si>
  <si>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</si>
  <si>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</si>
  <si>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</si>
  <si>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</si>
  <si>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</si>
  <si>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</si>
  <si>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</si>
  <si>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</si>
  <si>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</si>
  <si>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</si>
  <si>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</si>
  <si>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</si>
  <si>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</si>
  <si>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</si>
  <si>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</si>
  <si>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</si>
  <si>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</si>
  <si>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</si>
  <si>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</si>
  <si>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</si>
  <si>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</si>
  <si>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</si>
  <si>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</si>
  <si>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</si>
  <si>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</si>
  <si>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</si>
  <si>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</si>
  <si>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</si>
  <si>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</si>
  <si>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</si>
  <si>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</si>
  <si>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</si>
  <si>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</si>
  <si>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</si>
  <si>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</si>
  <si>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</si>
  <si>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</si>
  <si>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</si>
  <si>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</si>
  <si>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</si>
  <si>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</si>
  <si>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</si>
  <si>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</si>
  <si>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</si>
  <si>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</si>
  <si>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</si>
  <si>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</si>
  <si>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</si>
  <si>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</si>
  <si>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</si>
  <si>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</si>
  <si>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</si>
  <si>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</si>
  <si>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</si>
  <si>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</si>
  <si>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</si>
  <si>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</si>
  <si>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</si>
  <si>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</si>
  <si>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</si>
  <si>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</si>
  <si>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</si>
  <si>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</si>
  <si>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</si>
  <si>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</si>
  <si>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</si>
  <si>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</si>
  <si>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</si>
  <si>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</si>
  <si>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</si>
  <si>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</si>
  <si>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</si>
  <si>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</si>
  <si>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</si>
  <si>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</si>
  <si>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</si>
  <si>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</si>
  <si>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</si>
  <si>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</si>
  <si>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</si>
  <si>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</si>
  <si>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</si>
  <si>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</si>
  <si>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</si>
  <si>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</si>
  <si>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</si>
  <si>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</si>
  <si>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</si>
  <si>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</si>
  <si>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</si>
  <si>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</si>
  <si>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</si>
  <si>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</si>
  <si>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</si>
  <si>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</si>
  <si>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</si>
  <si>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</si>
  <si>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</si>
  <si>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</si>
  <si>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</si>
  <si>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</si>
  <si>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</si>
  <si>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</si>
  <si>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</si>
  <si>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</si>
  <si>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</si>
  <si>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</si>
  <si>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</si>
  <si>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</si>
  <si>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</si>
  <si>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</si>
  <si>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</si>
  <si>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</si>
  <si>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</si>
  <si>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</si>
  <si>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</si>
  <si>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</si>
  <si>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</si>
  <si>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</si>
  <si>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</si>
  <si>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</si>
  <si>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</si>
  <si>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</si>
  <si>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</si>
  <si>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</si>
  <si>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</si>
  <si>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</si>
  <si>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</si>
  <si>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</si>
  <si>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</si>
  <si>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</si>
  <si>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</si>
  <si>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</si>
  <si>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</si>
  <si>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</si>
  <si>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</si>
  <si>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</si>
  <si>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</si>
  <si>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</si>
  <si>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</si>
  <si>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</si>
  <si>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</si>
  <si>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</si>
  <si>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</si>
  <si>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</si>
  <si>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</si>
  <si>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</si>
  <si>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</si>
  <si>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</si>
  <si>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</si>
  <si>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</si>
  <si>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</si>
  <si>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</si>
  <si>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</si>
  <si>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</si>
  <si>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</si>
  <si>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</si>
  <si>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</si>
  <si>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</si>
  <si>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</si>
  <si>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</si>
  <si>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</si>
  <si>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</si>
  <si>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</si>
  <si>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</si>
  <si>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</si>
  <si>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</si>
  <si>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</si>
  <si>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</si>
  <si>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</si>
  <si>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</si>
  <si>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</si>
  <si>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</si>
  <si>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</si>
  <si>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</si>
  <si>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</si>
  <si>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</si>
  <si>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</si>
  <si>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</si>
  <si>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</si>
  <si>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</si>
  <si>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</si>
  <si>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</si>
  <si>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</si>
  <si>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</si>
  <si>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</si>
  <si>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</si>
  <si>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</si>
  <si>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</si>
  <si>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</si>
  <si>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</si>
  <si>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</si>
  <si>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</si>
  <si>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</si>
  <si>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</si>
  <si>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</si>
  <si>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</si>
  <si>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</si>
  <si>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</si>
  <si>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</si>
  <si>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</si>
  <si>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</si>
  <si>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</si>
  <si>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</si>
  <si>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</si>
  <si>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</si>
  <si>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</si>
  <si>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</si>
  <si>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</si>
  <si>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</si>
  <si>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71047</t>
  </si>
  <si>
    <t>OPGLABBEEK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</si>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</sst>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88723.190271281172</c:v>
                </c:pt>
                <c:pt idx="1">
                  <c:v>48485.449157349336</c:v>
                </c:pt>
                <c:pt idx="2">
                  <c:v>723.99800000000005</c:v>
                </c:pt>
                <c:pt idx="3">
                  <c:v>2163.4658244317461</c:v>
                </c:pt>
                <c:pt idx="4">
                  <c:v>31616.774383637137</c:v>
                </c:pt>
                <c:pt idx="5">
                  <c:v>49422.138176496177</c:v>
                </c:pt>
                <c:pt idx="6">
                  <c:v>1193.1849740813184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88723.190271281172</c:v>
                </c:pt>
                <c:pt idx="1">
                  <c:v>48485.449157349336</c:v>
                </c:pt>
                <c:pt idx="2">
                  <c:v>723.99800000000005</c:v>
                </c:pt>
                <c:pt idx="3">
                  <c:v>2163.4658244317461</c:v>
                </c:pt>
                <c:pt idx="4">
                  <c:v>31616.774383637137</c:v>
                </c:pt>
                <c:pt idx="5">
                  <c:v>49422.138176496177</c:v>
                </c:pt>
                <c:pt idx="6">
                  <c:v>1193.1849740813184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17410.373305095309</c:v>
                </c:pt>
                <c:pt idx="2">
                  <c:v>9233.879811297611</c:v>
                </c:pt>
                <c:pt idx="3">
                  <c:v>119.71102370378202</c:v>
                </c:pt>
                <c:pt idx="4">
                  <c:v>536.16733386902831</c:v>
                </c:pt>
                <c:pt idx="5">
                  <c:v>5791.2033879026994</c:v>
                </c:pt>
                <c:pt idx="6">
                  <c:v>12621.682418773282</c:v>
                </c:pt>
                <c:pt idx="7">
                  <c:v>308.99602273484453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17410.373305095309</c:v>
                </c:pt>
                <c:pt idx="2">
                  <c:v>9233.879811297611</c:v>
                </c:pt>
                <c:pt idx="3">
                  <c:v>119.71102370378202</c:v>
                </c:pt>
                <c:pt idx="4">
                  <c:v>536.16733386902831</c:v>
                </c:pt>
                <c:pt idx="5">
                  <c:v>5791.2033879026994</c:v>
                </c:pt>
                <c:pt idx="6">
                  <c:v>12621.682418773282</c:v>
                </c:pt>
                <c:pt idx="7">
                  <c:v>308.99602273484453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71047</v>
      </c>
      <c r="B6" s="415"/>
      <c r="C6" s="416"/>
    </row>
    <row r="7" spans="1:7" s="413" customFormat="1" ht="15.75" customHeight="1">
      <c r="A7" s="417" t="str">
        <f>txtMunicipality</f>
        <v>OPGLABBEEK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0.16534717458305412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0.16534717458305412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71047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3923</v>
      </c>
      <c r="C9" s="342">
        <v>4149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516.29</v>
      </c>
    </row>
    <row r="15" spans="1:6">
      <c r="A15" s="348" t="s">
        <v>184</v>
      </c>
      <c r="B15" s="334">
        <v>4</v>
      </c>
    </row>
    <row r="16" spans="1:6">
      <c r="A16" s="348" t="s">
        <v>6</v>
      </c>
      <c r="B16" s="334">
        <v>232</v>
      </c>
    </row>
    <row r="17" spans="1:6">
      <c r="A17" s="348" t="s">
        <v>7</v>
      </c>
      <c r="B17" s="334">
        <v>29</v>
      </c>
    </row>
    <row r="18" spans="1:6">
      <c r="A18" s="348" t="s">
        <v>8</v>
      </c>
      <c r="B18" s="334">
        <v>128</v>
      </c>
    </row>
    <row r="19" spans="1:6">
      <c r="A19" s="348" t="s">
        <v>9</v>
      </c>
      <c r="B19" s="334">
        <v>128</v>
      </c>
    </row>
    <row r="20" spans="1:6">
      <c r="A20" s="348" t="s">
        <v>10</v>
      </c>
      <c r="B20" s="334">
        <v>58</v>
      </c>
    </row>
    <row r="21" spans="1:6">
      <c r="A21" s="348" t="s">
        <v>11</v>
      </c>
      <c r="B21" s="334">
        <v>169</v>
      </c>
    </row>
    <row r="22" spans="1:6">
      <c r="A22" s="348" t="s">
        <v>12</v>
      </c>
      <c r="B22" s="334">
        <v>532</v>
      </c>
    </row>
    <row r="23" spans="1:6">
      <c r="A23" s="348" t="s">
        <v>13</v>
      </c>
      <c r="B23" s="334">
        <v>15</v>
      </c>
    </row>
    <row r="24" spans="1:6">
      <c r="A24" s="348" t="s">
        <v>14</v>
      </c>
      <c r="B24" s="334">
        <v>2</v>
      </c>
    </row>
    <row r="25" spans="1:6">
      <c r="A25" s="348" t="s">
        <v>15</v>
      </c>
      <c r="B25" s="334">
        <v>63</v>
      </c>
    </row>
    <row r="26" spans="1:6">
      <c r="A26" s="348" t="s">
        <v>16</v>
      </c>
      <c r="B26" s="334">
        <v>0</v>
      </c>
    </row>
    <row r="27" spans="1:6">
      <c r="A27" s="348" t="s">
        <v>17</v>
      </c>
      <c r="B27" s="334">
        <v>0</v>
      </c>
    </row>
    <row r="28" spans="1:6" s="356" customFormat="1">
      <c r="A28" s="355" t="s">
        <v>18</v>
      </c>
      <c r="B28" s="355">
        <v>27123</v>
      </c>
    </row>
    <row r="29" spans="1:6">
      <c r="A29" s="355" t="s">
        <v>884</v>
      </c>
      <c r="B29" s="355">
        <v>129</v>
      </c>
      <c r="C29" s="356"/>
      <c r="D29" s="356"/>
      <c r="E29" s="356"/>
      <c r="F29" s="356"/>
    </row>
    <row r="30" spans="1:6">
      <c r="A30" s="355" t="s">
        <v>885</v>
      </c>
      <c r="B30" s="341">
        <v>23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572</v>
      </c>
    </row>
    <row r="39" spans="1:6">
      <c r="A39" s="348" t="s">
        <v>30</v>
      </c>
      <c r="B39" s="348" t="s">
        <v>31</v>
      </c>
      <c r="C39" s="334">
        <v>1601</v>
      </c>
      <c r="D39" s="334">
        <v>25891717</v>
      </c>
      <c r="E39" s="334">
        <v>3896</v>
      </c>
      <c r="F39" s="334">
        <v>14104076</v>
      </c>
    </row>
    <row r="40" spans="1:6">
      <c r="A40" s="348" t="s">
        <v>30</v>
      </c>
      <c r="B40" s="348" t="s">
        <v>29</v>
      </c>
      <c r="C40" s="334">
        <v>0</v>
      </c>
      <c r="D40" s="334">
        <v>0</v>
      </c>
      <c r="E40" s="334">
        <v>0</v>
      </c>
      <c r="F40" s="334">
        <v>0</v>
      </c>
    </row>
    <row r="41" spans="1:6">
      <c r="A41" s="348" t="s">
        <v>32</v>
      </c>
      <c r="B41" s="348" t="s">
        <v>33</v>
      </c>
      <c r="C41" s="334">
        <v>51</v>
      </c>
      <c r="D41" s="334">
        <v>3222102</v>
      </c>
      <c r="E41" s="334">
        <v>100</v>
      </c>
      <c r="F41" s="334">
        <v>4264013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27</v>
      </c>
      <c r="D44" s="334">
        <v>2943358</v>
      </c>
      <c r="E44" s="334">
        <v>31</v>
      </c>
      <c r="F44" s="334">
        <v>2364278</v>
      </c>
    </row>
    <row r="45" spans="1:6">
      <c r="A45" s="348" t="s">
        <v>32</v>
      </c>
      <c r="B45" s="348" t="s">
        <v>37</v>
      </c>
      <c r="C45" s="334">
        <v>5</v>
      </c>
      <c r="D45" s="334">
        <v>3619070</v>
      </c>
      <c r="E45" s="334">
        <v>8</v>
      </c>
      <c r="F45" s="334">
        <v>5404775</v>
      </c>
    </row>
    <row r="46" spans="1:6">
      <c r="A46" s="348" t="s">
        <v>32</v>
      </c>
      <c r="B46" s="348" t="s">
        <v>38</v>
      </c>
      <c r="C46" s="334">
        <v>0</v>
      </c>
      <c r="D46" s="334">
        <v>0</v>
      </c>
      <c r="E46" s="334">
        <v>0</v>
      </c>
      <c r="F46" s="334">
        <v>0</v>
      </c>
    </row>
    <row r="47" spans="1:6">
      <c r="A47" s="348" t="s">
        <v>32</v>
      </c>
      <c r="B47" s="348" t="s">
        <v>39</v>
      </c>
      <c r="C47" s="334">
        <v>0</v>
      </c>
      <c r="D47" s="334">
        <v>0</v>
      </c>
      <c r="E47" s="334">
        <v>3</v>
      </c>
      <c r="F47" s="334">
        <v>608315</v>
      </c>
    </row>
    <row r="48" spans="1:6">
      <c r="A48" s="348" t="s">
        <v>32</v>
      </c>
      <c r="B48" s="348" t="s">
        <v>29</v>
      </c>
      <c r="C48" s="334">
        <v>0</v>
      </c>
      <c r="D48" s="334">
        <v>54991</v>
      </c>
      <c r="E48" s="334">
        <v>0</v>
      </c>
      <c r="F48" s="334">
        <v>0</v>
      </c>
    </row>
    <row r="49" spans="1:6">
      <c r="A49" s="348" t="s">
        <v>32</v>
      </c>
      <c r="B49" s="348" t="s">
        <v>40</v>
      </c>
      <c r="C49" s="334">
        <v>4</v>
      </c>
      <c r="D49" s="334">
        <v>137871</v>
      </c>
      <c r="E49" s="334">
        <v>5</v>
      </c>
      <c r="F49" s="334">
        <v>339128</v>
      </c>
    </row>
    <row r="50" spans="1:6">
      <c r="A50" s="348" t="s">
        <v>32</v>
      </c>
      <c r="B50" s="348" t="s">
        <v>41</v>
      </c>
      <c r="C50" s="334">
        <v>0</v>
      </c>
      <c r="D50" s="334">
        <v>0</v>
      </c>
      <c r="E50" s="334">
        <v>3</v>
      </c>
      <c r="F50" s="334">
        <v>73550</v>
      </c>
    </row>
    <row r="51" spans="1:6">
      <c r="A51" s="348" t="s">
        <v>42</v>
      </c>
      <c r="B51" s="348" t="s">
        <v>43</v>
      </c>
      <c r="C51" s="334">
        <v>3</v>
      </c>
      <c r="D51" s="334">
        <v>25164</v>
      </c>
      <c r="E51" s="334">
        <v>20</v>
      </c>
      <c r="F51" s="334">
        <v>443688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42</v>
      </c>
      <c r="F54" s="334">
        <v>723998</v>
      </c>
    </row>
    <row r="55" spans="1:6">
      <c r="A55" s="348" t="s">
        <v>46</v>
      </c>
      <c r="B55" s="348" t="s">
        <v>29</v>
      </c>
      <c r="C55" s="334">
        <v>0</v>
      </c>
      <c r="D55" s="334">
        <v>0</v>
      </c>
      <c r="E55" s="334">
        <v>0</v>
      </c>
      <c r="F55" s="334">
        <v>0</v>
      </c>
    </row>
    <row r="56" spans="1:6">
      <c r="A56" s="348" t="s">
        <v>48</v>
      </c>
      <c r="B56" s="348" t="s">
        <v>29</v>
      </c>
      <c r="C56" s="334">
        <v>23</v>
      </c>
      <c r="D56" s="334">
        <v>995328</v>
      </c>
      <c r="E56" s="334">
        <v>70</v>
      </c>
      <c r="F56" s="334">
        <v>390484</v>
      </c>
    </row>
    <row r="57" spans="1:6">
      <c r="A57" s="348" t="s">
        <v>49</v>
      </c>
      <c r="B57" s="348" t="s">
        <v>50</v>
      </c>
      <c r="C57" s="334">
        <v>19</v>
      </c>
      <c r="D57" s="334">
        <v>1933612</v>
      </c>
      <c r="E57" s="334">
        <v>47</v>
      </c>
      <c r="F57" s="334">
        <v>1126917</v>
      </c>
    </row>
    <row r="58" spans="1:6">
      <c r="A58" s="348" t="s">
        <v>49</v>
      </c>
      <c r="B58" s="348" t="s">
        <v>51</v>
      </c>
      <c r="C58" s="334">
        <v>11</v>
      </c>
      <c r="D58" s="334">
        <v>1004621</v>
      </c>
      <c r="E58" s="334">
        <v>17</v>
      </c>
      <c r="F58" s="334">
        <v>483272</v>
      </c>
    </row>
    <row r="59" spans="1:6">
      <c r="A59" s="348" t="s">
        <v>49</v>
      </c>
      <c r="B59" s="348" t="s">
        <v>52</v>
      </c>
      <c r="C59" s="334">
        <v>72</v>
      </c>
      <c r="D59" s="334">
        <v>20247897</v>
      </c>
      <c r="E59" s="334">
        <v>125</v>
      </c>
      <c r="F59" s="334">
        <v>10833713</v>
      </c>
    </row>
    <row r="60" spans="1:6">
      <c r="A60" s="348" t="s">
        <v>49</v>
      </c>
      <c r="B60" s="348" t="s">
        <v>53</v>
      </c>
      <c r="C60" s="334">
        <v>15</v>
      </c>
      <c r="D60" s="334">
        <v>665647</v>
      </c>
      <c r="E60" s="334">
        <v>23</v>
      </c>
      <c r="F60" s="334">
        <v>1054157</v>
      </c>
    </row>
    <row r="61" spans="1:6">
      <c r="A61" s="348" t="s">
        <v>49</v>
      </c>
      <c r="B61" s="348" t="s">
        <v>54</v>
      </c>
      <c r="C61" s="334">
        <v>54</v>
      </c>
      <c r="D61" s="334">
        <v>4333467</v>
      </c>
      <c r="E61" s="334">
        <v>160</v>
      </c>
      <c r="F61" s="334">
        <v>4054016</v>
      </c>
    </row>
    <row r="62" spans="1:6">
      <c r="A62" s="348" t="s">
        <v>49</v>
      </c>
      <c r="B62" s="348" t="s">
        <v>55</v>
      </c>
      <c r="C62" s="334">
        <v>0</v>
      </c>
      <c r="D62" s="334">
        <v>0</v>
      </c>
      <c r="E62" s="334">
        <v>4</v>
      </c>
      <c r="F62" s="334">
        <v>67848</v>
      </c>
    </row>
    <row r="63" spans="1:6">
      <c r="A63" s="348" t="s">
        <v>49</v>
      </c>
      <c r="B63" s="348" t="s">
        <v>29</v>
      </c>
      <c r="C63" s="334">
        <v>0</v>
      </c>
      <c r="D63" s="334">
        <v>115279</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774877</v>
      </c>
      <c r="E68" s="334">
        <v>8</v>
      </c>
      <c r="F68" s="334">
        <v>553719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30778305</v>
      </c>
      <c r="E73" s="475">
        <v>31446840.141410761</v>
      </c>
    </row>
    <row r="74" spans="1:6">
      <c r="A74" s="348" t="s">
        <v>64</v>
      </c>
      <c r="B74" s="348" t="s">
        <v>667</v>
      </c>
      <c r="C74" s="1294" t="s">
        <v>669</v>
      </c>
      <c r="D74" s="475">
        <v>2414241.3913787096</v>
      </c>
      <c r="E74" s="475">
        <v>2461746.0896361261</v>
      </c>
    </row>
    <row r="75" spans="1:6">
      <c r="A75" s="348" t="s">
        <v>65</v>
      </c>
      <c r="B75" s="348" t="s">
        <v>666</v>
      </c>
      <c r="C75" s="1294" t="s">
        <v>670</v>
      </c>
      <c r="D75" s="475">
        <v>25004916</v>
      </c>
      <c r="E75" s="475">
        <v>25468830.454037886</v>
      </c>
    </row>
    <row r="76" spans="1:6">
      <c r="A76" s="348" t="s">
        <v>65</v>
      </c>
      <c r="B76" s="348" t="s">
        <v>667</v>
      </c>
      <c r="C76" s="1294" t="s">
        <v>671</v>
      </c>
      <c r="D76" s="475">
        <v>577954.39137870946</v>
      </c>
      <c r="E76" s="475">
        <v>589163.9138334482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320473.21724258107</v>
      </c>
      <c r="C83" s="475">
        <v>320473.21724258107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4347.0591335037489</v>
      </c>
    </row>
    <row r="92" spans="1:6">
      <c r="A92" s="341" t="s">
        <v>69</v>
      </c>
      <c r="B92" s="342">
        <v>8419.4368969029329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217</v>
      </c>
    </row>
    <row r="98" spans="1:6">
      <c r="A98" s="348" t="s">
        <v>72</v>
      </c>
      <c r="B98" s="334">
        <v>5</v>
      </c>
    </row>
    <row r="99" spans="1:6">
      <c r="A99" s="348" t="s">
        <v>73</v>
      </c>
      <c r="B99" s="334">
        <v>11</v>
      </c>
    </row>
    <row r="100" spans="1:6">
      <c r="A100" s="348" t="s">
        <v>74</v>
      </c>
      <c r="B100" s="334">
        <v>176</v>
      </c>
    </row>
    <row r="101" spans="1:6">
      <c r="A101" s="348" t="s">
        <v>75</v>
      </c>
      <c r="B101" s="334">
        <v>42</v>
      </c>
    </row>
    <row r="102" spans="1:6">
      <c r="A102" s="348" t="s">
        <v>76</v>
      </c>
      <c r="B102" s="334">
        <v>26</v>
      </c>
    </row>
    <row r="103" spans="1:6">
      <c r="A103" s="348" t="s">
        <v>77</v>
      </c>
      <c r="B103" s="334">
        <v>39</v>
      </c>
    </row>
    <row r="104" spans="1:6">
      <c r="A104" s="348" t="s">
        <v>78</v>
      </c>
      <c r="B104" s="334">
        <v>2697</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138</v>
      </c>
    </row>
    <row r="130" spans="1:6">
      <c r="A130" s="348" t="s">
        <v>295</v>
      </c>
      <c r="B130" s="334">
        <v>2</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50696.359108135774</v>
      </c>
      <c r="C3" s="43" t="s">
        <v>170</v>
      </c>
      <c r="D3" s="43"/>
      <c r="E3" s="154"/>
      <c r="F3" s="43"/>
      <c r="G3" s="43"/>
      <c r="H3" s="43"/>
      <c r="I3" s="43"/>
      <c r="J3" s="43"/>
      <c r="K3" s="96"/>
    </row>
    <row r="4" spans="1:11">
      <c r="A4" s="383" t="s">
        <v>171</v>
      </c>
      <c r="B4" s="49">
        <f>IF(ISERROR('SEAP template'!B78+'SEAP template'!C78),0,'SEAP template'!B78+'SEAP template'!C78)</f>
        <v>12766.496030406681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0.16534717458305412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723.99800000000005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723.99800000000005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0.16534717458305412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119.71102370378202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14104.075999999999</v>
      </c>
      <c r="C5" s="17">
        <f>IF(ISERROR('Eigen informatie GS &amp; warmtenet'!B57),0,'Eigen informatie GS &amp; warmtenet'!B57)</f>
        <v>0</v>
      </c>
      <c r="D5" s="30">
        <f>(SUM(HH_hh_gas_kWh,HH_rest_gas_kWh)/1000)*0.902</f>
        <v>23354.328734000002</v>
      </c>
      <c r="E5" s="17">
        <f>B46*B57</f>
        <v>919.78751901098167</v>
      </c>
      <c r="F5" s="17">
        <f>B51*B62</f>
        <v>35330.202516242862</v>
      </c>
      <c r="G5" s="18"/>
      <c r="H5" s="17"/>
      <c r="I5" s="17"/>
      <c r="J5" s="17">
        <f>B50*B61+C50*C61</f>
        <v>0</v>
      </c>
      <c r="K5" s="17"/>
      <c r="L5" s="17"/>
      <c r="M5" s="17"/>
      <c r="N5" s="17">
        <f>B48*B59+C48*C59</f>
        <v>9974.0730351902348</v>
      </c>
      <c r="O5" s="17">
        <f>B69*B70*B71</f>
        <v>236.06333333333336</v>
      </c>
      <c r="P5" s="17">
        <f>B77*B78*B79/1000-B77*B78*B79/1000/B80</f>
        <v>457.6</v>
      </c>
    </row>
    <row r="6" spans="1:16">
      <c r="A6" s="16" t="s">
        <v>624</v>
      </c>
      <c r="B6" s="788">
        <f>kWh_PV_kleiner_dan_10kW</f>
        <v>4347.0591335037489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18451.135133503747</v>
      </c>
      <c r="C8" s="21">
        <f>C5</f>
        <v>0</v>
      </c>
      <c r="D8" s="21">
        <f>D5</f>
        <v>23354.328734000002</v>
      </c>
      <c r="E8" s="21">
        <f>E5</f>
        <v>919.78751901098167</v>
      </c>
      <c r="F8" s="21">
        <f>F5</f>
        <v>35330.202516242862</v>
      </c>
      <c r="G8" s="21"/>
      <c r="H8" s="21"/>
      <c r="I8" s="21"/>
      <c r="J8" s="21">
        <f>J5</f>
        <v>0</v>
      </c>
      <c r="K8" s="21"/>
      <c r="L8" s="21">
        <f>L5</f>
        <v>0</v>
      </c>
      <c r="M8" s="21">
        <f>M5</f>
        <v>0</v>
      </c>
      <c r="N8" s="21">
        <f>N5</f>
        <v>9974.0730351902348</v>
      </c>
      <c r="O8" s="21">
        <f>O5</f>
        <v>236.06333333333336</v>
      </c>
      <c r="P8" s="21">
        <f>P5</f>
        <v>457.6</v>
      </c>
    </row>
    <row r="9" spans="1:16">
      <c r="B9" s="19"/>
      <c r="C9" s="19"/>
      <c r="D9" s="258"/>
      <c r="E9" s="19"/>
      <c r="F9" s="19"/>
      <c r="G9" s="19"/>
      <c r="H9" s="19"/>
      <c r="I9" s="19"/>
      <c r="J9" s="19"/>
      <c r="K9" s="19"/>
      <c r="L9" s="19"/>
      <c r="M9" s="19"/>
      <c r="N9" s="19"/>
      <c r="O9" s="19"/>
      <c r="P9" s="19"/>
    </row>
    <row r="10" spans="1:16">
      <c r="A10" s="24" t="s">
        <v>214</v>
      </c>
      <c r="B10" s="25">
        <f ca="1">'EF ele_warmte'!B12</f>
        <v>0.16534717458305412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3050.8430621749676</v>
      </c>
      <c r="C12" s="23">
        <f ca="1">C10*C8</f>
        <v>0</v>
      </c>
      <c r="D12" s="23">
        <f>D8*D10</f>
        <v>4717.5744042680008</v>
      </c>
      <c r="E12" s="23">
        <f>E10*E8</f>
        <v>208.79176681549285</v>
      </c>
      <c r="F12" s="23">
        <f>F10*F8</f>
        <v>9433.1640718368453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217</v>
      </c>
      <c r="C18" s="166" t="s">
        <v>111</v>
      </c>
      <c r="D18" s="228"/>
      <c r="E18" s="15"/>
    </row>
    <row r="19" spans="1:7">
      <c r="A19" s="171" t="s">
        <v>72</v>
      </c>
      <c r="B19" s="37">
        <f>aantalw2001_ander</f>
        <v>5</v>
      </c>
      <c r="C19" s="166" t="s">
        <v>111</v>
      </c>
      <c r="D19" s="229"/>
      <c r="E19" s="15"/>
    </row>
    <row r="20" spans="1:7">
      <c r="A20" s="171" t="s">
        <v>73</v>
      </c>
      <c r="B20" s="37">
        <f>aantalw2001_propaan</f>
        <v>11</v>
      </c>
      <c r="C20" s="167">
        <f>IF(ISERROR(B20/SUM($B$20,$B$21,$B$22)*100),0,B20/SUM($B$20,$B$21,$B$22)*100)</f>
        <v>4.8034934497816595</v>
      </c>
      <c r="D20" s="229"/>
      <c r="E20" s="15"/>
    </row>
    <row r="21" spans="1:7">
      <c r="A21" s="171" t="s">
        <v>74</v>
      </c>
      <c r="B21" s="37">
        <f>aantalw2001_elektriciteit</f>
        <v>176</v>
      </c>
      <c r="C21" s="167">
        <f>IF(ISERROR(B21/SUM($B$20,$B$21,$B$22)*100),0,B21/SUM($B$20,$B$21,$B$22)*100)</f>
        <v>76.855895196506552</v>
      </c>
      <c r="D21" s="229"/>
      <c r="E21" s="15"/>
    </row>
    <row r="22" spans="1:7">
      <c r="A22" s="171" t="s">
        <v>75</v>
      </c>
      <c r="B22" s="37">
        <f>aantalw2001_hout</f>
        <v>42</v>
      </c>
      <c r="C22" s="167">
        <f>IF(ISERROR(B22/SUM($B$20,$B$21,$B$22)*100),0,B22/SUM($B$20,$B$21,$B$22)*100)</f>
        <v>18.340611353711793</v>
      </c>
      <c r="D22" s="229"/>
      <c r="E22" s="15"/>
    </row>
    <row r="23" spans="1:7">
      <c r="A23" s="171" t="s">
        <v>76</v>
      </c>
      <c r="B23" s="37">
        <f>aantalw2001_niet_gespec</f>
        <v>26</v>
      </c>
      <c r="C23" s="166" t="s">
        <v>111</v>
      </c>
      <c r="D23" s="228"/>
      <c r="E23" s="15"/>
    </row>
    <row r="24" spans="1:7">
      <c r="A24" s="171" t="s">
        <v>77</v>
      </c>
      <c r="B24" s="37">
        <f>aantalw2001_steenkool</f>
        <v>39</v>
      </c>
      <c r="C24" s="166" t="s">
        <v>111</v>
      </c>
      <c r="D24" s="229"/>
      <c r="E24" s="15"/>
    </row>
    <row r="25" spans="1:7">
      <c r="A25" s="171" t="s">
        <v>78</v>
      </c>
      <c r="B25" s="37">
        <f>aantalw2001_stookolie</f>
        <v>2697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3923</v>
      </c>
      <c r="C28" s="36"/>
      <c r="D28" s="228"/>
    </row>
    <row r="29" spans="1:7" s="15" customFormat="1">
      <c r="A29" s="230" t="s">
        <v>699</v>
      </c>
      <c r="B29" s="37">
        <f>SUM(HH_hh_gas_aantal,HH_rest_gas_aantal)</f>
        <v>1601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1601</v>
      </c>
      <c r="C32" s="167">
        <f>IF(ISERROR(B32/SUM($B$32,$B$34,$B$35,$B$36,$B$38,$B$39)*100),0,B32/SUM($B$32,$B$34,$B$35,$B$36,$B$38,$B$39)*100)</f>
        <v>41.061810720697615</v>
      </c>
      <c r="D32" s="233"/>
      <c r="G32" s="15"/>
    </row>
    <row r="33" spans="1:7">
      <c r="A33" s="171" t="s">
        <v>72</v>
      </c>
      <c r="B33" s="34" t="s">
        <v>111</v>
      </c>
      <c r="C33" s="167"/>
      <c r="D33" s="233"/>
      <c r="G33" s="15"/>
    </row>
    <row r="34" spans="1:7">
      <c r="A34" s="171" t="s">
        <v>73</v>
      </c>
      <c r="B34" s="33">
        <f>IF((($B$28-$B$32-$B$39-$B$77-$B$38)*C20/100)&lt;0,0,($B$28-$B$32-$B$39-$B$77-$B$38)*C20/100)</f>
        <v>40.666375545851537</v>
      </c>
      <c r="C34" s="167">
        <f>IF(ISERROR(B34/SUM($B$32,$B$34,$B$35,$B$36,$B$38,$B$39)*100),0,B34/SUM($B$32,$B$34,$B$35,$B$36,$B$38,$B$39)*100)</f>
        <v>1.0429950127174028</v>
      </c>
      <c r="D34" s="233"/>
      <c r="G34" s="15"/>
    </row>
    <row r="35" spans="1:7">
      <c r="A35" s="171" t="s">
        <v>74</v>
      </c>
      <c r="B35" s="33">
        <f>IF((($B$28-$B$32-$B$39-$B$77-$B$38)*C21/100)&lt;0,0,($B$28-$B$32-$B$39-$B$77-$B$38)*C21/100)</f>
        <v>650.66200873362459</v>
      </c>
      <c r="C35" s="167">
        <f>IF(ISERROR(B35/SUM($B$32,$B$34,$B$35,$B$36,$B$38,$B$39)*100),0,B35/SUM($B$32,$B$34,$B$35,$B$36,$B$38,$B$39)*100)</f>
        <v>16.687920203478445</v>
      </c>
      <c r="D35" s="233"/>
      <c r="G35" s="15"/>
    </row>
    <row r="36" spans="1:7">
      <c r="A36" s="171" t="s">
        <v>75</v>
      </c>
      <c r="B36" s="33">
        <f>IF((($B$28-$B$32-$B$39-$B$77-$B$38)*C22/100)&lt;0,0,($B$28-$B$32-$B$39-$B$77-$B$38)*C22/100)</f>
        <v>155.27161572052407</v>
      </c>
      <c r="C36" s="167">
        <f>IF(ISERROR(B36/SUM($B$32,$B$34,$B$35,$B$36,$B$38,$B$39)*100),0,B36/SUM($B$32,$B$34,$B$35,$B$36,$B$38,$B$39)*100)</f>
        <v>3.9823445940119022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1451.3999999999999</v>
      </c>
      <c r="C39" s="167">
        <f>IF(ISERROR(B39/SUM($B$32,$B$34,$B$35,$B$36,$B$38,$B$39)*100),0,B39/SUM($B$32,$B$34,$B$35,$B$36,$B$38,$B$39)*100)</f>
        <v>37.224929469094633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1601</v>
      </c>
      <c r="C44" s="34" t="s">
        <v>111</v>
      </c>
      <c r="D44" s="174"/>
    </row>
    <row r="45" spans="1:7">
      <c r="A45" s="171" t="s">
        <v>72</v>
      </c>
      <c r="B45" s="33" t="str">
        <f t="shared" si="0"/>
        <v>-</v>
      </c>
      <c r="C45" s="34" t="s">
        <v>111</v>
      </c>
      <c r="D45" s="174"/>
    </row>
    <row r="46" spans="1:7">
      <c r="A46" s="171" t="s">
        <v>73</v>
      </c>
      <c r="B46" s="33">
        <f t="shared" si="0"/>
        <v>40.666375545851537</v>
      </c>
      <c r="C46" s="34" t="s">
        <v>111</v>
      </c>
      <c r="D46" s="174"/>
    </row>
    <row r="47" spans="1:7">
      <c r="A47" s="171" t="s">
        <v>74</v>
      </c>
      <c r="B47" s="33">
        <f t="shared" si="0"/>
        <v>650.66200873362459</v>
      </c>
      <c r="C47" s="34" t="s">
        <v>111</v>
      </c>
      <c r="D47" s="174"/>
    </row>
    <row r="48" spans="1:7">
      <c r="A48" s="171" t="s">
        <v>75</v>
      </c>
      <c r="B48" s="33">
        <f t="shared" si="0"/>
        <v>155.27161572052407</v>
      </c>
      <c r="C48" s="33">
        <f>B48*10</f>
        <v>1552.7161572052407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1451.3999999999999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17619.923000000003</v>
      </c>
      <c r="C5" s="17">
        <f>IF(ISERROR('Eigen informatie GS &amp; warmtenet'!B58),0,'Eigen informatie GS &amp; warmtenet'!B58)</f>
        <v>0</v>
      </c>
      <c r="D5" s="30">
        <f>SUM(D6:D12)</f>
        <v>25527.071746000001</v>
      </c>
      <c r="E5" s="17">
        <f>SUM(E6:E12)</f>
        <v>431.76276056573829</v>
      </c>
      <c r="F5" s="17">
        <f>SUM(F6:F12)</f>
        <v>3992.4969570644794</v>
      </c>
      <c r="G5" s="18"/>
      <c r="H5" s="17"/>
      <c r="I5" s="17"/>
      <c r="J5" s="17">
        <f>SUM(J6:J12)</f>
        <v>0</v>
      </c>
      <c r="K5" s="17"/>
      <c r="L5" s="17"/>
      <c r="M5" s="17"/>
      <c r="N5" s="17">
        <f>SUM(N6:N12)</f>
        <v>911.06802705244786</v>
      </c>
      <c r="O5" s="17">
        <f>B38*B39*B40</f>
        <v>3.1266666666666669</v>
      </c>
      <c r="P5" s="17">
        <f>B46*B47*B48/1000-B46*B47*B48/1000/B49</f>
        <v>0</v>
      </c>
      <c r="R5" s="32"/>
    </row>
    <row r="6" spans="1:18">
      <c r="A6" s="32" t="s">
        <v>54</v>
      </c>
      <c r="B6" s="37">
        <f>B26</f>
        <v>4054.0160000000001</v>
      </c>
      <c r="C6" s="33"/>
      <c r="D6" s="37">
        <f>IF(ISERROR(TER_kantoor_gas_kWh/1000),0,TER_kantoor_gas_kWh/1000)*0.902</f>
        <v>3908.7872339999999</v>
      </c>
      <c r="E6" s="33">
        <f>$C$26*'E Balans VL '!I12/100/3.6*1000000</f>
        <v>53.072063263587474</v>
      </c>
      <c r="F6" s="33">
        <f>$C$26*('E Balans VL '!L12+'E Balans VL '!N12)/100/3.6*1000000</f>
        <v>1033.732187363551</v>
      </c>
      <c r="G6" s="34"/>
      <c r="H6" s="33"/>
      <c r="I6" s="33"/>
      <c r="J6" s="33">
        <f>$C$26*('E Balans VL '!D12+'E Balans VL '!E12)/100/3.6*1000000</f>
        <v>0</v>
      </c>
      <c r="K6" s="33"/>
      <c r="L6" s="33"/>
      <c r="M6" s="33"/>
      <c r="N6" s="33">
        <f>$C$26*'E Balans VL '!Y12/100/3.6*1000000</f>
        <v>4.0676676817355135</v>
      </c>
      <c r="O6" s="33"/>
      <c r="P6" s="33"/>
      <c r="R6" s="32"/>
    </row>
    <row r="7" spans="1:18">
      <c r="A7" s="32" t="s">
        <v>53</v>
      </c>
      <c r="B7" s="37">
        <f t="shared" ref="B7:B12" si="0">B27</f>
        <v>1054.1569999999999</v>
      </c>
      <c r="C7" s="33"/>
      <c r="D7" s="37">
        <f>IF(ISERROR(TER_horeca_gas_kWh/1000),0,TER_horeca_gas_kWh/1000)*0.902</f>
        <v>600.4135940000001</v>
      </c>
      <c r="E7" s="33">
        <f>$C$27*'E Balans VL '!I9/100/3.6*1000000</f>
        <v>34.886184478073012</v>
      </c>
      <c r="F7" s="33">
        <f>$C$27*('E Balans VL '!L9+'E Balans VL '!N9)/100/3.6*1000000</f>
        <v>453.28346998101557</v>
      </c>
      <c r="G7" s="34"/>
      <c r="H7" s="33"/>
      <c r="I7" s="33"/>
      <c r="J7" s="33">
        <f>$C$27*('E Balans VL '!D9+'E Balans VL '!E9)/100/3.6*1000000</f>
        <v>0</v>
      </c>
      <c r="K7" s="33"/>
      <c r="L7" s="33"/>
      <c r="M7" s="33"/>
      <c r="N7" s="33">
        <f>$C$27*'E Balans VL '!Y9/100/3.6*1000000</f>
        <v>0.25375089793955768</v>
      </c>
      <c r="O7" s="33"/>
      <c r="P7" s="33"/>
      <c r="R7" s="32"/>
    </row>
    <row r="8" spans="1:18">
      <c r="A8" s="6" t="s">
        <v>52</v>
      </c>
      <c r="B8" s="37">
        <f t="shared" si="0"/>
        <v>10833.713</v>
      </c>
      <c r="C8" s="33"/>
      <c r="D8" s="37">
        <f>IF(ISERROR(TER_handel_gas_kWh/1000),0,TER_handel_gas_kWh/1000)*0.902</f>
        <v>18263.603094000002</v>
      </c>
      <c r="E8" s="33">
        <f>$C$28*'E Balans VL '!I13/100/3.6*1000000</f>
        <v>341.92853570072521</v>
      </c>
      <c r="F8" s="33">
        <f>$C$28*('E Balans VL '!L13+'E Balans VL '!N13)/100/3.6*1000000</f>
        <v>2124.6818891418884</v>
      </c>
      <c r="G8" s="34"/>
      <c r="H8" s="33"/>
      <c r="I8" s="33"/>
      <c r="J8" s="33">
        <f>$C$28*('E Balans VL '!D13+'E Balans VL '!E13)/100/3.6*1000000</f>
        <v>0</v>
      </c>
      <c r="K8" s="33"/>
      <c r="L8" s="33"/>
      <c r="M8" s="33"/>
      <c r="N8" s="33">
        <f>$C$28*'E Balans VL '!Y13/100/3.6*1000000</f>
        <v>12.857513991442628</v>
      </c>
      <c r="O8" s="33"/>
      <c r="P8" s="33"/>
      <c r="R8" s="32"/>
    </row>
    <row r="9" spans="1:18">
      <c r="A9" s="32" t="s">
        <v>51</v>
      </c>
      <c r="B9" s="37">
        <f t="shared" si="0"/>
        <v>483.27199999999999</v>
      </c>
      <c r="C9" s="33"/>
      <c r="D9" s="37">
        <f>IF(ISERROR(TER_gezond_gas_kWh/1000),0,TER_gezond_gas_kWh/1000)*0.902</f>
        <v>906.16814199999999</v>
      </c>
      <c r="E9" s="33">
        <f>$C$29*'E Balans VL '!I10/100/3.6*1000000</f>
        <v>6.1872953808668536E-2</v>
      </c>
      <c r="F9" s="33">
        <f>$C$29*('E Balans VL '!L10+'E Balans VL '!N10)/100/3.6*1000000</f>
        <v>100.68581338582874</v>
      </c>
      <c r="G9" s="34"/>
      <c r="H9" s="33"/>
      <c r="I9" s="33"/>
      <c r="J9" s="33">
        <f>$C$29*('E Balans VL '!D10+'E Balans VL '!E10)/100/3.6*1000000</f>
        <v>0</v>
      </c>
      <c r="K9" s="33"/>
      <c r="L9" s="33"/>
      <c r="M9" s="33"/>
      <c r="N9" s="33">
        <f>$C$29*'E Balans VL '!Y10/100/3.6*1000000</f>
        <v>5.6762580643771976</v>
      </c>
      <c r="O9" s="33"/>
      <c r="P9" s="33"/>
      <c r="R9" s="32"/>
    </row>
    <row r="10" spans="1:18">
      <c r="A10" s="32" t="s">
        <v>50</v>
      </c>
      <c r="B10" s="37">
        <f t="shared" si="0"/>
        <v>1126.9169999999999</v>
      </c>
      <c r="C10" s="33"/>
      <c r="D10" s="37">
        <f>IF(ISERROR(TER_ander_gas_kWh/1000),0,TER_ander_gas_kWh/1000)*0.902</f>
        <v>1744.1180240000001</v>
      </c>
      <c r="E10" s="33">
        <f>$C$30*'E Balans VL '!I14/100/3.6*1000000</f>
        <v>1.6946181559011573</v>
      </c>
      <c r="F10" s="33">
        <f>$C$30*('E Balans VL '!L14+'E Balans VL '!N14)/100/3.6*1000000</f>
        <v>248.78694788466657</v>
      </c>
      <c r="G10" s="34"/>
      <c r="H10" s="33"/>
      <c r="I10" s="33"/>
      <c r="J10" s="33">
        <f>$C$30*('E Balans VL '!D14+'E Balans VL '!E14)/100/3.6*1000000</f>
        <v>0</v>
      </c>
      <c r="K10" s="33"/>
      <c r="L10" s="33"/>
      <c r="M10" s="33"/>
      <c r="N10" s="33">
        <f>$C$30*'E Balans VL '!Y14/100/3.6*1000000</f>
        <v>888.086434654698</v>
      </c>
      <c r="O10" s="33"/>
      <c r="P10" s="33"/>
      <c r="R10" s="32"/>
    </row>
    <row r="11" spans="1:18">
      <c r="A11" s="32" t="s">
        <v>55</v>
      </c>
      <c r="B11" s="37">
        <f t="shared" si="0"/>
        <v>67.847999999999999</v>
      </c>
      <c r="C11" s="33"/>
      <c r="D11" s="37">
        <f>IF(ISERROR(TER_onderwijs_gas_kWh/1000),0,TER_onderwijs_gas_kWh/1000)*0.902</f>
        <v>0</v>
      </c>
      <c r="E11" s="33">
        <f>$C$31*'E Balans VL '!I11/100/3.6*1000000</f>
        <v>0.11948601364274682</v>
      </c>
      <c r="F11" s="33">
        <f>$C$31*('E Balans VL '!L11+'E Balans VL '!N11)/100/3.6*1000000</f>
        <v>31.326649307529468</v>
      </c>
      <c r="G11" s="34"/>
      <c r="H11" s="33"/>
      <c r="I11" s="33"/>
      <c r="J11" s="33">
        <f>$C$31*('E Balans VL '!D11+'E Balans VL '!E11)/100/3.6*1000000</f>
        <v>0</v>
      </c>
      <c r="K11" s="33"/>
      <c r="L11" s="33"/>
      <c r="M11" s="33"/>
      <c r="N11" s="33">
        <f>$C$31*'E Balans VL '!Y11/100/3.6*1000000</f>
        <v>0.12640176225497798</v>
      </c>
      <c r="O11" s="33"/>
      <c r="P11" s="33"/>
      <c r="R11" s="32"/>
    </row>
    <row r="12" spans="1:18">
      <c r="A12" s="32" t="s">
        <v>260</v>
      </c>
      <c r="B12" s="37">
        <f t="shared" si="0"/>
        <v>0</v>
      </c>
      <c r="C12" s="33"/>
      <c r="D12" s="37">
        <f>IF(ISERROR(TER_rest_gas_kWh/1000),0,TER_rest_gas_kWh/1000)*0.902</f>
        <v>103.981658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17619.923000000003</v>
      </c>
      <c r="C16" s="21">
        <f t="shared" ca="1" si="1"/>
        <v>0</v>
      </c>
      <c r="D16" s="21">
        <f t="shared" ca="1" si="1"/>
        <v>25527.071746000001</v>
      </c>
      <c r="E16" s="21">
        <f t="shared" si="1"/>
        <v>431.76276056573829</v>
      </c>
      <c r="F16" s="21">
        <f t="shared" ca="1" si="1"/>
        <v>3992.4969570644794</v>
      </c>
      <c r="G16" s="21">
        <f t="shared" si="1"/>
        <v>0</v>
      </c>
      <c r="H16" s="21">
        <f t="shared" si="1"/>
        <v>0</v>
      </c>
      <c r="I16" s="21">
        <f t="shared" si="1"/>
        <v>0</v>
      </c>
      <c r="J16" s="21">
        <f t="shared" si="1"/>
        <v>0</v>
      </c>
      <c r="K16" s="21">
        <f t="shared" si="1"/>
        <v>0</v>
      </c>
      <c r="L16" s="21">
        <f t="shared" ca="1" si="1"/>
        <v>0</v>
      </c>
      <c r="M16" s="21">
        <f t="shared" si="1"/>
        <v>0</v>
      </c>
      <c r="N16" s="21">
        <f t="shared" ca="1" si="1"/>
        <v>911.06802705244786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0.16534717458305412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2913.4044844209711</v>
      </c>
      <c r="C20" s="23">
        <f t="shared" ref="C20:P20" ca="1" si="2">C16*C18</f>
        <v>0</v>
      </c>
      <c r="D20" s="23">
        <f t="shared" ca="1" si="2"/>
        <v>5156.4684926920008</v>
      </c>
      <c r="E20" s="23">
        <f t="shared" si="2"/>
        <v>98.010146648422591</v>
      </c>
      <c r="F20" s="23">
        <f t="shared" ca="1" si="2"/>
        <v>1065.9966875362161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4054.0160000000001</v>
      </c>
      <c r="C26" s="39">
        <f>IF(ISERROR(B26*3.6/1000000/'E Balans VL '!Z12*100),0,B26*3.6/1000000/'E Balans VL '!Z12*100)</f>
        <v>8.6840172162392579E-2</v>
      </c>
      <c r="D26" s="237" t="s">
        <v>660</v>
      </c>
      <c r="F26" s="6"/>
    </row>
    <row r="27" spans="1:18">
      <c r="A27" s="231" t="s">
        <v>53</v>
      </c>
      <c r="B27" s="33">
        <f>IF(ISERROR(TER_horeca_ele_kWh/1000),0,TER_horeca_ele_kWh/1000)</f>
        <v>1054.1569999999999</v>
      </c>
      <c r="C27" s="39">
        <f>IF(ISERROR(B27*3.6/1000000/'E Balans VL '!Z9*100),0,B27*3.6/1000000/'E Balans VL '!Z9*100)</f>
        <v>8.4592435037669209E-2</v>
      </c>
      <c r="D27" s="237" t="s">
        <v>660</v>
      </c>
      <c r="F27" s="6"/>
    </row>
    <row r="28" spans="1:18">
      <c r="A28" s="171" t="s">
        <v>52</v>
      </c>
      <c r="B28" s="33">
        <f>IF(ISERROR(TER_handel_ele_kWh/1000),0,TER_handel_ele_kWh/1000)</f>
        <v>10833.713</v>
      </c>
      <c r="C28" s="39">
        <f>IF(ISERROR(B28*3.6/1000000/'E Balans VL '!Z13*100),0,B28*3.6/1000000/'E Balans VL '!Z13*100)</f>
        <v>0.3195323938007833</v>
      </c>
      <c r="D28" s="237" t="s">
        <v>660</v>
      </c>
      <c r="F28" s="6"/>
    </row>
    <row r="29" spans="1:18">
      <c r="A29" s="231" t="s">
        <v>51</v>
      </c>
      <c r="B29" s="33">
        <f>IF(ISERROR(TER_gezond_ele_kWh/1000),0,TER_gezond_ele_kWh/1000)</f>
        <v>483.27199999999999</v>
      </c>
      <c r="C29" s="39">
        <f>IF(ISERROR(B29*3.6/1000000/'E Balans VL '!Z10*100),0,B29*3.6/1000000/'E Balans VL '!Z10*100)</f>
        <v>5.1600492591796193E-2</v>
      </c>
      <c r="D29" s="237" t="s">
        <v>660</v>
      </c>
      <c r="F29" s="6"/>
    </row>
    <row r="30" spans="1:18">
      <c r="A30" s="231" t="s">
        <v>50</v>
      </c>
      <c r="B30" s="33">
        <f>IF(ISERROR(TER_ander_ele_kWh/1000),0,TER_ander_ele_kWh/1000)</f>
        <v>1126.9169999999999</v>
      </c>
      <c r="C30" s="39">
        <f>IF(ISERROR(B30*3.6/1000000/'E Balans VL '!Z14*100),0,B30*3.6/1000000/'E Balans VL '!Z14*100)</f>
        <v>8.5120466234560155E-2</v>
      </c>
      <c r="D30" s="237" t="s">
        <v>660</v>
      </c>
      <c r="F30" s="6"/>
    </row>
    <row r="31" spans="1:18">
      <c r="A31" s="231" t="s">
        <v>55</v>
      </c>
      <c r="B31" s="33">
        <f>IF(ISERROR(TER_onderwijs_ele_kWh/1000),0,TER_onderwijs_ele_kWh/1000)</f>
        <v>67.847999999999999</v>
      </c>
      <c r="C31" s="39">
        <f>IF(ISERROR(B31*3.6/1000000/'E Balans VL '!Z11*100),0,B31*3.6/1000000/'E Balans VL '!Z11*100)</f>
        <v>1.3700776141216252E-2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13054.058999999999</v>
      </c>
      <c r="C5" s="17">
        <f>IF(ISERROR('Eigen informatie GS &amp; warmtenet'!B59),0,'Eigen informatie GS &amp; warmtenet'!B59)</f>
        <v>0</v>
      </c>
      <c r="D5" s="30">
        <f>SUM(D6:D15)</f>
        <v>8999.6075840000012</v>
      </c>
      <c r="E5" s="17">
        <f>SUM(E6:E15)</f>
        <v>1293.4010652693526</v>
      </c>
      <c r="F5" s="17">
        <f>SUM(F6:F15)</f>
        <v>5635.1446177421285</v>
      </c>
      <c r="G5" s="18"/>
      <c r="H5" s="17"/>
      <c r="I5" s="17"/>
      <c r="J5" s="17">
        <f>SUM(J6:J15)</f>
        <v>47.020420030843894</v>
      </c>
      <c r="K5" s="17"/>
      <c r="L5" s="17"/>
      <c r="M5" s="17"/>
      <c r="N5" s="17">
        <f>SUM(N6:N15)</f>
        <v>2587.5416965948139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2364.2779999999998</v>
      </c>
      <c r="C8" s="33"/>
      <c r="D8" s="37">
        <f>IF( ISERROR(IND_metaal_Gas_kWH/1000),0,IND_metaal_Gas_kWH/1000)*0.902</f>
        <v>2654.9089160000003</v>
      </c>
      <c r="E8" s="33">
        <f>C30*'E Balans VL '!I18/100/3.6*1000000</f>
        <v>85.073874865798672</v>
      </c>
      <c r="F8" s="33">
        <f>C30*'E Balans VL '!L18/100/3.6*1000000+C30*'E Balans VL '!N18/100/3.6*1000000</f>
        <v>1032.4035609531047</v>
      </c>
      <c r="G8" s="34"/>
      <c r="H8" s="33"/>
      <c r="I8" s="33"/>
      <c r="J8" s="40">
        <f>C30*'E Balans VL '!D18/100/3.6*1000000+C30*'E Balans VL '!E18/100/3.6*1000000</f>
        <v>0</v>
      </c>
      <c r="K8" s="33"/>
      <c r="L8" s="33"/>
      <c r="M8" s="33"/>
      <c r="N8" s="33">
        <f>C30*'E Balans VL '!Y18/100/3.6*1000000</f>
        <v>118.49600666285401</v>
      </c>
      <c r="O8" s="33"/>
      <c r="P8" s="33"/>
      <c r="R8" s="32"/>
    </row>
    <row r="9" spans="1:18">
      <c r="A9" s="6" t="s">
        <v>33</v>
      </c>
      <c r="B9" s="37">
        <f t="shared" si="0"/>
        <v>4264.0129999999999</v>
      </c>
      <c r="C9" s="33"/>
      <c r="D9" s="37">
        <f>IF( ISERROR(IND_andere_gas_kWh/1000),0,IND_andere_gas_kWh/1000)*0.902</f>
        <v>2906.3360039999998</v>
      </c>
      <c r="E9" s="33">
        <f>C31*'E Balans VL '!I19/100/3.6*1000000</f>
        <v>1088.0796416036828</v>
      </c>
      <c r="F9" s="33">
        <f>C31*'E Balans VL '!L19/100/3.6*1000000+C31*'E Balans VL '!N19/100/3.6*1000000</f>
        <v>3670.9946973231185</v>
      </c>
      <c r="G9" s="34"/>
      <c r="H9" s="33"/>
      <c r="I9" s="33"/>
      <c r="J9" s="40">
        <f>C31*'E Balans VL '!D19/100/3.6*1000000+C31*'E Balans VL '!E19/100/3.6*1000000</f>
        <v>0</v>
      </c>
      <c r="K9" s="33"/>
      <c r="L9" s="33"/>
      <c r="M9" s="33"/>
      <c r="N9" s="33">
        <f>C31*'E Balans VL '!Y19/100/3.6*1000000</f>
        <v>1333.5028922943482</v>
      </c>
      <c r="O9" s="33"/>
      <c r="P9" s="33"/>
      <c r="R9" s="32"/>
    </row>
    <row r="10" spans="1:18">
      <c r="A10" s="6" t="s">
        <v>41</v>
      </c>
      <c r="B10" s="37">
        <f t="shared" si="0"/>
        <v>73.55</v>
      </c>
      <c r="C10" s="33"/>
      <c r="D10" s="37">
        <f>IF( ISERROR(IND_voed_gas_kWh/1000),0,IND_voed_gas_kWh/1000)*0.902</f>
        <v>0</v>
      </c>
      <c r="E10" s="33">
        <f>C32*'E Balans VL '!I20/100/3.6*1000000</f>
        <v>1.8697419924261587</v>
      </c>
      <c r="F10" s="33">
        <f>C32*'E Balans VL '!L20/100/3.6*1000000+C32*'E Balans VL '!N20/100/3.6*1000000</f>
        <v>16.643260919284021</v>
      </c>
      <c r="G10" s="34"/>
      <c r="H10" s="33"/>
      <c r="I10" s="33"/>
      <c r="J10" s="40">
        <f>C32*'E Balans VL '!D20/100/3.6*1000000+C32*'E Balans VL '!E20/100/3.6*1000000</f>
        <v>0</v>
      </c>
      <c r="K10" s="33"/>
      <c r="L10" s="33"/>
      <c r="M10" s="33"/>
      <c r="N10" s="33">
        <f>C32*'E Balans VL '!Y20/100/3.6*1000000</f>
        <v>27.583243651167599</v>
      </c>
      <c r="O10" s="33"/>
      <c r="P10" s="33"/>
      <c r="R10" s="32"/>
    </row>
    <row r="11" spans="1:18">
      <c r="A11" s="6" t="s">
        <v>40</v>
      </c>
      <c r="B11" s="37">
        <f t="shared" si="0"/>
        <v>339.12799999999999</v>
      </c>
      <c r="C11" s="33"/>
      <c r="D11" s="37">
        <f>IF( ISERROR(IND_textiel_gas_kWh/1000),0,IND_textiel_gas_kWh/1000)*0.902</f>
        <v>124.35964200000001</v>
      </c>
      <c r="E11" s="33">
        <f>C33*'E Balans VL '!I21/100/3.6*1000000</f>
        <v>0.93099755926833749</v>
      </c>
      <c r="F11" s="33">
        <f>C33*'E Balans VL '!L21/100/3.6*1000000+C33*'E Balans VL '!N21/100/3.6*1000000</f>
        <v>17.979153231511042</v>
      </c>
      <c r="G11" s="34"/>
      <c r="H11" s="33"/>
      <c r="I11" s="33"/>
      <c r="J11" s="40">
        <f>C33*'E Balans VL '!D21/100/3.6*1000000+C33*'E Balans VL '!E21/100/3.6*1000000</f>
        <v>0</v>
      </c>
      <c r="K11" s="33"/>
      <c r="L11" s="33"/>
      <c r="M11" s="33"/>
      <c r="N11" s="33">
        <f>C33*'E Balans VL '!Y21/100/3.6*1000000</f>
        <v>0.68159116021470523</v>
      </c>
      <c r="O11" s="33"/>
      <c r="P11" s="33"/>
      <c r="R11" s="32"/>
    </row>
    <row r="12" spans="1:18">
      <c r="A12" s="6" t="s">
        <v>37</v>
      </c>
      <c r="B12" s="37">
        <f t="shared" si="0"/>
        <v>5404.7749999999996</v>
      </c>
      <c r="C12" s="33"/>
      <c r="D12" s="37">
        <f>IF( ISERROR(IND_min_gas_kWh/1000),0,IND_min_gas_kWh/1000)*0.902</f>
        <v>3264.4011400000004</v>
      </c>
      <c r="E12" s="33">
        <f>C34*'E Balans VL '!I22/100/3.6*1000000</f>
        <v>114.83792318282806</v>
      </c>
      <c r="F12" s="33">
        <f>C34*'E Balans VL '!L22/100/3.6*1000000+C34*'E Balans VL '!N22/100/3.6*1000000</f>
        <v>881.83510127554484</v>
      </c>
      <c r="G12" s="34"/>
      <c r="H12" s="33"/>
      <c r="I12" s="33"/>
      <c r="J12" s="40">
        <f>C34*'E Balans VL '!D22/100/3.6*1000000+C34*'E Balans VL '!E22/100/3.6*1000000</f>
        <v>6.2970672513699757</v>
      </c>
      <c r="K12" s="33"/>
      <c r="L12" s="33"/>
      <c r="M12" s="33"/>
      <c r="N12" s="33">
        <f>C34*'E Balans VL '!Y22/100/3.6*1000000</f>
        <v>0</v>
      </c>
      <c r="O12" s="33"/>
      <c r="P12" s="33"/>
      <c r="R12" s="32"/>
    </row>
    <row r="13" spans="1:18">
      <c r="A13" s="6" t="s">
        <v>39</v>
      </c>
      <c r="B13" s="37">
        <f t="shared" si="0"/>
        <v>608.31500000000005</v>
      </c>
      <c r="C13" s="33"/>
      <c r="D13" s="37">
        <f>IF( ISERROR(IND_papier_gas_kWh/1000),0,IND_papier_gas_kWh/1000)*0.902</f>
        <v>0</v>
      </c>
      <c r="E13" s="33">
        <f>C35*'E Balans VL '!I23/100/3.6*1000000</f>
        <v>2.6088860653484875</v>
      </c>
      <c r="F13" s="33">
        <f>C35*'E Balans VL '!L23/100/3.6*1000000+C35*'E Balans VL '!N23/100/3.6*1000000</f>
        <v>15.288844039564138</v>
      </c>
      <c r="G13" s="34"/>
      <c r="H13" s="33"/>
      <c r="I13" s="33"/>
      <c r="J13" s="40">
        <f>C35*'E Balans VL '!D23/100/3.6*1000000+C35*'E Balans VL '!E23/100/3.6*1000000</f>
        <v>40.72335277947392</v>
      </c>
      <c r="K13" s="33"/>
      <c r="L13" s="33"/>
      <c r="M13" s="33"/>
      <c r="N13" s="33">
        <f>C35*'E Balans VL '!Y23/100/3.6*1000000</f>
        <v>1107.2779628262294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49.601882000000003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13054.058999999999</v>
      </c>
      <c r="C18" s="21">
        <f>C5+C16</f>
        <v>0</v>
      </c>
      <c r="D18" s="21">
        <f>MAX((D5+D16),0)</f>
        <v>8999.6075840000012</v>
      </c>
      <c r="E18" s="21">
        <f>MAX((E5+E16),0)</f>
        <v>1293.4010652693526</v>
      </c>
      <c r="F18" s="21">
        <f>MAX((F5+F16),0)</f>
        <v>5635.1446177421285</v>
      </c>
      <c r="G18" s="21"/>
      <c r="H18" s="21"/>
      <c r="I18" s="21"/>
      <c r="J18" s="21">
        <f>MAX((J5+J16),0)</f>
        <v>47.020420030843894</v>
      </c>
      <c r="K18" s="21"/>
      <c r="L18" s="21">
        <f>MAX((L5+L16),0)</f>
        <v>0</v>
      </c>
      <c r="M18" s="21"/>
      <c r="N18" s="21">
        <f>MAX((N5+N16),0)</f>
        <v>2587.5416965948139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0.16534717458305412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2158.4517724904886</v>
      </c>
      <c r="C22" s="23">
        <f ca="1">C18*C20</f>
        <v>0</v>
      </c>
      <c r="D22" s="23">
        <f>D18*D20</f>
        <v>1817.9207319680004</v>
      </c>
      <c r="E22" s="23">
        <f>E18*E20</f>
        <v>293.60204181614301</v>
      </c>
      <c r="F22" s="23">
        <f>F18*F20</f>
        <v>1504.5836129371485</v>
      </c>
      <c r="G22" s="23"/>
      <c r="H22" s="23"/>
      <c r="I22" s="23"/>
      <c r="J22" s="23">
        <f>J18*J20</f>
        <v>16.645228690918739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2364.2779999999998</v>
      </c>
      <c r="C30" s="39">
        <f>IF(ISERROR(B30*3.6/1000000/'E Balans VL '!Z18*100),0,B30*3.6/1000000/'E Balans VL '!Z18*100)</f>
        <v>0.50093981941561039</v>
      </c>
      <c r="D30" s="237" t="s">
        <v>660</v>
      </c>
    </row>
    <row r="31" spans="1:18">
      <c r="A31" s="6" t="s">
        <v>33</v>
      </c>
      <c r="B31" s="37">
        <f>IF( ISERROR(IND_ander_ele_kWh/1000),0,IND_ander_ele_kWh/1000)</f>
        <v>4264.0129999999999</v>
      </c>
      <c r="C31" s="39">
        <f>IF(ISERROR(B31*3.6/1000000/'E Balans VL '!Z19*100),0,B31*3.6/1000000/'E Balans VL '!Z19*100)</f>
        <v>0.1794819893156594</v>
      </c>
      <c r="D31" s="237" t="s">
        <v>660</v>
      </c>
    </row>
    <row r="32" spans="1:18">
      <c r="A32" s="171" t="s">
        <v>41</v>
      </c>
      <c r="B32" s="37">
        <f>IF( ISERROR(IND_voed_ele_kWh/1000),0,IND_voed_ele_kWh/1000)</f>
        <v>73.55</v>
      </c>
      <c r="C32" s="39">
        <f>IF(ISERROR(B32*3.6/1000000/'E Balans VL '!Z20*100),0,B32*3.6/1000000/'E Balans VL '!Z20*100)</f>
        <v>1.2287359661016734E-2</v>
      </c>
      <c r="D32" s="237" t="s">
        <v>660</v>
      </c>
    </row>
    <row r="33" spans="1:5">
      <c r="A33" s="171" t="s">
        <v>40</v>
      </c>
      <c r="B33" s="37">
        <f>IF( ISERROR(IND_textiel_ele_kWh/1000),0,IND_textiel_ele_kWh/1000)</f>
        <v>339.12799999999999</v>
      </c>
      <c r="C33" s="39">
        <f>IF(ISERROR(B33*3.6/1000000/'E Balans VL '!Z21*100),0,B33*3.6/1000000/'E Balans VL '!Z21*100)</f>
        <v>1.9799307486265946E-2</v>
      </c>
      <c r="D33" s="237" t="s">
        <v>660</v>
      </c>
    </row>
    <row r="34" spans="1:5">
      <c r="A34" s="171" t="s">
        <v>37</v>
      </c>
      <c r="B34" s="37">
        <f>IF( ISERROR(IND_min_ele_kWh/1000),0,IND_min_ele_kWh/1000)</f>
        <v>5404.7749999999996</v>
      </c>
      <c r="C34" s="39">
        <f>IF(ISERROR(B34*3.6/1000000/'E Balans VL '!Z22*100),0,B34*3.6/1000000/'E Balans VL '!Z22*100)</f>
        <v>0.68508437911548781</v>
      </c>
      <c r="D34" s="237" t="s">
        <v>660</v>
      </c>
    </row>
    <row r="35" spans="1:5">
      <c r="A35" s="171" t="s">
        <v>39</v>
      </c>
      <c r="B35" s="37">
        <f>IF( ISERROR(IND_papier_ele_kWh/1000),0,IND_papier_ele_kWh/1000)</f>
        <v>608.31500000000005</v>
      </c>
      <c r="C35" s="39">
        <f>IF(ISERROR(B35*3.6/1000000/'E Balans VL '!Z22*100),0,B35*3.6/1000000/'E Balans VL '!Z22*100)</f>
        <v>7.7107206883105781E-2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443.68799999999999</v>
      </c>
      <c r="C5" s="17">
        <f>'Eigen informatie GS &amp; warmtenet'!B60</f>
        <v>0</v>
      </c>
      <c r="D5" s="30">
        <f>IF(ISERROR(SUM(LB_lb_gas_kWh,LB_rest_gas_kWh)/1000),0,SUM(LB_lb_gas_kWh,LB_rest_gas_kWh)/1000)*0.902</f>
        <v>22.697928000000001</v>
      </c>
      <c r="E5" s="17">
        <f>B17*'E Balans VL '!I25/3.6*1000000/100</f>
        <v>11.44100995503725</v>
      </c>
      <c r="F5" s="17">
        <f>B17*('E Balans VL '!L25/3.6*1000000+'E Balans VL '!N25/3.6*1000000)/100</f>
        <v>1621.7641362750126</v>
      </c>
      <c r="G5" s="18"/>
      <c r="H5" s="17"/>
      <c r="I5" s="17"/>
      <c r="J5" s="17">
        <f>('E Balans VL '!D25+'E Balans VL '!E25)/3.6*1000000*landbouw!B17/100</f>
        <v>63.874750201696109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443.68799999999999</v>
      </c>
      <c r="C8" s="21">
        <f>C5+C6</f>
        <v>0</v>
      </c>
      <c r="D8" s="21">
        <f>MAX((D5+D6),0)</f>
        <v>22.697928000000001</v>
      </c>
      <c r="E8" s="21">
        <f>MAX((E5+E6),0)</f>
        <v>11.44100995503725</v>
      </c>
      <c r="F8" s="21">
        <f>MAX((F5+F6),0)</f>
        <v>1621.7641362750126</v>
      </c>
      <c r="G8" s="21"/>
      <c r="H8" s="21"/>
      <c r="I8" s="21"/>
      <c r="J8" s="21">
        <f>MAX((J5+J6),0)</f>
        <v>63.874750201696109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0.16534717458305412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73.362557196406115</v>
      </c>
      <c r="C12" s="23">
        <f ca="1">C8*C10</f>
        <v>0</v>
      </c>
      <c r="D12" s="23">
        <f>D8*D10</f>
        <v>4.5849814560000004</v>
      </c>
      <c r="E12" s="23">
        <f>E8*E10</f>
        <v>2.5971092597934557</v>
      </c>
      <c r="F12" s="23">
        <f>F8*F10</f>
        <v>433.01102438542836</v>
      </c>
      <c r="G12" s="23"/>
      <c r="H12" s="23"/>
      <c r="I12" s="23"/>
      <c r="J12" s="23">
        <f>J8*J10</f>
        <v>22.611661571400422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6.2562946923412896E-2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54.023770490630376</v>
      </c>
      <c r="C26" s="247">
        <f>B26*'GWP N2O_CH4'!B5</f>
        <v>1134.4991803032378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14.285160518166672</v>
      </c>
      <c r="C27" s="247">
        <f>B27*'GWP N2O_CH4'!B5</f>
        <v>299.98837088150009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0.58906273898241246</v>
      </c>
      <c r="C28" s="247">
        <f>B28*'GWP N2O_CH4'!B4</f>
        <v>182.60944908454786</v>
      </c>
      <c r="D28" s="50"/>
    </row>
    <row r="29" spans="1:4">
      <c r="A29" s="41" t="s">
        <v>277</v>
      </c>
      <c r="B29" s="247">
        <f>B34*'ha_N2O bodem landbouw'!B4</f>
        <v>3.4060067511668732</v>
      </c>
      <c r="C29" s="247">
        <f>B29*'GWP N2O_CH4'!B4</f>
        <v>1055.8620928617306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7.6653660680349673E-4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4.7059108675281581E-5</v>
      </c>
      <c r="C5" s="463" t="s">
        <v>211</v>
      </c>
      <c r="D5" s="448">
        <f>SUM(D6:D11)</f>
        <v>1.2580827959009734E-4</v>
      </c>
      <c r="E5" s="448">
        <f>SUM(E6:E11)</f>
        <v>4.7314415166843621E-4</v>
      </c>
      <c r="F5" s="461" t="s">
        <v>211</v>
      </c>
      <c r="G5" s="448">
        <f>SUM(G6:G11)</f>
        <v>0.13844913016546037</v>
      </c>
      <c r="H5" s="448">
        <f>SUM(H6:H11)</f>
        <v>3.3460003485309656E-2</v>
      </c>
      <c r="I5" s="463" t="s">
        <v>211</v>
      </c>
      <c r="J5" s="463" t="s">
        <v>211</v>
      </c>
      <c r="K5" s="463" t="s">
        <v>211</v>
      </c>
      <c r="L5" s="463" t="s">
        <v>211</v>
      </c>
      <c r="M5" s="448">
        <f>SUM(M6:M11)</f>
        <v>5.3645522446823931E-3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2.5964789660245014E-5</v>
      </c>
      <c r="C6" s="449"/>
      <c r="D6" s="892">
        <f>vkm_2011_GW_PW*SUMIFS(TableVerdeelsleutelVkm[CNG],TableVerdeelsleutelVkm[Voertuigtype],"Lichte voertuigen")*SUMIFS(TableECFTransport[EnergieConsumptieFactor (PJ per km)],TableECFTransport[Index],CONCATENATE($A6,"_CNG_CNG"))</f>
        <v>5.1592491868039703E-5</v>
      </c>
      <c r="E6" s="892">
        <f>vkm_2011_GW_PW*SUMIFS(TableVerdeelsleutelVkm[LPG],TableVerdeelsleutelVkm[Voertuigtype],"Lichte voertuigen")*SUMIFS(TableECFTransport[EnergieConsumptieFactor (PJ per km)],TableECFTransport[Index],CONCATENATE($A6,"_LPG_LPG"))</f>
        <v>2.0303495002263895E-4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4.8274744580017771E-2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1.3967639674481966E-2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1.9395301688281876E-3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2.3133738270569554E-2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7.4731855845036256E-6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7.2890869652640514E-4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2.1094319015036567E-5</v>
      </c>
      <c r="C8" s="449"/>
      <c r="D8" s="451">
        <f>vkm_2011_NGW_PW*SUMIFS(TableVerdeelsleutelVkm[CNG],TableVerdeelsleutelVkm[Voertuigtype],"Lichte voertuigen")*SUMIFS(TableECFTransport[EnergieConsumptieFactor (PJ per km)],TableECFTransport[Index],CONCATENATE($A8,"_CNG_CNG"))</f>
        <v>7.4215787722057633E-5</v>
      </c>
      <c r="E8" s="451">
        <f>vkm_2011_NGW_PW*SUMIFS(TableVerdeelsleutelVkm[LPG],TableVerdeelsleutelVkm[Voertuigtype],"Lichte voertuigen")*SUMIFS(TableECFTransport[EnergieConsumptieFactor (PJ per km)],TableECFTransport[Index],CONCATENATE($A8,"_LPG_LPG"))</f>
        <v>2.7010920164579727E-4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5.9971835811470968E-2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1.9482731043391703E-2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2.4733896622211862E-3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7.0688115034020713E-3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2.1595818514867839E-6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2.2272371710661381E-4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13.071974632022663</v>
      </c>
      <c r="C14" s="21"/>
      <c r="D14" s="21">
        <f t="shared" ref="D14:M14" si="0">((D5)*10^9/3600)+D12</f>
        <v>34.946744330582597</v>
      </c>
      <c r="E14" s="21">
        <f t="shared" si="0"/>
        <v>131.42893101901007</v>
      </c>
      <c r="F14" s="21"/>
      <c r="G14" s="21">
        <f t="shared" si="0"/>
        <v>38458.09171262788</v>
      </c>
      <c r="H14" s="21">
        <f t="shared" si="0"/>
        <v>9294.4454125860157</v>
      </c>
      <c r="I14" s="21"/>
      <c r="J14" s="21"/>
      <c r="K14" s="21"/>
      <c r="L14" s="21"/>
      <c r="M14" s="21">
        <f t="shared" si="0"/>
        <v>1490.1534013006647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0.16534717458305412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2.1614140716263059</v>
      </c>
      <c r="C18" s="23"/>
      <c r="D18" s="23">
        <f t="shared" ref="D18:M18" si="1">D14*D16</f>
        <v>7.0592423547776848</v>
      </c>
      <c r="E18" s="23">
        <f t="shared" si="1"/>
        <v>29.834367341315286</v>
      </c>
      <c r="F18" s="23"/>
      <c r="G18" s="23">
        <f t="shared" si="1"/>
        <v>10268.310487271645</v>
      </c>
      <c r="H18" s="23">
        <f t="shared" si="1"/>
        <v>2314.316907733918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4.1662385087844209E-3</v>
      </c>
      <c r="H50" s="321">
        <f t="shared" si="2"/>
        <v>0</v>
      </c>
      <c r="I50" s="321">
        <f t="shared" si="2"/>
        <v>0</v>
      </c>
      <c r="J50" s="321">
        <f t="shared" si="2"/>
        <v>0</v>
      </c>
      <c r="K50" s="321">
        <f t="shared" si="2"/>
        <v>0</v>
      </c>
      <c r="L50" s="321">
        <f t="shared" si="2"/>
        <v>0</v>
      </c>
      <c r="M50" s="321">
        <f t="shared" si="2"/>
        <v>1.2922739790832599E-4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4.1662385087844209E-3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1.2922739790832599E-4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1157.288474662339</v>
      </c>
      <c r="H54" s="21">
        <f t="shared" si="3"/>
        <v>0</v>
      </c>
      <c r="I54" s="21">
        <f t="shared" si="3"/>
        <v>0</v>
      </c>
      <c r="J54" s="21">
        <f t="shared" si="3"/>
        <v>0</v>
      </c>
      <c r="K54" s="21">
        <f t="shared" si="3"/>
        <v>0</v>
      </c>
      <c r="L54" s="21">
        <f t="shared" si="3"/>
        <v>0</v>
      </c>
      <c r="M54" s="21">
        <f t="shared" si="3"/>
        <v>35.896499418979445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0.16534717458305412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308.99602273484453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18343.921000000002</v>
      </c>
      <c r="D10" s="1012">
        <f ca="1">tertiair!C16</f>
        <v>0</v>
      </c>
      <c r="E10" s="1012">
        <f ca="1">tertiair!D16</f>
        <v>25527.071746000001</v>
      </c>
      <c r="F10" s="1012">
        <f>tertiair!E16</f>
        <v>431.76276056573829</v>
      </c>
      <c r="G10" s="1012">
        <f ca="1">tertiair!F16</f>
        <v>3992.4969570644794</v>
      </c>
      <c r="H10" s="1012">
        <f>tertiair!G16</f>
        <v>0</v>
      </c>
      <c r="I10" s="1012">
        <f>tertiair!H16</f>
        <v>0</v>
      </c>
      <c r="J10" s="1012">
        <f>tertiair!I16</f>
        <v>0</v>
      </c>
      <c r="K10" s="1012">
        <f>tertiair!J16</f>
        <v>0</v>
      </c>
      <c r="L10" s="1012">
        <f>tertiair!K16</f>
        <v>0</v>
      </c>
      <c r="M10" s="1012">
        <f ca="1">tertiair!L16</f>
        <v>0</v>
      </c>
      <c r="N10" s="1012">
        <f>tertiair!M16</f>
        <v>0</v>
      </c>
      <c r="O10" s="1012">
        <f ca="1">tertiair!N16</f>
        <v>911.06802705244786</v>
      </c>
      <c r="P10" s="1012">
        <f>tertiair!O16</f>
        <v>3.1266666666666669</v>
      </c>
      <c r="Q10" s="1013">
        <f>tertiair!P16</f>
        <v>0</v>
      </c>
      <c r="R10" s="700">
        <f ca="1">SUM(C10:Q10)</f>
        <v>49209.447157349336</v>
      </c>
      <c r="S10" s="67"/>
    </row>
    <row r="11" spans="1:19" s="473" customFormat="1">
      <c r="A11" s="809" t="s">
        <v>225</v>
      </c>
      <c r="B11" s="814"/>
      <c r="C11" s="1012">
        <f>huishoudens!B8</f>
        <v>18451.135133503747</v>
      </c>
      <c r="D11" s="1012">
        <f>huishoudens!C8</f>
        <v>0</v>
      </c>
      <c r="E11" s="1012">
        <f>huishoudens!D8</f>
        <v>23354.328734000002</v>
      </c>
      <c r="F11" s="1012">
        <f>huishoudens!E8</f>
        <v>919.78751901098167</v>
      </c>
      <c r="G11" s="1012">
        <f>huishoudens!F8</f>
        <v>35330.202516242862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9974.0730351902348</v>
      </c>
      <c r="P11" s="1012">
        <f>huishoudens!O8</f>
        <v>236.06333333333336</v>
      </c>
      <c r="Q11" s="1013">
        <f>huishoudens!P8</f>
        <v>457.6</v>
      </c>
      <c r="R11" s="700">
        <f>SUM(C11:Q11)</f>
        <v>88723.190271281172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13054.058999999999</v>
      </c>
      <c r="D13" s="1012">
        <f>industrie!C18</f>
        <v>0</v>
      </c>
      <c r="E13" s="1012">
        <f>industrie!D18</f>
        <v>8999.6075840000012</v>
      </c>
      <c r="F13" s="1012">
        <f>industrie!E18</f>
        <v>1293.4010652693526</v>
      </c>
      <c r="G13" s="1012">
        <f>industrie!F18</f>
        <v>5635.1446177421285</v>
      </c>
      <c r="H13" s="1012">
        <f>industrie!G18</f>
        <v>0</v>
      </c>
      <c r="I13" s="1012">
        <f>industrie!H18</f>
        <v>0</v>
      </c>
      <c r="J13" s="1012">
        <f>industrie!I18</f>
        <v>0</v>
      </c>
      <c r="K13" s="1012">
        <f>industrie!J18</f>
        <v>47.020420030843894</v>
      </c>
      <c r="L13" s="1012">
        <f>industrie!K18</f>
        <v>0</v>
      </c>
      <c r="M13" s="1012">
        <f>industrie!L18</f>
        <v>0</v>
      </c>
      <c r="N13" s="1012">
        <f>industrie!M18</f>
        <v>0</v>
      </c>
      <c r="O13" s="1012">
        <f>industrie!N18</f>
        <v>2587.5416965948139</v>
      </c>
      <c r="P13" s="1012">
        <f>industrie!O18</f>
        <v>0</v>
      </c>
      <c r="Q13" s="1013">
        <f>industrie!P18</f>
        <v>0</v>
      </c>
      <c r="R13" s="700">
        <f>SUM(C13:Q13)</f>
        <v>31616.774383637137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49849.11513350375</v>
      </c>
      <c r="D16" s="732">
        <f t="shared" ref="D16:R16" ca="1" si="0">SUM(D9:D15)</f>
        <v>0</v>
      </c>
      <c r="E16" s="732">
        <f t="shared" ca="1" si="0"/>
        <v>57881.008064000009</v>
      </c>
      <c r="F16" s="732">
        <f t="shared" si="0"/>
        <v>2644.9513448460725</v>
      </c>
      <c r="G16" s="732">
        <f t="shared" ca="1" si="0"/>
        <v>44957.844091049476</v>
      </c>
      <c r="H16" s="732">
        <f t="shared" si="0"/>
        <v>0</v>
      </c>
      <c r="I16" s="732">
        <f t="shared" si="0"/>
        <v>0</v>
      </c>
      <c r="J16" s="732">
        <f t="shared" si="0"/>
        <v>0</v>
      </c>
      <c r="K16" s="732">
        <f t="shared" si="0"/>
        <v>47.020420030843894</v>
      </c>
      <c r="L16" s="732">
        <f t="shared" si="0"/>
        <v>0</v>
      </c>
      <c r="M16" s="732">
        <f t="shared" ca="1" si="0"/>
        <v>0</v>
      </c>
      <c r="N16" s="732">
        <f t="shared" si="0"/>
        <v>0</v>
      </c>
      <c r="O16" s="732">
        <f t="shared" ca="1" si="0"/>
        <v>13472.682758837496</v>
      </c>
      <c r="P16" s="732">
        <f t="shared" si="0"/>
        <v>239.19000000000003</v>
      </c>
      <c r="Q16" s="732">
        <f t="shared" si="0"/>
        <v>457.6</v>
      </c>
      <c r="R16" s="732">
        <f t="shared" ca="1" si="0"/>
        <v>169549.41181226762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1157.288474662339</v>
      </c>
      <c r="I19" s="1012">
        <f>transport!H54</f>
        <v>0</v>
      </c>
      <c r="J19" s="1012">
        <f>transport!I54</f>
        <v>0</v>
      </c>
      <c r="K19" s="1012">
        <f>transport!J54</f>
        <v>0</v>
      </c>
      <c r="L19" s="1012">
        <f>transport!K54</f>
        <v>0</v>
      </c>
      <c r="M19" s="1012">
        <f>transport!L54</f>
        <v>0</v>
      </c>
      <c r="N19" s="1012">
        <f>transport!M54</f>
        <v>35.896499418979445</v>
      </c>
      <c r="O19" s="1012">
        <f>transport!N54</f>
        <v>0</v>
      </c>
      <c r="P19" s="1012">
        <f>transport!O54</f>
        <v>0</v>
      </c>
      <c r="Q19" s="1013">
        <f>transport!P54</f>
        <v>0</v>
      </c>
      <c r="R19" s="700">
        <f>SUM(C19:Q19)</f>
        <v>1193.1849740813184</v>
      </c>
      <c r="S19" s="67"/>
    </row>
    <row r="20" spans="1:19" s="473" customFormat="1">
      <c r="A20" s="809" t="s">
        <v>307</v>
      </c>
      <c r="B20" s="814"/>
      <c r="C20" s="1012">
        <f>transport!B14</f>
        <v>13.071974632022663</v>
      </c>
      <c r="D20" s="1012">
        <f>transport!C14</f>
        <v>0</v>
      </c>
      <c r="E20" s="1012">
        <f>transport!D14</f>
        <v>34.946744330582597</v>
      </c>
      <c r="F20" s="1012">
        <f>transport!E14</f>
        <v>131.42893101901007</v>
      </c>
      <c r="G20" s="1012">
        <f>transport!F14</f>
        <v>0</v>
      </c>
      <c r="H20" s="1012">
        <f>transport!G14</f>
        <v>38458.09171262788</v>
      </c>
      <c r="I20" s="1012">
        <f>transport!H14</f>
        <v>9294.4454125860157</v>
      </c>
      <c r="J20" s="1012">
        <f>transport!I14</f>
        <v>0</v>
      </c>
      <c r="K20" s="1012">
        <f>transport!J14</f>
        <v>0</v>
      </c>
      <c r="L20" s="1012">
        <f>transport!K14</f>
        <v>0</v>
      </c>
      <c r="M20" s="1012">
        <f>transport!L14</f>
        <v>0</v>
      </c>
      <c r="N20" s="1012">
        <f>transport!M14</f>
        <v>1490.1534013006647</v>
      </c>
      <c r="O20" s="1012">
        <f>transport!N14</f>
        <v>0</v>
      </c>
      <c r="P20" s="1012">
        <f>transport!O14</f>
        <v>0</v>
      </c>
      <c r="Q20" s="1013">
        <f>transport!P14</f>
        <v>0</v>
      </c>
      <c r="R20" s="700">
        <f>SUM(C20:Q20)</f>
        <v>49422.138176496177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13.071974632022663</v>
      </c>
      <c r="D22" s="812">
        <f t="shared" ref="D22:R22" si="1">SUM(D18:D21)</f>
        <v>0</v>
      </c>
      <c r="E22" s="812">
        <f t="shared" si="1"/>
        <v>34.946744330582597</v>
      </c>
      <c r="F22" s="812">
        <f t="shared" si="1"/>
        <v>131.42893101901007</v>
      </c>
      <c r="G22" s="812">
        <f t="shared" si="1"/>
        <v>0</v>
      </c>
      <c r="H22" s="812">
        <f t="shared" si="1"/>
        <v>39615.380187290219</v>
      </c>
      <c r="I22" s="812">
        <f t="shared" si="1"/>
        <v>9294.4454125860157</v>
      </c>
      <c r="J22" s="812">
        <f t="shared" si="1"/>
        <v>0</v>
      </c>
      <c r="K22" s="812">
        <f t="shared" si="1"/>
        <v>0</v>
      </c>
      <c r="L22" s="812">
        <f t="shared" si="1"/>
        <v>0</v>
      </c>
      <c r="M22" s="812">
        <f t="shared" si="1"/>
        <v>0</v>
      </c>
      <c r="N22" s="812">
        <f t="shared" si="1"/>
        <v>1526.049900719644</v>
      </c>
      <c r="O22" s="812">
        <f t="shared" si="1"/>
        <v>0</v>
      </c>
      <c r="P22" s="812">
        <f t="shared" si="1"/>
        <v>0</v>
      </c>
      <c r="Q22" s="812">
        <f t="shared" si="1"/>
        <v>0</v>
      </c>
      <c r="R22" s="812">
        <f t="shared" si="1"/>
        <v>50615.323150577497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443.68799999999999</v>
      </c>
      <c r="D24" s="1012">
        <f>+landbouw!C8</f>
        <v>0</v>
      </c>
      <c r="E24" s="1012">
        <f>+landbouw!D8</f>
        <v>22.697928000000001</v>
      </c>
      <c r="F24" s="1012">
        <f>+landbouw!E8</f>
        <v>11.44100995503725</v>
      </c>
      <c r="G24" s="1012">
        <f>+landbouw!F8</f>
        <v>1621.7641362750126</v>
      </c>
      <c r="H24" s="1012">
        <f>+landbouw!G8</f>
        <v>0</v>
      </c>
      <c r="I24" s="1012">
        <f>+landbouw!H8</f>
        <v>0</v>
      </c>
      <c r="J24" s="1012">
        <f>+landbouw!I8</f>
        <v>0</v>
      </c>
      <c r="K24" s="1012">
        <f>+landbouw!J8</f>
        <v>63.874750201696109</v>
      </c>
      <c r="L24" s="1012">
        <f>+landbouw!K8</f>
        <v>0</v>
      </c>
      <c r="M24" s="1012">
        <f>+landbouw!L8</f>
        <v>0</v>
      </c>
      <c r="N24" s="1012">
        <f>+landbouw!M8</f>
        <v>0</v>
      </c>
      <c r="O24" s="1012">
        <f>+landbouw!N8</f>
        <v>0</v>
      </c>
      <c r="P24" s="1012">
        <f>+landbouw!O8</f>
        <v>0</v>
      </c>
      <c r="Q24" s="1013">
        <f>+landbouw!P8</f>
        <v>0</v>
      </c>
      <c r="R24" s="700">
        <f>SUM(C24:Q24)</f>
        <v>2163.4658244317461</v>
      </c>
      <c r="S24" s="67"/>
    </row>
    <row r="25" spans="1:19" s="473" customFormat="1" ht="15" thickBot="1">
      <c r="A25" s="831" t="s">
        <v>848</v>
      </c>
      <c r="B25" s="1015"/>
      <c r="C25" s="1016">
        <f>IF(Onbekend_ele_kWh="---",0,Onbekend_ele_kWh)/1000+IF(REST_rest_ele_kWh="---",0,REST_rest_ele_kWh)/1000</f>
        <v>390.48399999999998</v>
      </c>
      <c r="D25" s="1016"/>
      <c r="E25" s="1016">
        <f>IF(onbekend_gas_kWh="---",0,onbekend_gas_kWh)/1000+IF(REST_rest_gas_kWh="---",0,REST_rest_gas_kWh)/1000</f>
        <v>995.32799999999997</v>
      </c>
      <c r="F25" s="1016"/>
      <c r="G25" s="1016"/>
      <c r="H25" s="1016"/>
      <c r="I25" s="1016"/>
      <c r="J25" s="1016"/>
      <c r="K25" s="1016"/>
      <c r="L25" s="1016"/>
      <c r="M25" s="1016"/>
      <c r="N25" s="1016"/>
      <c r="O25" s="1016"/>
      <c r="P25" s="1016"/>
      <c r="Q25" s="1017"/>
      <c r="R25" s="700">
        <f>SUM(C25:Q25)</f>
        <v>1385.8119999999999</v>
      </c>
      <c r="S25" s="67"/>
    </row>
    <row r="26" spans="1:19" s="473" customFormat="1" ht="15.75" thickBot="1">
      <c r="A26" s="705" t="s">
        <v>849</v>
      </c>
      <c r="B26" s="817"/>
      <c r="C26" s="812">
        <f>SUM(C24:C25)</f>
        <v>834.17200000000003</v>
      </c>
      <c r="D26" s="812">
        <f t="shared" ref="D26:R26" si="2">SUM(D24:D25)</f>
        <v>0</v>
      </c>
      <c r="E26" s="812">
        <f t="shared" si="2"/>
        <v>1018.025928</v>
      </c>
      <c r="F26" s="812">
        <f t="shared" si="2"/>
        <v>11.44100995503725</v>
      </c>
      <c r="G26" s="812">
        <f t="shared" si="2"/>
        <v>1621.7641362750126</v>
      </c>
      <c r="H26" s="812">
        <f t="shared" si="2"/>
        <v>0</v>
      </c>
      <c r="I26" s="812">
        <f t="shared" si="2"/>
        <v>0</v>
      </c>
      <c r="J26" s="812">
        <f t="shared" si="2"/>
        <v>0</v>
      </c>
      <c r="K26" s="812">
        <f t="shared" si="2"/>
        <v>63.874750201696109</v>
      </c>
      <c r="L26" s="812">
        <f t="shared" si="2"/>
        <v>0</v>
      </c>
      <c r="M26" s="812">
        <f t="shared" si="2"/>
        <v>0</v>
      </c>
      <c r="N26" s="812">
        <f t="shared" si="2"/>
        <v>0</v>
      </c>
      <c r="O26" s="812">
        <f t="shared" si="2"/>
        <v>0</v>
      </c>
      <c r="P26" s="812">
        <f t="shared" si="2"/>
        <v>0</v>
      </c>
      <c r="Q26" s="812">
        <f t="shared" si="2"/>
        <v>0</v>
      </c>
      <c r="R26" s="812">
        <f t="shared" si="2"/>
        <v>3549.277824431746</v>
      </c>
      <c r="S26" s="67"/>
    </row>
    <row r="27" spans="1:19" s="473" customFormat="1" ht="17.25" thickTop="1" thickBot="1">
      <c r="A27" s="706" t="s">
        <v>116</v>
      </c>
      <c r="B27" s="805"/>
      <c r="C27" s="707">
        <f ca="1">C22+C16+C26</f>
        <v>50696.359108135774</v>
      </c>
      <c r="D27" s="707">
        <f t="shared" ref="D27:R27" ca="1" si="3">D22+D16+D26</f>
        <v>0</v>
      </c>
      <c r="E27" s="707">
        <f t="shared" ca="1" si="3"/>
        <v>58933.980736330595</v>
      </c>
      <c r="F27" s="707">
        <f t="shared" si="3"/>
        <v>2787.82128582012</v>
      </c>
      <c r="G27" s="707">
        <f t="shared" ca="1" si="3"/>
        <v>46579.60822732449</v>
      </c>
      <c r="H27" s="707">
        <f t="shared" si="3"/>
        <v>39615.380187290219</v>
      </c>
      <c r="I27" s="707">
        <f t="shared" si="3"/>
        <v>9294.4454125860157</v>
      </c>
      <c r="J27" s="707">
        <f t="shared" si="3"/>
        <v>0</v>
      </c>
      <c r="K27" s="707">
        <f t="shared" si="3"/>
        <v>110.89517023254001</v>
      </c>
      <c r="L27" s="707">
        <f t="shared" si="3"/>
        <v>0</v>
      </c>
      <c r="M27" s="707">
        <f t="shared" ca="1" si="3"/>
        <v>0</v>
      </c>
      <c r="N27" s="707">
        <f t="shared" si="3"/>
        <v>1526.049900719644</v>
      </c>
      <c r="O27" s="707">
        <f t="shared" ca="1" si="3"/>
        <v>13472.682758837496</v>
      </c>
      <c r="P27" s="707">
        <f t="shared" si="3"/>
        <v>239.19000000000003</v>
      </c>
      <c r="Q27" s="707">
        <f t="shared" si="3"/>
        <v>457.6</v>
      </c>
      <c r="R27" s="707">
        <f t="shared" ca="1" si="3"/>
        <v>223714.01278727685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3033.115508124753</v>
      </c>
      <c r="D40" s="1012">
        <f ca="1">tertiair!C20</f>
        <v>0</v>
      </c>
      <c r="E40" s="1012">
        <f ca="1">tertiair!D20</f>
        <v>5156.4684926920008</v>
      </c>
      <c r="F40" s="1012">
        <f>tertiair!E20</f>
        <v>98.010146648422591</v>
      </c>
      <c r="G40" s="1012">
        <f ca="1">tertiair!F20</f>
        <v>1065.9966875362161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9353.5908350013924</v>
      </c>
    </row>
    <row r="41" spans="1:18">
      <c r="A41" s="822" t="s">
        <v>225</v>
      </c>
      <c r="B41" s="829"/>
      <c r="C41" s="1012">
        <f ca="1">huishoudens!B12</f>
        <v>3050.8430621749676</v>
      </c>
      <c r="D41" s="1012">
        <f ca="1">huishoudens!C12</f>
        <v>0</v>
      </c>
      <c r="E41" s="1012">
        <f>huishoudens!D12</f>
        <v>4717.5744042680008</v>
      </c>
      <c r="F41" s="1012">
        <f>huishoudens!E12</f>
        <v>208.79176681549285</v>
      </c>
      <c r="G41" s="1012">
        <f>huishoudens!F12</f>
        <v>9433.1640718368453</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17410.373305095309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2158.4517724904886</v>
      </c>
      <c r="D43" s="1012">
        <f ca="1">industrie!C22</f>
        <v>0</v>
      </c>
      <c r="E43" s="1012">
        <f>industrie!D22</f>
        <v>1817.9207319680004</v>
      </c>
      <c r="F43" s="1012">
        <f>industrie!E22</f>
        <v>293.60204181614301</v>
      </c>
      <c r="G43" s="1012">
        <f>industrie!F22</f>
        <v>1504.5836129371485</v>
      </c>
      <c r="H43" s="1012">
        <f>industrie!G22</f>
        <v>0</v>
      </c>
      <c r="I43" s="1012">
        <f>industrie!H22</f>
        <v>0</v>
      </c>
      <c r="J43" s="1012">
        <f>industrie!I22</f>
        <v>0</v>
      </c>
      <c r="K43" s="1012">
        <f>industrie!J22</f>
        <v>16.645228690918739</v>
      </c>
      <c r="L43" s="1012">
        <f>industrie!K22</f>
        <v>0</v>
      </c>
      <c r="M43" s="1012">
        <f>industrie!L22</f>
        <v>0</v>
      </c>
      <c r="N43" s="1012">
        <f>industrie!M22</f>
        <v>0</v>
      </c>
      <c r="O43" s="1012">
        <f>industrie!N22</f>
        <v>0</v>
      </c>
      <c r="P43" s="1012">
        <f>industrie!O22</f>
        <v>0</v>
      </c>
      <c r="Q43" s="774">
        <f>industrie!P22</f>
        <v>0</v>
      </c>
      <c r="R43" s="849">
        <f t="shared" ca="1" si="4"/>
        <v>5791.2033879026994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8242.4103427902101</v>
      </c>
      <c r="D46" s="732">
        <f t="shared" ref="D46:Q46" ca="1" si="5">SUM(D39:D45)</f>
        <v>0</v>
      </c>
      <c r="E46" s="732">
        <f t="shared" ca="1" si="5"/>
        <v>11691.963628928002</v>
      </c>
      <c r="F46" s="732">
        <f t="shared" si="5"/>
        <v>600.40395528005843</v>
      </c>
      <c r="G46" s="732">
        <f t="shared" ca="1" si="5"/>
        <v>12003.744372310211</v>
      </c>
      <c r="H46" s="732">
        <f t="shared" si="5"/>
        <v>0</v>
      </c>
      <c r="I46" s="732">
        <f t="shared" si="5"/>
        <v>0</v>
      </c>
      <c r="J46" s="732">
        <f t="shared" si="5"/>
        <v>0</v>
      </c>
      <c r="K46" s="732">
        <f t="shared" si="5"/>
        <v>16.645228690918739</v>
      </c>
      <c r="L46" s="732">
        <f t="shared" si="5"/>
        <v>0</v>
      </c>
      <c r="M46" s="732">
        <f t="shared" ca="1" si="5"/>
        <v>0</v>
      </c>
      <c r="N46" s="732">
        <f t="shared" si="5"/>
        <v>0</v>
      </c>
      <c r="O46" s="732">
        <f t="shared" ca="1" si="5"/>
        <v>0</v>
      </c>
      <c r="P46" s="732">
        <f t="shared" si="5"/>
        <v>0</v>
      </c>
      <c r="Q46" s="732">
        <f t="shared" si="5"/>
        <v>0</v>
      </c>
      <c r="R46" s="732">
        <f ca="1">SUM(R39:R45)</f>
        <v>32555.167527999401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308.99602273484453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308.99602273484453</v>
      </c>
    </row>
    <row r="50" spans="1:18">
      <c r="A50" s="825" t="s">
        <v>307</v>
      </c>
      <c r="B50" s="835"/>
      <c r="C50" s="703">
        <f ca="1">transport!B18</f>
        <v>2.1614140716263059</v>
      </c>
      <c r="D50" s="703">
        <f>transport!C18</f>
        <v>0</v>
      </c>
      <c r="E50" s="703">
        <f>transport!D18</f>
        <v>7.0592423547776848</v>
      </c>
      <c r="F50" s="703">
        <f>transport!E18</f>
        <v>29.834367341315286</v>
      </c>
      <c r="G50" s="703">
        <f>transport!F18</f>
        <v>0</v>
      </c>
      <c r="H50" s="703">
        <f>transport!G18</f>
        <v>10268.310487271645</v>
      </c>
      <c r="I50" s="703">
        <f>transport!H18</f>
        <v>2314.316907733918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12621.682418773282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2.1614140716263059</v>
      </c>
      <c r="D52" s="732">
        <f t="shared" ref="D52:Q52" ca="1" si="6">SUM(D48:D51)</f>
        <v>0</v>
      </c>
      <c r="E52" s="732">
        <f t="shared" si="6"/>
        <v>7.0592423547776848</v>
      </c>
      <c r="F52" s="732">
        <f t="shared" si="6"/>
        <v>29.834367341315286</v>
      </c>
      <c r="G52" s="732">
        <f t="shared" si="6"/>
        <v>0</v>
      </c>
      <c r="H52" s="732">
        <f t="shared" si="6"/>
        <v>10577.306510006489</v>
      </c>
      <c r="I52" s="732">
        <f t="shared" si="6"/>
        <v>2314.316907733918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12930.678441508126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73.362557196406115</v>
      </c>
      <c r="D54" s="703">
        <f ca="1">+landbouw!C12</f>
        <v>0</v>
      </c>
      <c r="E54" s="703">
        <f>+landbouw!D12</f>
        <v>4.5849814560000004</v>
      </c>
      <c r="F54" s="703">
        <f>+landbouw!E12</f>
        <v>2.5971092597934557</v>
      </c>
      <c r="G54" s="703">
        <f>+landbouw!F12</f>
        <v>433.01102438542836</v>
      </c>
      <c r="H54" s="703">
        <f>+landbouw!G12</f>
        <v>0</v>
      </c>
      <c r="I54" s="703">
        <f>+landbouw!H12</f>
        <v>0</v>
      </c>
      <c r="J54" s="703">
        <f>+landbouw!I12</f>
        <v>0</v>
      </c>
      <c r="K54" s="703">
        <f>+landbouw!J12</f>
        <v>22.611661571400422</v>
      </c>
      <c r="L54" s="703">
        <f>+landbouw!K12</f>
        <v>0</v>
      </c>
      <c r="M54" s="703">
        <f>+landbouw!L12</f>
        <v>0</v>
      </c>
      <c r="N54" s="703">
        <f>+landbouw!M12</f>
        <v>0</v>
      </c>
      <c r="O54" s="703">
        <f>+landbouw!N12</f>
        <v>0</v>
      </c>
      <c r="P54" s="703">
        <f>+landbouw!O12</f>
        <v>0</v>
      </c>
      <c r="Q54" s="704">
        <f>+landbouw!P12</f>
        <v>0</v>
      </c>
      <c r="R54" s="731">
        <f ca="1">SUM(C54:Q54)</f>
        <v>536.16733386902831</v>
      </c>
    </row>
    <row r="55" spans="1:18" ht="15" thickBot="1">
      <c r="A55" s="825" t="s">
        <v>848</v>
      </c>
      <c r="B55" s="835"/>
      <c r="C55" s="703">
        <f ca="1">C25*'EF ele_warmte'!B12</f>
        <v>64.565426119889295</v>
      </c>
      <c r="D55" s="703"/>
      <c r="E55" s="703">
        <f>E25*EF_CO2_aardgas</f>
        <v>201.05625600000002</v>
      </c>
      <c r="F55" s="703"/>
      <c r="G55" s="703"/>
      <c r="H55" s="703"/>
      <c r="I55" s="703"/>
      <c r="J55" s="703"/>
      <c r="K55" s="703"/>
      <c r="L55" s="703"/>
      <c r="M55" s="703"/>
      <c r="N55" s="703"/>
      <c r="O55" s="703"/>
      <c r="P55" s="703"/>
      <c r="Q55" s="704"/>
      <c r="R55" s="731">
        <f ca="1">SUM(C55:Q55)</f>
        <v>265.62168211988933</v>
      </c>
    </row>
    <row r="56" spans="1:18" ht="15.75" thickBot="1">
      <c r="A56" s="823" t="s">
        <v>849</v>
      </c>
      <c r="B56" s="836"/>
      <c r="C56" s="732">
        <f ca="1">SUM(C54:C55)</f>
        <v>137.92798331629541</v>
      </c>
      <c r="D56" s="732">
        <f t="shared" ref="D56:Q56" ca="1" si="7">SUM(D54:D55)</f>
        <v>0</v>
      </c>
      <c r="E56" s="732">
        <f t="shared" si="7"/>
        <v>205.64123745600003</v>
      </c>
      <c r="F56" s="732">
        <f t="shared" si="7"/>
        <v>2.5971092597934557</v>
      </c>
      <c r="G56" s="732">
        <f t="shared" si="7"/>
        <v>433.01102438542836</v>
      </c>
      <c r="H56" s="732">
        <f t="shared" si="7"/>
        <v>0</v>
      </c>
      <c r="I56" s="732">
        <f t="shared" si="7"/>
        <v>0</v>
      </c>
      <c r="J56" s="732">
        <f t="shared" si="7"/>
        <v>0</v>
      </c>
      <c r="K56" s="732">
        <f t="shared" si="7"/>
        <v>22.611661571400422</v>
      </c>
      <c r="L56" s="732">
        <f t="shared" si="7"/>
        <v>0</v>
      </c>
      <c r="M56" s="732">
        <f t="shared" si="7"/>
        <v>0</v>
      </c>
      <c r="N56" s="732">
        <f t="shared" si="7"/>
        <v>0</v>
      </c>
      <c r="O56" s="732">
        <f t="shared" si="7"/>
        <v>0</v>
      </c>
      <c r="P56" s="732">
        <f t="shared" si="7"/>
        <v>0</v>
      </c>
      <c r="Q56" s="733">
        <f t="shared" si="7"/>
        <v>0</v>
      </c>
      <c r="R56" s="734">
        <f ca="1">SUM(R54:R55)</f>
        <v>801.78901598891764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8382.4997401781311</v>
      </c>
      <c r="D61" s="740">
        <f t="shared" ref="D61:Q61" ca="1" si="8">D46+D52+D56</f>
        <v>0</v>
      </c>
      <c r="E61" s="740">
        <f t="shared" ca="1" si="8"/>
        <v>11904.66410873878</v>
      </c>
      <c r="F61" s="740">
        <f t="shared" si="8"/>
        <v>632.83543188116721</v>
      </c>
      <c r="G61" s="740">
        <f t="shared" ca="1" si="8"/>
        <v>12436.75539669564</v>
      </c>
      <c r="H61" s="740">
        <f t="shared" si="8"/>
        <v>10577.306510006489</v>
      </c>
      <c r="I61" s="740">
        <f t="shared" si="8"/>
        <v>2314.316907733918</v>
      </c>
      <c r="J61" s="740">
        <f t="shared" si="8"/>
        <v>0</v>
      </c>
      <c r="K61" s="740">
        <f t="shared" si="8"/>
        <v>39.25689026231916</v>
      </c>
      <c r="L61" s="740">
        <f t="shared" si="8"/>
        <v>0</v>
      </c>
      <c r="M61" s="740">
        <f t="shared" ca="1" si="8"/>
        <v>0</v>
      </c>
      <c r="N61" s="740">
        <f t="shared" si="8"/>
        <v>0</v>
      </c>
      <c r="O61" s="740">
        <f t="shared" ca="1" si="8"/>
        <v>0</v>
      </c>
      <c r="P61" s="740">
        <f t="shared" si="8"/>
        <v>0</v>
      </c>
      <c r="Q61" s="740">
        <f t="shared" si="8"/>
        <v>0</v>
      </c>
      <c r="R61" s="740">
        <f ca="1">R46+R52+R56</f>
        <v>46287.63498549645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0.16534717458305412</v>
      </c>
      <c r="D63" s="781">
        <f t="shared" ca="1" si="9"/>
        <v>0</v>
      </c>
      <c r="E63" s="1023">
        <f t="shared" ca="1" si="9"/>
        <v>0.20199999999999999</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12766.496030406681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12766.496030406681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12766.496030406681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12766.496030406681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18451.135133503747</v>
      </c>
      <c r="C4" s="477">
        <f>huishoudens!C8</f>
        <v>0</v>
      </c>
      <c r="D4" s="477">
        <f>huishoudens!D8</f>
        <v>23354.328734000002</v>
      </c>
      <c r="E4" s="477">
        <f>huishoudens!E8</f>
        <v>919.78751901098167</v>
      </c>
      <c r="F4" s="477">
        <f>huishoudens!F8</f>
        <v>35330.202516242862</v>
      </c>
      <c r="G4" s="477">
        <f>huishoudens!G8</f>
        <v>0</v>
      </c>
      <c r="H4" s="477">
        <f>huishoudens!H8</f>
        <v>0</v>
      </c>
      <c r="I4" s="477">
        <f>huishoudens!I8</f>
        <v>0</v>
      </c>
      <c r="J4" s="477">
        <f>huishoudens!J8</f>
        <v>0</v>
      </c>
      <c r="K4" s="477">
        <f>huishoudens!K8</f>
        <v>0</v>
      </c>
      <c r="L4" s="477">
        <f>huishoudens!L8</f>
        <v>0</v>
      </c>
      <c r="M4" s="477">
        <f>huishoudens!M8</f>
        <v>0</v>
      </c>
      <c r="N4" s="477">
        <f>huishoudens!N8</f>
        <v>9974.0730351902348</v>
      </c>
      <c r="O4" s="477">
        <f>huishoudens!O8</f>
        <v>236.06333333333336</v>
      </c>
      <c r="P4" s="478">
        <f>huishoudens!P8</f>
        <v>457.6</v>
      </c>
      <c r="Q4" s="479">
        <f>SUM(B4:P4)</f>
        <v>88723.190271281172</v>
      </c>
    </row>
    <row r="5" spans="1:17">
      <c r="A5" s="476" t="s">
        <v>156</v>
      </c>
      <c r="B5" s="477">
        <f ca="1">tertiair!B16</f>
        <v>17619.923000000003</v>
      </c>
      <c r="C5" s="477">
        <f ca="1">tertiair!C16</f>
        <v>0</v>
      </c>
      <c r="D5" s="477">
        <f ca="1">tertiair!D16</f>
        <v>25527.071746000001</v>
      </c>
      <c r="E5" s="477">
        <f>tertiair!E16</f>
        <v>431.76276056573829</v>
      </c>
      <c r="F5" s="477">
        <f ca="1">tertiair!F16</f>
        <v>3992.4969570644794</v>
      </c>
      <c r="G5" s="477">
        <f>tertiair!G16</f>
        <v>0</v>
      </c>
      <c r="H5" s="477">
        <f>tertiair!H16</f>
        <v>0</v>
      </c>
      <c r="I5" s="477">
        <f>tertiair!I16</f>
        <v>0</v>
      </c>
      <c r="J5" s="477">
        <f>tertiair!J16</f>
        <v>0</v>
      </c>
      <c r="K5" s="477">
        <f>tertiair!K16</f>
        <v>0</v>
      </c>
      <c r="L5" s="477">
        <f ca="1">tertiair!L16</f>
        <v>0</v>
      </c>
      <c r="M5" s="477">
        <f>tertiair!M16</f>
        <v>0</v>
      </c>
      <c r="N5" s="477">
        <f ca="1">tertiair!N16</f>
        <v>911.06802705244786</v>
      </c>
      <c r="O5" s="477">
        <f>tertiair!O16</f>
        <v>3.1266666666666669</v>
      </c>
      <c r="P5" s="478">
        <f>tertiair!P16</f>
        <v>0</v>
      </c>
      <c r="Q5" s="476">
        <f t="shared" ref="Q5:Q14" ca="1" si="0">SUM(B5:P5)</f>
        <v>48485.449157349336</v>
      </c>
    </row>
    <row r="6" spans="1:17">
      <c r="A6" s="476" t="s">
        <v>194</v>
      </c>
      <c r="B6" s="477">
        <f>'openbare verlichting'!B8</f>
        <v>723.99800000000005</v>
      </c>
      <c r="C6" s="477"/>
      <c r="D6" s="477"/>
      <c r="E6" s="477"/>
      <c r="F6" s="477"/>
      <c r="G6" s="477"/>
      <c r="H6" s="477"/>
      <c r="I6" s="477"/>
      <c r="J6" s="477"/>
      <c r="K6" s="477"/>
      <c r="L6" s="477"/>
      <c r="M6" s="477"/>
      <c r="N6" s="477"/>
      <c r="O6" s="477"/>
      <c r="P6" s="478"/>
      <c r="Q6" s="476">
        <f t="shared" si="0"/>
        <v>723.99800000000005</v>
      </c>
    </row>
    <row r="7" spans="1:17">
      <c r="A7" s="476" t="s">
        <v>112</v>
      </c>
      <c r="B7" s="477">
        <f>landbouw!B8</f>
        <v>443.68799999999999</v>
      </c>
      <c r="C7" s="477">
        <f>landbouw!C8</f>
        <v>0</v>
      </c>
      <c r="D7" s="477">
        <f>landbouw!D8</f>
        <v>22.697928000000001</v>
      </c>
      <c r="E7" s="477">
        <f>landbouw!E8</f>
        <v>11.44100995503725</v>
      </c>
      <c r="F7" s="477">
        <f>landbouw!F8</f>
        <v>1621.7641362750126</v>
      </c>
      <c r="G7" s="477">
        <f>landbouw!G8</f>
        <v>0</v>
      </c>
      <c r="H7" s="477">
        <f>landbouw!H8</f>
        <v>0</v>
      </c>
      <c r="I7" s="477">
        <f>landbouw!I8</f>
        <v>0</v>
      </c>
      <c r="J7" s="477">
        <f>landbouw!J8</f>
        <v>63.874750201696109</v>
      </c>
      <c r="K7" s="477">
        <f>landbouw!K8</f>
        <v>0</v>
      </c>
      <c r="L7" s="477">
        <f>landbouw!L8</f>
        <v>0</v>
      </c>
      <c r="M7" s="477">
        <f>landbouw!M8</f>
        <v>0</v>
      </c>
      <c r="N7" s="477">
        <f>landbouw!N8</f>
        <v>0</v>
      </c>
      <c r="O7" s="477">
        <f>landbouw!O8</f>
        <v>0</v>
      </c>
      <c r="P7" s="478">
        <f>landbouw!P8</f>
        <v>0</v>
      </c>
      <c r="Q7" s="476">
        <f t="shared" si="0"/>
        <v>2163.4658244317461</v>
      </c>
    </row>
    <row r="8" spans="1:17">
      <c r="A8" s="476" t="s">
        <v>638</v>
      </c>
      <c r="B8" s="477">
        <f>industrie!B18</f>
        <v>13054.058999999999</v>
      </c>
      <c r="C8" s="477">
        <f>industrie!C18</f>
        <v>0</v>
      </c>
      <c r="D8" s="477">
        <f>industrie!D18</f>
        <v>8999.6075840000012</v>
      </c>
      <c r="E8" s="477">
        <f>industrie!E18</f>
        <v>1293.4010652693526</v>
      </c>
      <c r="F8" s="477">
        <f>industrie!F18</f>
        <v>5635.1446177421285</v>
      </c>
      <c r="G8" s="477">
        <f>industrie!G18</f>
        <v>0</v>
      </c>
      <c r="H8" s="477">
        <f>industrie!H18</f>
        <v>0</v>
      </c>
      <c r="I8" s="477">
        <f>industrie!I18</f>
        <v>0</v>
      </c>
      <c r="J8" s="477">
        <f>industrie!J18</f>
        <v>47.020420030843894</v>
      </c>
      <c r="K8" s="477">
        <f>industrie!K18</f>
        <v>0</v>
      </c>
      <c r="L8" s="477">
        <f>industrie!L18</f>
        <v>0</v>
      </c>
      <c r="M8" s="477">
        <f>industrie!M18</f>
        <v>0</v>
      </c>
      <c r="N8" s="477">
        <f>industrie!N18</f>
        <v>2587.5416965948139</v>
      </c>
      <c r="O8" s="477">
        <f>industrie!O18</f>
        <v>0</v>
      </c>
      <c r="P8" s="478">
        <f>industrie!P18</f>
        <v>0</v>
      </c>
      <c r="Q8" s="476">
        <f t="shared" si="0"/>
        <v>31616.774383637137</v>
      </c>
    </row>
    <row r="9" spans="1:17" s="482" customFormat="1">
      <c r="A9" s="480" t="s">
        <v>564</v>
      </c>
      <c r="B9" s="481">
        <f>transport!B14</f>
        <v>13.071974632022663</v>
      </c>
      <c r="C9" s="481">
        <f>transport!C14</f>
        <v>0</v>
      </c>
      <c r="D9" s="481">
        <f>transport!D14</f>
        <v>34.946744330582597</v>
      </c>
      <c r="E9" s="481">
        <f>transport!E14</f>
        <v>131.42893101901007</v>
      </c>
      <c r="F9" s="481">
        <f>transport!F14</f>
        <v>0</v>
      </c>
      <c r="G9" s="481">
        <f>transport!G14</f>
        <v>38458.09171262788</v>
      </c>
      <c r="H9" s="481">
        <f>transport!H14</f>
        <v>9294.4454125860157</v>
      </c>
      <c r="I9" s="481">
        <f>transport!I14</f>
        <v>0</v>
      </c>
      <c r="J9" s="481">
        <f>transport!J14</f>
        <v>0</v>
      </c>
      <c r="K9" s="481">
        <f>transport!K14</f>
        <v>0</v>
      </c>
      <c r="L9" s="481">
        <f>transport!L14</f>
        <v>0</v>
      </c>
      <c r="M9" s="481">
        <f>transport!M14</f>
        <v>1490.1534013006647</v>
      </c>
      <c r="N9" s="481">
        <f>transport!N14</f>
        <v>0</v>
      </c>
      <c r="O9" s="481">
        <f>transport!O14</f>
        <v>0</v>
      </c>
      <c r="P9" s="481">
        <f>transport!P14</f>
        <v>0</v>
      </c>
      <c r="Q9" s="480">
        <f>SUM(B9:P9)</f>
        <v>49422.138176496177</v>
      </c>
    </row>
    <row r="10" spans="1:17">
      <c r="A10" s="476" t="s">
        <v>554</v>
      </c>
      <c r="B10" s="477">
        <f>transport!B54</f>
        <v>0</v>
      </c>
      <c r="C10" s="477">
        <f>transport!C54</f>
        <v>0</v>
      </c>
      <c r="D10" s="477">
        <f>transport!D54</f>
        <v>0</v>
      </c>
      <c r="E10" s="477">
        <f>transport!E54</f>
        <v>0</v>
      </c>
      <c r="F10" s="477">
        <f>transport!F54</f>
        <v>0</v>
      </c>
      <c r="G10" s="477">
        <f>transport!G54</f>
        <v>1157.288474662339</v>
      </c>
      <c r="H10" s="477">
        <f>transport!H54</f>
        <v>0</v>
      </c>
      <c r="I10" s="477">
        <f>transport!I54</f>
        <v>0</v>
      </c>
      <c r="J10" s="477">
        <f>transport!J54</f>
        <v>0</v>
      </c>
      <c r="K10" s="477">
        <f>transport!K54</f>
        <v>0</v>
      </c>
      <c r="L10" s="477">
        <f>transport!L54</f>
        <v>0</v>
      </c>
      <c r="M10" s="477">
        <f>transport!M54</f>
        <v>35.896499418979445</v>
      </c>
      <c r="N10" s="477">
        <f>transport!N54</f>
        <v>0</v>
      </c>
      <c r="O10" s="477">
        <f>transport!O54</f>
        <v>0</v>
      </c>
      <c r="P10" s="478">
        <f>transport!P54</f>
        <v>0</v>
      </c>
      <c r="Q10" s="476">
        <f t="shared" si="0"/>
        <v>1193.1849740813184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390.48399999999998</v>
      </c>
      <c r="C14" s="484"/>
      <c r="D14" s="484">
        <f>'SEAP template'!E25</f>
        <v>995.32799999999997</v>
      </c>
      <c r="E14" s="484"/>
      <c r="F14" s="484"/>
      <c r="G14" s="484"/>
      <c r="H14" s="484"/>
      <c r="I14" s="484"/>
      <c r="J14" s="484"/>
      <c r="K14" s="484"/>
      <c r="L14" s="484"/>
      <c r="M14" s="484"/>
      <c r="N14" s="484"/>
      <c r="O14" s="484"/>
      <c r="P14" s="485"/>
      <c r="Q14" s="476">
        <f t="shared" si="0"/>
        <v>1385.8119999999999</v>
      </c>
    </row>
    <row r="15" spans="1:17" s="486" customFormat="1">
      <c r="A15" s="1038" t="s">
        <v>558</v>
      </c>
      <c r="B15" s="978">
        <f ca="1">SUM(B4:B14)</f>
        <v>50696.359108135774</v>
      </c>
      <c r="C15" s="978">
        <f t="shared" ref="C15:Q15" ca="1" si="1">SUM(C4:C14)</f>
        <v>0</v>
      </c>
      <c r="D15" s="978">
        <f t="shared" ca="1" si="1"/>
        <v>58933.980736330588</v>
      </c>
      <c r="E15" s="978">
        <f t="shared" si="1"/>
        <v>2787.82128582012</v>
      </c>
      <c r="F15" s="978">
        <f t="shared" ca="1" si="1"/>
        <v>46579.60822732449</v>
      </c>
      <c r="G15" s="978">
        <f t="shared" si="1"/>
        <v>39615.380187290219</v>
      </c>
      <c r="H15" s="978">
        <f t="shared" si="1"/>
        <v>9294.4454125860157</v>
      </c>
      <c r="I15" s="978">
        <f t="shared" si="1"/>
        <v>0</v>
      </c>
      <c r="J15" s="978">
        <f t="shared" si="1"/>
        <v>110.89517023254001</v>
      </c>
      <c r="K15" s="978">
        <f t="shared" si="1"/>
        <v>0</v>
      </c>
      <c r="L15" s="978">
        <f t="shared" ca="1" si="1"/>
        <v>0</v>
      </c>
      <c r="M15" s="978">
        <f t="shared" si="1"/>
        <v>1526.049900719644</v>
      </c>
      <c r="N15" s="978">
        <f t="shared" ca="1" si="1"/>
        <v>13472.682758837496</v>
      </c>
      <c r="O15" s="978">
        <f t="shared" si="1"/>
        <v>239.19000000000003</v>
      </c>
      <c r="P15" s="978">
        <f t="shared" si="1"/>
        <v>457.6</v>
      </c>
      <c r="Q15" s="978">
        <f t="shared" ca="1" si="1"/>
        <v>223714.01278727685</v>
      </c>
    </row>
    <row r="17" spans="1:17">
      <c r="A17" s="487" t="s">
        <v>559</v>
      </c>
      <c r="B17" s="786">
        <f ca="1">huishoudens!B10</f>
        <v>0.16534717458305412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3050.8430621749676</v>
      </c>
      <c r="C22" s="477">
        <f t="shared" ref="C22:C32" ca="1" si="3">C4*$C$17</f>
        <v>0</v>
      </c>
      <c r="D22" s="477">
        <f t="shared" ref="D22:D32" si="4">D4*$D$17</f>
        <v>4717.5744042680008</v>
      </c>
      <c r="E22" s="477">
        <f t="shared" ref="E22:E32" si="5">E4*$E$17</f>
        <v>208.79176681549285</v>
      </c>
      <c r="F22" s="477">
        <f t="shared" ref="F22:F32" si="6">F4*$F$17</f>
        <v>9433.1640718368453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17410.373305095309</v>
      </c>
    </row>
    <row r="23" spans="1:17">
      <c r="A23" s="476" t="s">
        <v>156</v>
      </c>
      <c r="B23" s="477">
        <f t="shared" ca="1" si="2"/>
        <v>2913.4044844209711</v>
      </c>
      <c r="C23" s="477">
        <f t="shared" ca="1" si="3"/>
        <v>0</v>
      </c>
      <c r="D23" s="477">
        <f t="shared" ca="1" si="4"/>
        <v>5156.4684926920008</v>
      </c>
      <c r="E23" s="477">
        <f t="shared" si="5"/>
        <v>98.010146648422591</v>
      </c>
      <c r="F23" s="477">
        <f t="shared" ca="1" si="6"/>
        <v>1065.9966875362161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9233.879811297611</v>
      </c>
    </row>
    <row r="24" spans="1:17">
      <c r="A24" s="476" t="s">
        <v>194</v>
      </c>
      <c r="B24" s="477">
        <f t="shared" ca="1" si="2"/>
        <v>119.71102370378202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119.71102370378202</v>
      </c>
    </row>
    <row r="25" spans="1:17">
      <c r="A25" s="476" t="s">
        <v>112</v>
      </c>
      <c r="B25" s="477">
        <f t="shared" ca="1" si="2"/>
        <v>73.362557196406115</v>
      </c>
      <c r="C25" s="477">
        <f t="shared" ca="1" si="3"/>
        <v>0</v>
      </c>
      <c r="D25" s="477">
        <f t="shared" si="4"/>
        <v>4.5849814560000004</v>
      </c>
      <c r="E25" s="477">
        <f t="shared" si="5"/>
        <v>2.5971092597934557</v>
      </c>
      <c r="F25" s="477">
        <f t="shared" si="6"/>
        <v>433.01102438542836</v>
      </c>
      <c r="G25" s="477">
        <f t="shared" si="7"/>
        <v>0</v>
      </c>
      <c r="H25" s="477">
        <f t="shared" si="8"/>
        <v>0</v>
      </c>
      <c r="I25" s="477">
        <f t="shared" si="9"/>
        <v>0</v>
      </c>
      <c r="J25" s="477">
        <f t="shared" si="10"/>
        <v>22.611661571400422</v>
      </c>
      <c r="K25" s="477">
        <f t="shared" si="11"/>
        <v>0</v>
      </c>
      <c r="L25" s="477">
        <f t="shared" si="12"/>
        <v>0</v>
      </c>
      <c r="M25" s="477">
        <f t="shared" si="13"/>
        <v>0</v>
      </c>
      <c r="N25" s="477">
        <f t="shared" si="14"/>
        <v>0</v>
      </c>
      <c r="O25" s="477">
        <f t="shared" si="15"/>
        <v>0</v>
      </c>
      <c r="P25" s="478">
        <f t="shared" si="16"/>
        <v>0</v>
      </c>
      <c r="Q25" s="476">
        <f t="shared" ca="1" si="17"/>
        <v>536.16733386902831</v>
      </c>
    </row>
    <row r="26" spans="1:17">
      <c r="A26" s="476" t="s">
        <v>638</v>
      </c>
      <c r="B26" s="477">
        <f t="shared" ca="1" si="2"/>
        <v>2158.4517724904886</v>
      </c>
      <c r="C26" s="477">
        <f t="shared" ca="1" si="3"/>
        <v>0</v>
      </c>
      <c r="D26" s="477">
        <f t="shared" si="4"/>
        <v>1817.9207319680004</v>
      </c>
      <c r="E26" s="477">
        <f t="shared" si="5"/>
        <v>293.60204181614301</v>
      </c>
      <c r="F26" s="477">
        <f t="shared" si="6"/>
        <v>1504.5836129371485</v>
      </c>
      <c r="G26" s="477">
        <f t="shared" si="7"/>
        <v>0</v>
      </c>
      <c r="H26" s="477">
        <f t="shared" si="8"/>
        <v>0</v>
      </c>
      <c r="I26" s="477">
        <f t="shared" si="9"/>
        <v>0</v>
      </c>
      <c r="J26" s="477">
        <f t="shared" si="10"/>
        <v>16.645228690918739</v>
      </c>
      <c r="K26" s="477">
        <f t="shared" si="11"/>
        <v>0</v>
      </c>
      <c r="L26" s="477">
        <f t="shared" si="12"/>
        <v>0</v>
      </c>
      <c r="M26" s="477">
        <f t="shared" si="13"/>
        <v>0</v>
      </c>
      <c r="N26" s="477">
        <f t="shared" si="14"/>
        <v>0</v>
      </c>
      <c r="O26" s="477">
        <f t="shared" si="15"/>
        <v>0</v>
      </c>
      <c r="P26" s="478">
        <f t="shared" si="16"/>
        <v>0</v>
      </c>
      <c r="Q26" s="476">
        <f t="shared" ca="1" si="17"/>
        <v>5791.2033879026994</v>
      </c>
    </row>
    <row r="27" spans="1:17" s="482" customFormat="1">
      <c r="A27" s="480" t="s">
        <v>564</v>
      </c>
      <c r="B27" s="780">
        <f t="shared" ca="1" si="2"/>
        <v>2.1614140716263059</v>
      </c>
      <c r="C27" s="481">
        <f t="shared" ca="1" si="3"/>
        <v>0</v>
      </c>
      <c r="D27" s="481">
        <f t="shared" si="4"/>
        <v>7.0592423547776848</v>
      </c>
      <c r="E27" s="481">
        <f t="shared" si="5"/>
        <v>29.834367341315286</v>
      </c>
      <c r="F27" s="481">
        <f t="shared" si="6"/>
        <v>0</v>
      </c>
      <c r="G27" s="481">
        <f t="shared" si="7"/>
        <v>10268.310487271645</v>
      </c>
      <c r="H27" s="481">
        <f t="shared" si="8"/>
        <v>2314.316907733918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12621.682418773282</v>
      </c>
    </row>
    <row r="28" spans="1:17">
      <c r="A28" s="476" t="s">
        <v>554</v>
      </c>
      <c r="B28" s="477">
        <f t="shared" ca="1" si="2"/>
        <v>0</v>
      </c>
      <c r="C28" s="477">
        <f t="shared" ca="1" si="3"/>
        <v>0</v>
      </c>
      <c r="D28" s="477">
        <f t="shared" si="4"/>
        <v>0</v>
      </c>
      <c r="E28" s="477">
        <f t="shared" si="5"/>
        <v>0</v>
      </c>
      <c r="F28" s="477">
        <f t="shared" si="6"/>
        <v>0</v>
      </c>
      <c r="G28" s="477">
        <f t="shared" si="7"/>
        <v>308.99602273484453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308.99602273484453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64.565426119889295</v>
      </c>
      <c r="C32" s="477">
        <f t="shared" ca="1" si="3"/>
        <v>0</v>
      </c>
      <c r="D32" s="477">
        <f t="shared" si="4"/>
        <v>201.05625600000002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265.62168211988933</v>
      </c>
    </row>
    <row r="33" spans="1:17" s="486" customFormat="1">
      <c r="A33" s="1038" t="s">
        <v>558</v>
      </c>
      <c r="B33" s="978">
        <f ca="1">SUM(B22:B32)</f>
        <v>8382.4997401781311</v>
      </c>
      <c r="C33" s="978">
        <f t="shared" ref="C33:Q33" ca="1" si="18">SUM(C22:C32)</f>
        <v>0</v>
      </c>
      <c r="D33" s="978">
        <f t="shared" ca="1" si="18"/>
        <v>11904.66410873878</v>
      </c>
      <c r="E33" s="978">
        <f t="shared" si="18"/>
        <v>632.83543188116721</v>
      </c>
      <c r="F33" s="978">
        <f t="shared" ca="1" si="18"/>
        <v>12436.75539669564</v>
      </c>
      <c r="G33" s="978">
        <f t="shared" si="18"/>
        <v>10577.306510006489</v>
      </c>
      <c r="H33" s="978">
        <f t="shared" si="18"/>
        <v>2314.316907733918</v>
      </c>
      <c r="I33" s="978">
        <f t="shared" si="18"/>
        <v>0</v>
      </c>
      <c r="J33" s="978">
        <f t="shared" si="18"/>
        <v>39.25689026231916</v>
      </c>
      <c r="K33" s="978">
        <f t="shared" si="18"/>
        <v>0</v>
      </c>
      <c r="L33" s="978">
        <f t="shared" ca="1" si="18"/>
        <v>0</v>
      </c>
      <c r="M33" s="978">
        <f t="shared" si="18"/>
        <v>0</v>
      </c>
      <c r="N33" s="978">
        <f t="shared" ca="1" si="18"/>
        <v>0</v>
      </c>
      <c r="O33" s="978">
        <f t="shared" si="18"/>
        <v>0</v>
      </c>
      <c r="P33" s="978">
        <f t="shared" si="18"/>
        <v>0</v>
      </c>
      <c r="Q33" s="978">
        <f t="shared" ca="1" si="18"/>
        <v>46287.634985496443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12766.496030406681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12766.496030406681</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0.16534717458305412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0.16534717458305412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2019-08-12T08:26:13Z</dcterms:modified>
</cp:coreProperties>
</file>