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K19"/>
  <c r="N89" i="14" s="1"/>
  <c r="J19" i="18"/>
  <c r="J89" i="14" s="1"/>
  <c r="J19" i="59" s="1"/>
  <c r="I19" i="18"/>
  <c r="I89" i="14" s="1"/>
  <c r="I19" i="59" s="1"/>
  <c r="H19" i="18"/>
  <c r="G19"/>
  <c r="H89" i="14" s="1"/>
  <c r="H19" i="59" s="1"/>
  <c r="F19" i="18"/>
  <c r="E19"/>
  <c r="D19"/>
  <c r="C19"/>
  <c r="D89" i="14" s="1"/>
  <c r="D19" i="59" s="1"/>
  <c r="B19" i="18"/>
  <c r="N18"/>
  <c r="L88" i="14" s="1"/>
  <c r="M18" i="18"/>
  <c r="K88" i="14" s="1"/>
  <c r="L18" i="18"/>
  <c r="L20" s="1"/>
  <c r="K18"/>
  <c r="J18"/>
  <c r="J88" i="14" s="1"/>
  <c r="J18" i="59" s="1"/>
  <c r="I18" i="18"/>
  <c r="H18"/>
  <c r="M88" i="14" s="1"/>
  <c r="M18" i="59" s="1"/>
  <c r="G18" i="18"/>
  <c r="F18"/>
  <c r="F20" s="1"/>
  <c r="E18"/>
  <c r="D18"/>
  <c r="C18"/>
  <c r="B18"/>
  <c r="L9"/>
  <c r="K9"/>
  <c r="K10" s="1"/>
  <c r="I9"/>
  <c r="I77" i="14" s="1"/>
  <c r="I9" i="59" s="1"/>
  <c r="G9" i="18"/>
  <c r="F9"/>
  <c r="D9"/>
  <c r="C9"/>
  <c r="D77" i="14" s="1"/>
  <c r="D9" i="59" s="1"/>
  <c r="B9" i="18"/>
  <c r="K22"/>
  <c r="J22"/>
  <c r="I22"/>
  <c r="H22"/>
  <c r="K12"/>
  <c r="J12"/>
  <c r="I12"/>
  <c r="H12"/>
  <c r="W92"/>
  <c r="V92"/>
  <c r="U92"/>
  <c r="T92"/>
  <c r="S92"/>
  <c r="R92"/>
  <c r="Q92"/>
  <c r="N6" i="17" s="1"/>
  <c r="P92" i="18"/>
  <c r="D6" i="17" s="1"/>
  <c r="O92" i="18"/>
  <c r="C6" i="17" s="1"/>
  <c r="N92" i="18"/>
  <c r="M92"/>
  <c r="W91"/>
  <c r="V91"/>
  <c r="U91"/>
  <c r="T91"/>
  <c r="S91"/>
  <c r="R91"/>
  <c r="Q91"/>
  <c r="P91"/>
  <c r="O91"/>
  <c r="N91"/>
  <c r="M91"/>
  <c r="W90"/>
  <c r="V90"/>
  <c r="U90"/>
  <c r="T90"/>
  <c r="S90"/>
  <c r="R90"/>
  <c r="Q90"/>
  <c r="P90"/>
  <c r="O90"/>
  <c r="N90"/>
  <c r="M90"/>
  <c r="W89"/>
  <c r="H9" s="1"/>
  <c r="M77" i="14" s="1"/>
  <c r="M9" i="59" s="1"/>
  <c r="V89" i="18"/>
  <c r="U89"/>
  <c r="T89"/>
  <c r="S89"/>
  <c r="E9" s="1"/>
  <c r="F77" i="14" s="1"/>
  <c r="F9" i="59" s="1"/>
  <c r="R89" i="18"/>
  <c r="Q89"/>
  <c r="J9" s="1"/>
  <c r="J77" i="14" s="1"/>
  <c r="J9" i="59" s="1"/>
  <c r="P89" i="18"/>
  <c r="O89"/>
  <c r="N89"/>
  <c r="M89"/>
  <c r="W61"/>
  <c r="V61"/>
  <c r="U61"/>
  <c r="T61"/>
  <c r="L6" i="17" s="1"/>
  <c r="S61" i="18"/>
  <c r="F6" i="17" s="1"/>
  <c r="R61" i="18"/>
  <c r="Q61"/>
  <c r="P61"/>
  <c r="O61"/>
  <c r="N61"/>
  <c r="M61"/>
  <c r="W60"/>
  <c r="V60"/>
  <c r="U60"/>
  <c r="T60"/>
  <c r="S60"/>
  <c r="R60"/>
  <c r="Q60"/>
  <c r="P60"/>
  <c r="D13" i="15" s="1"/>
  <c r="O60" i="18"/>
  <c r="C13" i="15" s="1"/>
  <c r="N60" i="18"/>
  <c r="B13" i="15" s="1"/>
  <c r="M60" i="18"/>
  <c r="W59"/>
  <c r="V59"/>
  <c r="U59"/>
  <c r="T59"/>
  <c r="S59"/>
  <c r="R59"/>
  <c r="Q59"/>
  <c r="P59"/>
  <c r="O59"/>
  <c r="N59"/>
  <c r="M59"/>
  <c r="W58"/>
  <c r="V58"/>
  <c r="U58"/>
  <c r="T58"/>
  <c r="S58"/>
  <c r="R58"/>
  <c r="Q58"/>
  <c r="P58"/>
  <c r="O58"/>
  <c r="N58"/>
  <c r="C98" s="1"/>
  <c r="M58"/>
  <c r="G22"/>
  <c r="F22"/>
  <c r="E22"/>
  <c r="D22"/>
  <c r="C22"/>
  <c r="K20"/>
  <c r="G20"/>
  <c r="D20"/>
  <c r="B17"/>
  <c r="G12"/>
  <c r="F12"/>
  <c r="E12"/>
  <c r="D12"/>
  <c r="C12"/>
  <c r="L10"/>
  <c r="G10"/>
  <c r="F10"/>
  <c r="D10"/>
  <c r="B6"/>
  <c r="B5"/>
  <c r="B73" i="14" s="1"/>
  <c r="B5" i="59" s="1"/>
  <c r="B4" i="18"/>
  <c r="D5" i="17"/>
  <c r="B19" i="6"/>
  <c r="B18"/>
  <c r="B5"/>
  <c r="B6"/>
  <c r="D14" i="48"/>
  <c r="P7"/>
  <c r="O7"/>
  <c r="M7"/>
  <c r="K7"/>
  <c r="I7"/>
  <c r="H7"/>
  <c r="G7"/>
  <c r="P10"/>
  <c r="P28" s="1"/>
  <c r="O10"/>
  <c r="N10"/>
  <c r="L10"/>
  <c r="K10"/>
  <c r="J10"/>
  <c r="I10"/>
  <c r="H10"/>
  <c r="F10"/>
  <c r="E10"/>
  <c r="D10"/>
  <c r="C10"/>
  <c r="P9"/>
  <c r="O9"/>
  <c r="O27" s="1"/>
  <c r="N9"/>
  <c r="L9"/>
  <c r="K9"/>
  <c r="J9"/>
  <c r="I9"/>
  <c r="F9"/>
  <c r="C9"/>
  <c r="P13"/>
  <c r="O13"/>
  <c r="N13"/>
  <c r="L13"/>
  <c r="K13"/>
  <c r="J13"/>
  <c r="I13"/>
  <c r="F13"/>
  <c r="E13"/>
  <c r="D13"/>
  <c r="C13"/>
  <c r="B13"/>
  <c r="M8"/>
  <c r="K8"/>
  <c r="I8"/>
  <c r="H8"/>
  <c r="G8"/>
  <c r="B12"/>
  <c r="P17"/>
  <c r="O17"/>
  <c r="O29" s="1"/>
  <c r="M4"/>
  <c r="L4"/>
  <c r="K4"/>
  <c r="I4"/>
  <c r="H4"/>
  <c r="G4"/>
  <c r="P11"/>
  <c r="O11"/>
  <c r="N11"/>
  <c r="M11"/>
  <c r="L11"/>
  <c r="K11"/>
  <c r="J11"/>
  <c r="I11"/>
  <c r="H11"/>
  <c r="G11"/>
  <c r="F11"/>
  <c r="E11"/>
  <c r="D11"/>
  <c r="C11"/>
  <c r="B11"/>
  <c r="Q11" s="1"/>
  <c r="P32"/>
  <c r="P31"/>
  <c r="Q12"/>
  <c r="P29"/>
  <c r="O28"/>
  <c r="P27"/>
  <c r="P25"/>
  <c r="O89" i="14"/>
  <c r="O19" i="59" s="1"/>
  <c r="O20" s="1"/>
  <c r="M89" i="14"/>
  <c r="M19" i="59" s="1"/>
  <c r="L89" i="14"/>
  <c r="L19" i="59" s="1"/>
  <c r="K89" i="14"/>
  <c r="K19" i="59" s="1"/>
  <c r="G89" i="14"/>
  <c r="G19" i="59" s="1"/>
  <c r="E89" i="14"/>
  <c r="E19" i="59" s="1"/>
  <c r="O88" i="14"/>
  <c r="O18" i="59" s="1"/>
  <c r="N88" i="14"/>
  <c r="N18" i="59" s="1"/>
  <c r="I88" i="14"/>
  <c r="I18" i="59" s="1"/>
  <c r="H88" i="14"/>
  <c r="F88"/>
  <c r="F18" i="59" s="1"/>
  <c r="E88" i="14"/>
  <c r="E18" i="59" s="1"/>
  <c r="D88" i="14"/>
  <c r="D18" i="59" s="1"/>
  <c r="O87" i="14"/>
  <c r="O17" i="59" s="1"/>
  <c r="N87" i="14"/>
  <c r="N17" i="59" s="1"/>
  <c r="L87" i="14"/>
  <c r="L17" i="59" s="1"/>
  <c r="K87" i="14"/>
  <c r="K17" i="59" s="1"/>
  <c r="H87" i="14"/>
  <c r="H17" i="59" s="1"/>
  <c r="G87" i="14"/>
  <c r="G17" i="59" s="1"/>
  <c r="E87" i="14"/>
  <c r="E17" i="59" s="1"/>
  <c r="O77" i="14"/>
  <c r="L77"/>
  <c r="L9" i="59" s="1"/>
  <c r="K77" i="14"/>
  <c r="K9" i="59" s="1"/>
  <c r="H77" i="14"/>
  <c r="H9" i="59" s="1"/>
  <c r="G77" i="14"/>
  <c r="G9" i="59" s="1"/>
  <c r="E77" i="14"/>
  <c r="E9" i="59" s="1"/>
  <c r="O76" i="14"/>
  <c r="O8" i="59" s="1"/>
  <c r="N76" i="14"/>
  <c r="N8" i="59" s="1"/>
  <c r="L76" i="14"/>
  <c r="K76"/>
  <c r="K8" i="59" s="1"/>
  <c r="K10" s="1"/>
  <c r="H76" i="14"/>
  <c r="G76"/>
  <c r="G8" i="59" s="1"/>
  <c r="G10" s="1"/>
  <c r="E76" i="14"/>
  <c r="E8" i="59" s="1"/>
  <c r="E10" s="1"/>
  <c r="B75" i="14"/>
  <c r="B7" i="59" s="1"/>
  <c r="B74" i="14"/>
  <c r="B6" i="59" s="1"/>
  <c r="C64" i="14"/>
  <c r="C29"/>
  <c r="Q54"/>
  <c r="Q56" s="1"/>
  <c r="P54"/>
  <c r="L54"/>
  <c r="J54"/>
  <c r="I54"/>
  <c r="H54"/>
  <c r="H56" s="1"/>
  <c r="Q24"/>
  <c r="P24"/>
  <c r="N24"/>
  <c r="L24"/>
  <c r="J24"/>
  <c r="J26" s="1"/>
  <c r="I24"/>
  <c r="I26" s="1"/>
  <c r="H24"/>
  <c r="H26" s="1"/>
  <c r="Q50"/>
  <c r="P50"/>
  <c r="O50"/>
  <c r="M50"/>
  <c r="L50"/>
  <c r="K50"/>
  <c r="J50"/>
  <c r="G50"/>
  <c r="D50"/>
  <c r="Q49"/>
  <c r="P49"/>
  <c r="Q20"/>
  <c r="P20"/>
  <c r="O20"/>
  <c r="M20"/>
  <c r="L20"/>
  <c r="K20"/>
  <c r="J20"/>
  <c r="G20"/>
  <c r="D20"/>
  <c r="Q19"/>
  <c r="P19"/>
  <c r="P22" s="1"/>
  <c r="O19"/>
  <c r="M19"/>
  <c r="L19"/>
  <c r="K19"/>
  <c r="J19"/>
  <c r="I19"/>
  <c r="G19"/>
  <c r="G22" s="1"/>
  <c r="F19"/>
  <c r="E19"/>
  <c r="D19"/>
  <c r="Q48"/>
  <c r="P48"/>
  <c r="O48"/>
  <c r="M48"/>
  <c r="L48"/>
  <c r="K48"/>
  <c r="J48"/>
  <c r="G48"/>
  <c r="D48"/>
  <c r="Q18"/>
  <c r="Q22" s="1"/>
  <c r="P18"/>
  <c r="O18"/>
  <c r="M18"/>
  <c r="M22" s="1"/>
  <c r="L18"/>
  <c r="K18"/>
  <c r="K22" s="1"/>
  <c r="J18"/>
  <c r="J22" s="1"/>
  <c r="G18"/>
  <c r="F18"/>
  <c r="E18"/>
  <c r="D18"/>
  <c r="D22" s="1"/>
  <c r="C18"/>
  <c r="L43"/>
  <c r="J43"/>
  <c r="I43"/>
  <c r="H43"/>
  <c r="N13"/>
  <c r="L13"/>
  <c r="J13"/>
  <c r="I13"/>
  <c r="H13"/>
  <c r="C12"/>
  <c r="L41"/>
  <c r="J41"/>
  <c r="I41"/>
  <c r="H41"/>
  <c r="N11"/>
  <c r="M11"/>
  <c r="L11"/>
  <c r="J11"/>
  <c r="I11"/>
  <c r="H11"/>
  <c r="I39"/>
  <c r="H39"/>
  <c r="Q9"/>
  <c r="P9"/>
  <c r="O9"/>
  <c r="N9"/>
  <c r="M9"/>
  <c r="L9"/>
  <c r="K9"/>
  <c r="J9"/>
  <c r="I9"/>
  <c r="H9"/>
  <c r="R9" s="1"/>
  <c r="G9"/>
  <c r="F9"/>
  <c r="E9"/>
  <c r="D9"/>
  <c r="C9"/>
  <c r="R90"/>
  <c r="R78"/>
  <c r="P56"/>
  <c r="L56"/>
  <c r="J56"/>
  <c r="I56"/>
  <c r="Q52"/>
  <c r="P52"/>
  <c r="R44"/>
  <c r="E25"/>
  <c r="E55" s="1"/>
  <c r="C25"/>
  <c r="B14" i="48" s="1"/>
  <c r="Q26" i="14"/>
  <c r="P26"/>
  <c r="N26"/>
  <c r="L26"/>
  <c r="L22"/>
  <c r="O22"/>
  <c r="R12"/>
  <c r="L18" i="59" l="1"/>
  <c r="L90" i="14"/>
  <c r="K18" i="59"/>
  <c r="K20" s="1"/>
  <c r="K90" i="14"/>
  <c r="N19" i="59"/>
  <c r="N90" i="14"/>
  <c r="L78"/>
  <c r="L8" i="59"/>
  <c r="L10" s="1"/>
  <c r="K78" i="14"/>
  <c r="B72"/>
  <c r="B4" i="59" s="1"/>
  <c r="B98" i="18"/>
  <c r="I102" s="1"/>
  <c r="H17" s="1"/>
  <c r="H78" i="14"/>
  <c r="H8" i="59"/>
  <c r="O78" i="14"/>
  <c r="O9" i="59"/>
  <c r="O90" i="14"/>
  <c r="O31" i="48"/>
  <c r="B20" i="18"/>
  <c r="N77" i="14"/>
  <c r="N9" i="59" s="1"/>
  <c r="R25" i="14"/>
  <c r="O10" i="59"/>
  <c r="O25" i="48"/>
  <c r="O32"/>
  <c r="F13" i="15"/>
  <c r="H90" i="14"/>
  <c r="H18" i="59"/>
  <c r="H20" s="1"/>
  <c r="H10"/>
  <c r="E20"/>
  <c r="N20"/>
  <c r="G78" i="14"/>
  <c r="N10" i="59"/>
  <c r="L20"/>
  <c r="B8" i="18"/>
  <c r="B10" s="1"/>
  <c r="O19"/>
  <c r="L13" i="15"/>
  <c r="N13"/>
  <c r="Q77" i="14"/>
  <c r="P9" i="59" s="1"/>
  <c r="O9" i="18"/>
  <c r="O18"/>
  <c r="B89" i="14"/>
  <c r="B19" i="59" s="1"/>
  <c r="G88" i="14"/>
  <c r="B88" s="1"/>
  <c r="B18" i="59" s="1"/>
  <c r="F89" i="14"/>
  <c r="I101" i="18"/>
  <c r="H8" s="1"/>
  <c r="E101"/>
  <c r="E8" s="1"/>
  <c r="H101"/>
  <c r="D101"/>
  <c r="G101"/>
  <c r="C101"/>
  <c r="F101"/>
  <c r="B101"/>
  <c r="C8" s="1"/>
  <c r="H102"/>
  <c r="D102"/>
  <c r="G102"/>
  <c r="B77" i="14"/>
  <c r="B9" i="59" s="1"/>
  <c r="Q14" i="48"/>
  <c r="O24"/>
  <c r="O30"/>
  <c r="P24"/>
  <c r="P30"/>
  <c r="C77" i="14"/>
  <c r="C9" i="59" s="1"/>
  <c r="C88" i="14"/>
  <c r="C18" i="59" s="1"/>
  <c r="E78" i="14"/>
  <c r="E90"/>
  <c r="C102" i="18" l="1"/>
  <c r="J17" s="1"/>
  <c r="E102"/>
  <c r="E17" s="1"/>
  <c r="E20" s="1"/>
  <c r="B102"/>
  <c r="C17" s="1"/>
  <c r="D87" i="14" s="1"/>
  <c r="D17" i="59" s="1"/>
  <c r="D20" s="1"/>
  <c r="G90" i="14"/>
  <c r="G18" i="59"/>
  <c r="G20" s="1"/>
  <c r="C89" i="14"/>
  <c r="C19" i="59" s="1"/>
  <c r="F19"/>
  <c r="F102" i="18"/>
  <c r="I17" s="1"/>
  <c r="N78" i="14"/>
  <c r="Q88"/>
  <c r="P18" i="59" s="1"/>
  <c r="Q89" i="14"/>
  <c r="P19" i="59" s="1"/>
  <c r="D76" i="14"/>
  <c r="D8" i="59" s="1"/>
  <c r="D10" s="1"/>
  <c r="C10" i="18"/>
  <c r="J8"/>
  <c r="E10"/>
  <c r="F76" i="14"/>
  <c r="F8" i="59" s="1"/>
  <c r="F10" s="1"/>
  <c r="H20" i="18"/>
  <c r="M87" i="14"/>
  <c r="I8" i="18"/>
  <c r="O8" s="1"/>
  <c r="O10" s="1"/>
  <c r="M76" i="14"/>
  <c r="H10" i="18"/>
  <c r="H14" i="15"/>
  <c r="H16" s="1"/>
  <c r="G14"/>
  <c r="G16" s="1"/>
  <c r="O17" i="18" l="1"/>
  <c r="O20" s="1"/>
  <c r="H5" i="48"/>
  <c r="I10" i="14"/>
  <c r="I16" s="1"/>
  <c r="G5" i="48"/>
  <c r="H10" i="14"/>
  <c r="H16" s="1"/>
  <c r="M90"/>
  <c r="M17" i="59"/>
  <c r="M20" s="1"/>
  <c r="M78" i="14"/>
  <c r="M8" i="59"/>
  <c r="M10" s="1"/>
  <c r="F87" i="14"/>
  <c r="Q87" s="1"/>
  <c r="C20" i="18"/>
  <c r="I76" i="14"/>
  <c r="I8" i="59" s="1"/>
  <c r="I10" s="1"/>
  <c r="I10" i="18"/>
  <c r="D90" i="14"/>
  <c r="F78"/>
  <c r="J87"/>
  <c r="J20" i="18"/>
  <c r="J10"/>
  <c r="J76" i="14"/>
  <c r="I87"/>
  <c r="I17" i="59" s="1"/>
  <c r="I20" s="1"/>
  <c r="I20" i="18"/>
  <c r="Q76" i="14"/>
  <c r="D78"/>
  <c r="B24" i="44"/>
  <c r="B23"/>
  <c r="Q90" i="14" l="1"/>
  <c r="B17" i="6" s="1"/>
  <c r="P17" i="59"/>
  <c r="P20" s="1"/>
  <c r="J90" i="14"/>
  <c r="J17" i="59"/>
  <c r="J20" s="1"/>
  <c r="F90" i="14"/>
  <c r="F17" i="59"/>
  <c r="F20" s="1"/>
  <c r="J78" i="14"/>
  <c r="J8" i="59"/>
  <c r="J10" s="1"/>
  <c r="Q78" i="14"/>
  <c r="B9" i="6" s="1"/>
  <c r="P8" i="59"/>
  <c r="P10" s="1"/>
  <c r="B87" i="14"/>
  <c r="I90"/>
  <c r="C87"/>
  <c r="C76"/>
  <c r="B76"/>
  <c r="I78"/>
  <c r="A31" i="23"/>
  <c r="A32"/>
  <c r="A33"/>
  <c r="C90" i="14" l="1"/>
  <c r="C17" i="59"/>
  <c r="C20" s="1"/>
  <c r="C78" i="14"/>
  <c r="C8" i="59"/>
  <c r="C10" s="1"/>
  <c r="B78" i="14"/>
  <c r="B8" i="59"/>
  <c r="B10" s="1"/>
  <c r="B90" i="14"/>
  <c r="B17" i="59"/>
  <c r="B20" s="1"/>
  <c r="B4" i="21"/>
  <c r="B4" i="6" l="1"/>
  <c r="B11" i="4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P4" i="48" l="1"/>
  <c r="Q11" i="14"/>
  <c r="I27" i="48"/>
  <c r="I31"/>
  <c r="I25"/>
  <c r="I29"/>
  <c r="I26"/>
  <c r="I32"/>
  <c r="I24"/>
  <c r="I28"/>
  <c r="I22"/>
  <c r="I30"/>
  <c r="H29"/>
  <c r="H26"/>
  <c r="H25"/>
  <c r="H32"/>
  <c r="H24"/>
  <c r="H22"/>
  <c r="H30"/>
  <c r="H28"/>
  <c r="H23"/>
  <c r="C4"/>
  <c r="D11" i="14"/>
  <c r="G25" i="48"/>
  <c r="G29"/>
  <c r="G32"/>
  <c r="G26"/>
  <c r="G24"/>
  <c r="G30"/>
  <c r="G22"/>
  <c r="G23"/>
  <c r="B4"/>
  <c r="C11" i="14"/>
  <c r="F32" i="48"/>
  <c r="F29"/>
  <c r="F28"/>
  <c r="F27"/>
  <c r="F31"/>
  <c r="F30"/>
  <c r="F24"/>
  <c r="N32"/>
  <c r="N29"/>
  <c r="N28"/>
  <c r="N30"/>
  <c r="N27"/>
  <c r="N31"/>
  <c r="N24"/>
  <c r="B10"/>
  <c r="C19" i="14"/>
  <c r="N46"/>
  <c r="D4" i="48"/>
  <c r="D22" s="1"/>
  <c r="E11" i="14"/>
  <c r="E28" i="48"/>
  <c r="E32"/>
  <c r="E30"/>
  <c r="E29"/>
  <c r="E24"/>
  <c r="E31"/>
  <c r="M26"/>
  <c r="M22"/>
  <c r="M32"/>
  <c r="M25"/>
  <c r="M24"/>
  <c r="M29"/>
  <c r="M30"/>
  <c r="M23"/>
  <c r="L10" i="14"/>
  <c r="L16" s="1"/>
  <c r="L27" s="1"/>
  <c r="K5" i="48"/>
  <c r="D28"/>
  <c r="D32"/>
  <c r="D30"/>
  <c r="D24"/>
  <c r="D31"/>
  <c r="D29"/>
  <c r="L27"/>
  <c r="L28"/>
  <c r="L32"/>
  <c r="L24"/>
  <c r="L22"/>
  <c r="L30"/>
  <c r="L29"/>
  <c r="L31"/>
  <c r="P5"/>
  <c r="P23" s="1"/>
  <c r="Q10" i="14"/>
  <c r="J27" i="48"/>
  <c r="J32"/>
  <c r="J31"/>
  <c r="J28"/>
  <c r="J29"/>
  <c r="J30"/>
  <c r="J24"/>
  <c r="O4"/>
  <c r="P11" i="14"/>
  <c r="K27" i="48"/>
  <c r="K28"/>
  <c r="K32"/>
  <c r="K31"/>
  <c r="K30"/>
  <c r="K25"/>
  <c r="K26"/>
  <c r="K29"/>
  <c r="K24"/>
  <c r="K22"/>
  <c r="C24" i="14"/>
  <c r="C26" s="1"/>
  <c r="B7" i="48"/>
  <c r="J15" i="16"/>
  <c r="L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F20" i="14" l="1"/>
  <c r="F22" s="1"/>
  <c r="E9" i="48"/>
  <c r="E27" s="1"/>
  <c r="E20" i="14"/>
  <c r="E22" s="1"/>
  <c r="D9" i="48"/>
  <c r="D27" s="1"/>
  <c r="P10" i="14"/>
  <c r="O5" i="48"/>
  <c r="O23" s="1"/>
  <c r="F4"/>
  <c r="F22" s="1"/>
  <c r="G11" i="14"/>
  <c r="I5" i="48"/>
  <c r="J10" i="14"/>
  <c r="J16" s="1"/>
  <c r="J27" s="1"/>
  <c r="P22" i="48"/>
  <c r="J46" i="14"/>
  <c r="J61" s="1"/>
  <c r="M12" i="22"/>
  <c r="M13" i="48"/>
  <c r="M31" s="1"/>
  <c r="N18" i="14"/>
  <c r="H18"/>
  <c r="G13" i="48"/>
  <c r="H13"/>
  <c r="H31" s="1"/>
  <c r="I18" i="14"/>
  <c r="P8" i="48"/>
  <c r="P26" s="1"/>
  <c r="Q13" i="14"/>
  <c r="Q16" s="1"/>
  <c r="Q27" s="1"/>
  <c r="Q63" s="1"/>
  <c r="O22" i="48"/>
  <c r="K23"/>
  <c r="K15"/>
  <c r="J7"/>
  <c r="J25" s="1"/>
  <c r="K24" i="14"/>
  <c r="K26" s="1"/>
  <c r="C20"/>
  <c r="C22" s="1"/>
  <c r="B9" i="48"/>
  <c r="J12" i="17"/>
  <c r="K54" i="14" s="1"/>
  <c r="K56" s="1"/>
  <c r="L46"/>
  <c r="L61" s="1"/>
  <c r="L63" s="1"/>
  <c r="K33" i="48"/>
  <c r="G24" i="14"/>
  <c r="G26" s="1"/>
  <c r="F7" i="48"/>
  <c r="F25" s="1"/>
  <c r="M13" i="14"/>
  <c r="L8" i="48"/>
  <c r="L26" s="1"/>
  <c r="L22" i="16"/>
  <c r="M43" i="14" s="1"/>
  <c r="C7" i="48"/>
  <c r="D24" i="14"/>
  <c r="D26" s="1"/>
  <c r="D13"/>
  <c r="C8" i="48"/>
  <c r="D7"/>
  <c r="E24" i="14"/>
  <c r="D10"/>
  <c r="C5" i="48"/>
  <c r="M10" i="14"/>
  <c r="L5" i="48"/>
  <c r="P22" i="16"/>
  <c r="Q43" i="14" s="1"/>
  <c r="E8" i="17"/>
  <c r="O18" i="16"/>
  <c r="B34" i="13"/>
  <c r="H12" i="22"/>
  <c r="B35" i="13"/>
  <c r="B36"/>
  <c r="D18" i="16"/>
  <c r="G31" i="20"/>
  <c r="H48" i="14" s="1"/>
  <c r="G12" i="22"/>
  <c r="D16" i="15"/>
  <c r="D5" i="48" s="1"/>
  <c r="N8" i="17"/>
  <c r="L8"/>
  <c r="M50" i="22"/>
  <c r="M54" s="1"/>
  <c r="G51"/>
  <c r="G50" s="1"/>
  <c r="G54" s="1"/>
  <c r="F12" i="17"/>
  <c r="G54" i="14" s="1"/>
  <c r="G56" s="1"/>
  <c r="M31" i="20"/>
  <c r="N48" i="14" s="1"/>
  <c r="H31" i="20"/>
  <c r="I48" i="14" s="1"/>
  <c r="M5" i="22"/>
  <c r="M14" s="1"/>
  <c r="G5"/>
  <c r="H5"/>
  <c r="H14" s="1"/>
  <c r="E5" i="15"/>
  <c r="O20"/>
  <c r="P40" i="14" s="1"/>
  <c r="P20" i="15"/>
  <c r="Q40" i="14" s="1"/>
  <c r="Q46" s="1"/>
  <c r="Q61" s="1"/>
  <c r="J5" i="15"/>
  <c r="F5"/>
  <c r="F16" s="1"/>
  <c r="B5"/>
  <c r="B16" s="1"/>
  <c r="B5" i="16"/>
  <c r="B18" s="1"/>
  <c r="N5" i="15"/>
  <c r="N16" s="1"/>
  <c r="F12" i="13"/>
  <c r="G41" i="14" s="1"/>
  <c r="F13" i="16"/>
  <c r="E13"/>
  <c r="N13"/>
  <c r="J13"/>
  <c r="B47" i="13"/>
  <c r="N12" i="16"/>
  <c r="J12"/>
  <c r="F12"/>
  <c r="E12"/>
  <c r="B46" i="13"/>
  <c r="E5" s="1"/>
  <c r="E8" s="1"/>
  <c r="B48"/>
  <c r="C48" s="1"/>
  <c r="N5" s="1"/>
  <c r="N8" s="1"/>
  <c r="C50"/>
  <c r="J5" s="1"/>
  <c r="J8" s="1"/>
  <c r="G10" i="48" l="1"/>
  <c r="H19" i="14"/>
  <c r="R19" s="1"/>
  <c r="G31" i="48"/>
  <c r="Q13"/>
  <c r="I23"/>
  <c r="I33" s="1"/>
  <c r="I15"/>
  <c r="M9"/>
  <c r="N20" i="14"/>
  <c r="H9" i="48"/>
  <c r="I20" i="14"/>
  <c r="I22" s="1"/>
  <c r="I27" s="1"/>
  <c r="P15" i="48"/>
  <c r="P33"/>
  <c r="E12" i="13"/>
  <c r="F41" i="14" s="1"/>
  <c r="F11"/>
  <c r="R11" s="1"/>
  <c r="E4" i="48"/>
  <c r="N4"/>
  <c r="N22" s="1"/>
  <c r="O11" i="14"/>
  <c r="J4" i="48"/>
  <c r="K11" i="14"/>
  <c r="E7" i="48"/>
  <c r="E25" s="1"/>
  <c r="F24" i="14"/>
  <c r="F26" s="1"/>
  <c r="O22" i="16"/>
  <c r="P43" i="14" s="1"/>
  <c r="O8" i="48"/>
  <c r="P13" i="14"/>
  <c r="P16" s="1"/>
  <c r="P27" s="1"/>
  <c r="N19"/>
  <c r="N22" s="1"/>
  <c r="N27" s="1"/>
  <c r="M10" i="48"/>
  <c r="M28" s="1"/>
  <c r="R18" i="14"/>
  <c r="P46"/>
  <c r="P61" s="1"/>
  <c r="J63"/>
  <c r="G14" i="22"/>
  <c r="N12" i="17"/>
  <c r="O54" i="14" s="1"/>
  <c r="O56" s="1"/>
  <c r="O24"/>
  <c r="O26" s="1"/>
  <c r="N7" i="48"/>
  <c r="N25" s="1"/>
  <c r="L12" i="17"/>
  <c r="M54" i="14" s="1"/>
  <c r="M56" s="1"/>
  <c r="L7" i="48"/>
  <c r="L25" s="1"/>
  <c r="M24" i="14"/>
  <c r="M26" s="1"/>
  <c r="D22" i="16"/>
  <c r="E43" i="14" s="1"/>
  <c r="D8" i="48"/>
  <c r="D26" s="1"/>
  <c r="E13" i="14"/>
  <c r="C13"/>
  <c r="B8" i="48"/>
  <c r="E26" i="14"/>
  <c r="D25" i="48"/>
  <c r="C10" i="14"/>
  <c r="B5" i="48"/>
  <c r="O10" i="14"/>
  <c r="N5" i="48"/>
  <c r="G10" i="14"/>
  <c r="F5" i="48"/>
  <c r="D20" i="15"/>
  <c r="E40" i="14" s="1"/>
  <c r="E10"/>
  <c r="E12" i="17"/>
  <c r="F54" i="14" s="1"/>
  <c r="F56" s="1"/>
  <c r="E16" i="15"/>
  <c r="J16"/>
  <c r="M58" i="22"/>
  <c r="N49" i="14" s="1"/>
  <c r="N52" s="1"/>
  <c r="N61"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N63" l="1"/>
  <c r="G28" i="48"/>
  <c r="Q10"/>
  <c r="J5"/>
  <c r="J23" s="1"/>
  <c r="K10" i="14"/>
  <c r="O26" i="48"/>
  <c r="O33" s="1"/>
  <c r="O15"/>
  <c r="P63" i="14"/>
  <c r="H27" i="48"/>
  <c r="H33" s="1"/>
  <c r="H15"/>
  <c r="E22"/>
  <c r="Q4"/>
  <c r="J22"/>
  <c r="H22" i="14"/>
  <c r="H27" s="1"/>
  <c r="E5" i="48"/>
  <c r="E23" s="1"/>
  <c r="F10" i="14"/>
  <c r="H20"/>
  <c r="R20" s="1"/>
  <c r="G9" i="48"/>
  <c r="M27"/>
  <c r="M33" s="1"/>
  <c r="M15"/>
  <c r="R24" i="14"/>
  <c r="R26" s="1"/>
  <c r="J20" i="15"/>
  <c r="K40" i="14" s="1"/>
  <c r="R22"/>
  <c r="Q7" i="48"/>
  <c r="E20" i="15"/>
  <c r="F40" i="14" s="1"/>
  <c r="J18" i="16"/>
  <c r="E18"/>
  <c r="F18"/>
  <c r="F22" s="1"/>
  <c r="G43" i="14" s="1"/>
  <c r="N18" i="16"/>
  <c r="G18" i="22"/>
  <c r="H50" i="14" s="1"/>
  <c r="H52" s="1"/>
  <c r="H61" s="1"/>
  <c r="H63" s="1"/>
  <c r="E22" i="16"/>
  <c r="F43" i="14" s="1"/>
  <c r="H18" i="22"/>
  <c r="I50" i="14" s="1"/>
  <c r="I52" s="1"/>
  <c r="I61" s="1"/>
  <c r="I63" s="1"/>
  <c r="G27" i="48" l="1"/>
  <c r="G33" s="1"/>
  <c r="G15"/>
  <c r="Q9"/>
  <c r="F13" i="14"/>
  <c r="E8" i="48"/>
  <c r="E26" s="1"/>
  <c r="F46" i="14"/>
  <c r="F61" s="1"/>
  <c r="J22" i="16"/>
  <c r="K43" i="14" s="1"/>
  <c r="J8" i="48"/>
  <c r="J26" s="1"/>
  <c r="J33" s="1"/>
  <c r="K13" i="14"/>
  <c r="K16" s="1"/>
  <c r="K27" s="1"/>
  <c r="K46"/>
  <c r="K61" s="1"/>
  <c r="F16"/>
  <c r="F27" s="1"/>
  <c r="E33" i="48"/>
  <c r="N8"/>
  <c r="N26" s="1"/>
  <c r="O13" i="14"/>
  <c r="N22" i="16"/>
  <c r="O43" i="14" s="1"/>
  <c r="G13"/>
  <c r="F8" i="48"/>
  <c r="K63" i="14" l="1"/>
  <c r="R13"/>
  <c r="F63"/>
  <c r="J15" i="48"/>
  <c r="E15"/>
  <c r="F26"/>
  <c r="Q8"/>
  <c r="D16" i="14" l="1"/>
  <c r="D27" s="1"/>
  <c r="B20" i="6" s="1"/>
  <c r="M16" i="14"/>
  <c r="M27" s="1"/>
  <c r="G16" l="1"/>
  <c r="G27" s="1"/>
  <c r="L23" i="48"/>
  <c r="L33" s="1"/>
  <c r="L15"/>
  <c r="B15"/>
  <c r="C15"/>
  <c r="O16" i="14"/>
  <c r="O27" s="1"/>
  <c r="E16"/>
  <c r="E27" s="1"/>
  <c r="R10"/>
  <c r="R16" s="1"/>
  <c r="R27" s="1"/>
  <c r="C16"/>
  <c r="C27" s="1"/>
  <c r="B3" i="6" s="1"/>
  <c r="B22"/>
  <c r="C22" i="59" s="1"/>
  <c r="E46" i="14"/>
  <c r="E61" s="1"/>
  <c r="E63" s="1"/>
  <c r="O46"/>
  <c r="O61" s="1"/>
  <c r="O63" s="1"/>
  <c r="G46"/>
  <c r="G61" s="1"/>
  <c r="M46"/>
  <c r="M61" s="1"/>
  <c r="M63" s="1"/>
  <c r="G63" l="1"/>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<sst xmlns="http://schemas.openxmlformats.org/spreadsheetml/2006/main" count="2392" uniqueCount="890">
  <si>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</si>
  <si>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</si>
  <si>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</si>
  <si>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</si>
  <si>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</si>
  <si>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</si>
  <si>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</si>
  <si>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</si>
  <si>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</si>
  <si>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</si>
  <si>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</si>
  <si>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</si>
  <si>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</si>
  <si>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</si>
  <si>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</si>
  <si>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</si>
  <si>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</si>
  <si>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</si>
  <si>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</si>
  <si>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</si>
  <si>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</si>
  <si>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</si>
  <si>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</si>
  <si>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</si>
  <si>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</si>
  <si>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</si>
  <si>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</si>
  <si>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</si>
  <si>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</si>
  <si>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</si>
  <si>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</si>
  <si>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</si>
  <si>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</si>
  <si>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</si>
  <si>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</si>
  <si>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</si>
  <si>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</si>
  <si>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</si>
  <si>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</si>
  <si>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</si>
  <si>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</si>
  <si>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</si>
  <si>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</si>
  <si>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</si>
  <si>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</si>
  <si>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</si>
  <si>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</si>
  <si>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</si>
  <si>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</si>
  <si>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</si>
  <si>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</si>
  <si>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</si>
  <si>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</si>
  <si>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</si>
  <si>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</si>
  <si>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</si>
  <si>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</si>
  <si>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</si>
  <si>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</si>
  <si>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</si>
  <si>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</si>
  <si>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</si>
  <si>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</si>
  <si>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</si>
  <si>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</si>
  <si>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</si>
  <si>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</si>
  <si>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</si>
  <si>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</si>
  <si>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</si>
  <si>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</si>
  <si>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</si>
  <si>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</si>
  <si>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</si>
  <si>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</si>
  <si>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</si>
  <si>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</si>
  <si>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</si>
  <si>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</si>
  <si>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</si>
  <si>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</si>
  <si>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</si>
  <si>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</si>
  <si>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</si>
  <si>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</si>
  <si>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</si>
  <si>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</si>
  <si>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</si>
  <si>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</si>
  <si>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</si>
  <si>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</si>
  <si>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</si>
  <si>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</si>
  <si>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</si>
  <si>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</si>
  <si>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</si>
  <si>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</si>
  <si>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</si>
  <si>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</si>
  <si>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</si>
  <si>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</si>
  <si>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</si>
  <si>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</si>
  <si>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</si>
  <si>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</si>
  <si>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</si>
  <si>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</si>
  <si>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</si>
  <si>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</si>
  <si>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</si>
  <si>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</si>
  <si>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</si>
  <si>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</si>
  <si>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</si>
  <si>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</si>
  <si>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</si>
  <si>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</si>
  <si>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</si>
  <si>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</si>
  <si>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</si>
  <si>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</si>
  <si>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</si>
  <si>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</si>
  <si>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</si>
  <si>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</si>
  <si>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</si>
  <si>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</si>
  <si>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</si>
  <si>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</si>
  <si>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</si>
  <si>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</si>
  <si>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</si>
  <si>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</si>
  <si>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</si>
  <si>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</si>
  <si>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</si>
  <si>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</si>
  <si>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</si>
  <si>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</si>
  <si>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</si>
  <si>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</si>
  <si>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</si>
  <si>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</si>
  <si>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</si>
  <si>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</si>
  <si>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</si>
  <si>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</si>
  <si>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</si>
  <si>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</si>
  <si>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</si>
  <si>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</si>
  <si>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</si>
  <si>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</si>
  <si>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</si>
  <si>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</si>
  <si>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</si>
  <si>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</si>
  <si>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</si>
  <si>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</si>
  <si>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</si>
  <si>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</si>
  <si>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</si>
  <si>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</si>
  <si>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</si>
  <si>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</si>
  <si>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</si>
  <si>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</si>
  <si>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</si>
  <si>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</si>
  <si>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</si>
  <si>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</si>
  <si>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</si>
  <si>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</si>
  <si>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</si>
  <si>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</si>
  <si>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</si>
  <si>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</si>
  <si>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</si>
  <si>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</si>
  <si>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</si>
  <si>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</si>
  <si>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</si>
  <si>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</si>
  <si>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</si>
  <si>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</si>
  <si>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</si>
  <si>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</si>
  <si>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</si>
  <si>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</si>
  <si>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</si>
  <si>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</si>
  <si>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</si>
  <si>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</si>
  <si>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</si>
  <si>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</si>
  <si>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</si>
  <si>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</si>
  <si>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</si>
  <si>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</si>
  <si>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</si>
  <si>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</si>
  <si>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</si>
  <si>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</si>
  <si>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</si>
  <si>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</si>
  <si>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</si>
  <si>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</si>
  <si>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</si>
  <si>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</si>
  <si>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</si>
  <si>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</si>
  <si>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</si>
  <si>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</si>
  <si>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</si>
  <si>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</si>
  <si>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</si>
  <si>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</si>
  <si>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</si>
  <si>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</si>
  <si>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</si>
  <si>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</si>
  <si>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</si>
  <si>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</si>
  <si>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</si>
  <si>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</si>
  <si>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</si>
  <si>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</si>
  <si>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</si>
  <si>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</si>
  <si>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</si>
  <si>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</si>
  <si>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</si>
  <si>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</si>
  <si>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</si>
  <si>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</si>
  <si>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</si>
  <si>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</si>
  <si>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</si>
  <si>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</si>
  <si>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</si>
  <si>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</si>
  <si>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</si>
  <si>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</si>
  <si>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</si>
  <si>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</si>
  <si>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</si>
  <si>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</si>
  <si>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</si>
  <si>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</si>
  <si>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</si>
  <si>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</si>
  <si>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</si>
  <si>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</si>
  <si>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</si>
  <si>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</si>
  <si>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</si>
  <si>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</si>
  <si>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</si>
  <si>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</si>
  <si>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</si>
  <si>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</si>
  <si>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</si>
  <si>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</si>
  <si>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</si>
  <si>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</si>
  <si>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</si>
  <si>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</si>
  <si>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</si>
  <si>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</si>
  <si>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</si>
  <si>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</si>
  <si>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</si>
  <si>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</si>
  <si>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</si>
  <si>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</si>
  <si>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</si>
  <si>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</si>
  <si>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</si>
  <si>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</si>
  <si>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</si>
  <si>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</si>
  <si>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</si>
  <si>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</si>
  <si>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</si>
  <si>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</si>
  <si>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</si>
  <si>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</si>
  <si>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</si>
  <si>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</si>
  <si>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</si>
  <si>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</si>
  <si>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</si>
  <si>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</si>
  <si>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</si>
  <si>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</si>
  <si>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</si>
  <si>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</si>
  <si>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</si>
  <si>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</si>
  <si>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</si>
  <si>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</si>
  <si>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</si>
  <si>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</si>
  <si>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</si>
  <si>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</si>
  <si>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</si>
  <si>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</si>
  <si>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</si>
  <si>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</si>
  <si>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</si>
  <si>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</si>
  <si>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</si>
  <si>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</si>
  <si>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</si>
  <si>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</si>
  <si>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</si>
  <si>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</si>
  <si>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</si>
  <si>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</si>
  <si>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</si>
  <si>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</si>
  <si>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</si>
  <si>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</si>
  <si>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</si>
  <si>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</si>
  <si>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</si>
  <si>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</si>
  <si>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</si>
  <si>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</si>
  <si>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</si>
  <si>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</si>
  <si>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</si>
  <si>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</si>
  <si>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</si>
  <si>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</si>
  <si>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</si>
  <si>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</si>
  <si>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</si>
  <si>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</si>
  <si>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</si>
  <si>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</si>
  <si>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</si>
  <si>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</si>
  <si>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</si>
  <si>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</si>
  <si>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</si>
  <si>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</si>
  <si>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</si>
  <si>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</si>
  <si>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</si>
  <si>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</si>
  <si>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</si>
  <si>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</si>
  <si>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</si>
  <si>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</si>
  <si>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</si>
  <si>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</si>
  <si>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</si>
  <si>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</si>
  <si>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</si>
  <si>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</si>
  <si>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</si>
  <si>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</si>
  <si>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</si>
  <si>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</si>
  <si>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</si>
  <si>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</si>
  <si>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</si>
  <si>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</si>
  <si>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</si>
  <si>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</si>
  <si>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</si>
  <si>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</si>
  <si>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</si>
  <si>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</si>
  <si>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</si>
  <si>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</si>
  <si>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</si>
  <si>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</si>
  <si>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</si>
  <si>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</si>
  <si>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</si>
  <si>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</si>
  <si>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</si>
  <si>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</si>
  <si>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</si>
  <si>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</si>
  <si>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</si>
  <si>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</si>
  <si>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</si>
  <si>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</si>
  <si>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</si>
  <si>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</si>
  <si>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</si>
  <si>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</si>
  <si>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</si>
  <si>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</si>
  <si>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</si>
  <si>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</si>
  <si>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</si>
  <si>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</si>
  <si>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</si>
  <si>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</si>
  <si>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</si>
  <si>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</si>
  <si>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</si>
  <si>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</si>
  <si>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</si>
  <si>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</si>
  <si>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</si>
  <si>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</si>
  <si>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</si>
  <si>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</si>
  <si>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</si>
  <si>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</si>
  <si>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</si>
  <si>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</si>
  <si>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</si>
  <si>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</si>
  <si>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</si>
  <si>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</si>
  <si>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</si>
  <si>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</si>
  <si>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</si>
  <si>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</si>
  <si>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</si>
  <si>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</si>
  <si>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</si>
  <si>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</si>
  <si>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</si>
  <si>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</si>
  <si>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</si>
  <si>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</si>
  <si>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</si>
  <si>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</si>
  <si>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</si>
  <si>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</si>
  <si>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</si>
  <si>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</si>
  <si>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</si>
  <si>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</si>
  <si>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</si>
  <si>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</si>
  <si>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</si>
  <si>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</si>
  <si>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</si>
  <si>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</si>
  <si>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</si>
  <si>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</si>
  <si>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</si>
  <si>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</si>
  <si>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</si>
  <si>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</si>
  <si>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</si>
  <si>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</si>
  <si>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</si>
  <si>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</si>
  <si>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</si>
  <si>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</si>
  <si>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</si>
  <si>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</si>
  <si>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</si>
  <si>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</si>
  <si>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</si>
  <si>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</si>
  <si>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</si>
  <si>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</si>
  <si>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</si>
  <si>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</si>
  <si>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</si>
  <si>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</si>
  <si>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</si>
  <si>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</si>
  <si>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</si>
  <si>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</si>
  <si>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</si>
  <si>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</si>
  <si>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</si>
  <si>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</si>
  <si>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</si>
  <si>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</si>
  <si>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</si>
  <si>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</si>
  <si>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</si>
  <si>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</si>
  <si>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</si>
  <si>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</si>
  <si>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</si>
  <si>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</si>
  <si>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</si>
  <si>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</si>
  <si>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</si>
  <si>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</si>
  <si>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</si>
  <si>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</si>
  <si>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</si>
  <si>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</si>
  <si>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</si>
  <si>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</si>
  <si>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</si>
  <si>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</si>
  <si>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</si>
  <si>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</si>
  <si>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</si>
  <si>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</si>
  <si>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</si>
  <si>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</si>
  <si>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</si>
  <si>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</si>
  <si>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</si>
  <si>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</si>
  <si>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</si>
  <si>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</si>
  <si>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</si>
  <si>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</si>
  <si>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</si>
  <si>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</si>
  <si>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</si>
  <si>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</si>
  <si>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</si>
  <si>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</si>
  <si>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</si>
  <si>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</si>
  <si>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</si>
  <si>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</si>
  <si>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</si>
  <si>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</si>
  <si>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</si>
  <si>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</si>
  <si>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</si>
  <si>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</si>
  <si>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</si>
  <si>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</si>
  <si>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</si>
  <si>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</si>
  <si>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</si>
  <si>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</si>
  <si>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</si>
  <si>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</si>
  <si>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</si>
  <si>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</si>
  <si>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</si>
  <si>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</si>
  <si>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</si>
  <si>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</si>
  <si>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</si>
  <si>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</si>
  <si>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</si>
  <si>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</si>
  <si>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</si>
  <si>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</si>
  <si>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</si>
  <si>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</si>
  <si>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</si>
  <si>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</si>
  <si>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</si>
  <si>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</si>
  <si>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</si>
  <si>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</si>
  <si>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</si>
  <si>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</si>
  <si>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</si>
  <si>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</si>
  <si>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</si>
  <si>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</si>
  <si>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</si>
  <si>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</si>
  <si>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</si>
  <si>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</si>
  <si>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</si>
  <si>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</si>
  <si>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</si>
  <si>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</si>
  <si>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</si>
  <si>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</si>
  <si>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</si>
  <si>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</si>
  <si>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</si>
  <si>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</si>
  <si>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</si>
  <si>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</si>
  <si>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</si>
  <si>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</si>
  <si>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</si>
  <si>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</si>
  <si>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</si>
  <si>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</si>
  <si>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</si>
  <si>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</si>
  <si>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</si>
  <si>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</si>
  <si>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</si>
  <si>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</si>
  <si>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</si>
  <si>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</si>
  <si>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</si>
  <si>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</si>
  <si>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</si>
  <si>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</si>
  <si>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</si>
  <si>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</si>
  <si>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</si>
  <si>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</si>
  <si>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</si>
  <si>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</si>
  <si>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</si>
  <si>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</si>
  <si>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</si>
  <si>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</si>
  <si>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</si>
  <si>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</si>
  <si>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</si>
  <si>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</si>
  <si>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</si>
  <si>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</si>
  <si>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</si>
  <si>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</si>
  <si>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</si>
  <si>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</si>
  <si>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</si>
  <si>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</si>
  <si>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</si>
  <si>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</si>
  <si>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</si>
  <si>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</si>
  <si>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</si>
  <si>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</si>
  <si>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</si>
  <si>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</si>
  <si>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</si>
  <si>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</si>
  <si>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</si>
  <si>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</si>
  <si>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</si>
  <si>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</si>
  <si>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</si>
  <si>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</si>
  <si>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</si>
  <si>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</si>
  <si>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</si>
  <si>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</si>
  <si>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</si>
  <si>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</si>
  <si>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</si>
  <si>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</si>
  <si>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</si>
  <si>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</si>
  <si>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</si>
  <si>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</si>
  <si>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</si>
  <si>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</si>
  <si>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</si>
  <si>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</si>
  <si>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</si>
  <si>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</si>
  <si>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</si>
  <si>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</si>
  <si>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</si>
  <si>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</si>
  <si>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</si>
  <si>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</si>
  <si>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</si>
  <si>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</si>
  <si>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</si>
  <si>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</si>
  <si>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</si>
  <si>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</si>
  <si>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</si>
  <si>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</si>
  <si>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</si>
  <si>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</si>
  <si>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</si>
  <si>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</si>
  <si>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</si>
  <si>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</si>
  <si>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</si>
  <si>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</si>
  <si>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</si>
  <si>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</si>
  <si>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</si>
  <si>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</si>
  <si>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</si>
  <si>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</si>
  <si>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</si>
  <si>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</si>
  <si>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</si>
  <si>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</si>
  <si>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</si>
  <si>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</si>
  <si>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</si>
  <si>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</si>
  <si>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</si>
  <si>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</si>
  <si>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</si>
  <si>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</si>
  <si>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</si>
  <si>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</si>
  <si>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</si>
  <si>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</si>
  <si>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</si>
  <si>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</si>
  <si>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</si>
  <si>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</si>
  <si>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</si>
  <si>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</si>
  <si>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</si>
  <si>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</si>
  <si>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</si>
  <si>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</si>
  <si>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</si>
  <si>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</si>
  <si>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</si>
  <si>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</si>
  <si>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</si>
  <si>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</si>
  <si>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</si>
  <si>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</si>
  <si>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</si>
  <si>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</si>
  <si>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</si>
  <si>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</si>
  <si>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</si>
  <si>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</si>
  <si>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</si>
  <si>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</si>
  <si>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</si>
  <si>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</si>
  <si>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</si>
  <si>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</si>
  <si>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</si>
  <si>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</si>
  <si>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</si>
  <si>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</si>
  <si>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</si>
  <si>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</si>
  <si>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</si>
  <si>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</si>
  <si>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</si>
  <si>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</si>
  <si>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</si>
  <si>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</si>
  <si>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</si>
  <si>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</si>
  <si>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</si>
  <si>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</si>
  <si>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</si>
  <si>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</si>
  <si>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</si>
  <si>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</si>
  <si>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</si>
  <si>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</si>
  <si>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</si>
  <si>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</si>
  <si>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</si>
  <si>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</si>
  <si>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</si>
  <si>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</si>
  <si>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</si>
  <si>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</si>
  <si>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</si>
  <si>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</si>
  <si>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</si>
  <si>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</si>
  <si>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</si>
  <si>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</si>
  <si>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</si>
  <si>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</si>
  <si>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</si>
  <si>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</si>
  <si>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</si>
  <si>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</si>
  <si>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</si>
  <si>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</si>
  <si>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</si>
  <si>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</si>
  <si>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</si>
  <si>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</si>
  <si>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</si>
  <si>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</si>
  <si>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</si>
  <si>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</si>
  <si>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</si>
  <si>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</si>
  <si>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</si>
  <si>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</si>
  <si>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</si>
  <si>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</si>
  <si>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</si>
  <si>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</si>
  <si>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</si>
  <si>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</si>
  <si>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</si>
  <si>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</si>
  <si>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</si>
  <si>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</si>
  <si>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</si>
  <si>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</si>
  <si>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</si>
  <si>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</si>
  <si>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</si>
  <si>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</si>
  <si>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</si>
  <si>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</si>
  <si>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</si>
  <si>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</si>
  <si>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</si>
  <si>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</si>
  <si>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</si>
  <si>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</si>
  <si>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</si>
  <si>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</si>
  <si>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</si>
  <si>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</si>
  <si>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</si>
  <si>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</si>
  <si>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</si>
  <si>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</si>
  <si>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</si>
  <si>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</si>
  <si>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</si>
  <si>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</si>
  <si>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</si>
  <si>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</si>
  <si>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</si>
  <si>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</si>
  <si>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</si>
  <si>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</si>
  <si>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</si>
  <si>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</si>
  <si>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</si>
  <si>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</si>
  <si>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</si>
  <si>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</si>
  <si>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</si>
  <si>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</si>
  <si>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</si>
  <si>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</si>
  <si>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</si>
  <si>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</si>
  <si>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</si>
  <si>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</si>
  <si>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</si>
  <si>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</si>
  <si>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</si>
  <si>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</si>
  <si>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</si>
  <si>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</si>
  <si>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</si>
  <si>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</si>
  <si>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</si>
  <si>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</si>
  <si>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</si>
  <si>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</si>
  <si>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</si>
  <si>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</si>
  <si>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</si>
  <si>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</si>
  <si>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</si>
  <si>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</si>
  <si>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</si>
  <si>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</si>
  <si>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</si>
  <si>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</si>
  <si>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</si>
  <si>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</si>
  <si>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</si>
  <si>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</si>
  <si>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</si>
  <si>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</si>
  <si>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</si>
  <si>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</si>
  <si>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</si>
  <si>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</si>
  <si>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</si>
  <si>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</si>
  <si>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</si>
  <si>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</si>
  <si>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</si>
  <si>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</si>
  <si>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</si>
  <si>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</si>
  <si>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</si>
  <si>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71045</t>
  </si>
  <si>
    <t>NIEUWERKERKEN</t>
  </si>
  <si>
    <t>Paarden&amp;pony's 200 - 600 kg</t>
  </si>
  <si>
    <t>Paarden&amp;pony's &lt; 200 kg</t>
  </si>
  <si>
    <t>referentietaak LNE (2017); Jaarverslag De Lijn (2015)</t>
  </si>
  <si>
    <t>op basis van VEA (maart 2018) en Inventaris Hernieuwbare Energiebronnen (juni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</si>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</sst>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68348.105558155119</c:v>
                </c:pt>
                <c:pt idx="1">
                  <c:v>10986.071427401886</c:v>
                </c:pt>
                <c:pt idx="2">
                  <c:v>508.34</c:v>
                </c:pt>
                <c:pt idx="3">
                  <c:v>18966.887915294898</c:v>
                </c:pt>
                <c:pt idx="4">
                  <c:v>2072.0138324993195</c:v>
                </c:pt>
                <c:pt idx="5">
                  <c:v>24224.219567585522</c:v>
                </c:pt>
                <c:pt idx="6">
                  <c:v>999.02739698143034</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31641728"/>
        <c:axId val="131643264"/>
      </c:barChart>
      <c:catAx>
        <c:axId val="131641728"/>
        <c:scaling>
          <c:orientation val="minMax"/>
        </c:scaling>
        <c:axPos val="b"/>
        <c:numFmt formatCode="General" sourceLinked="0"/>
        <c:tickLblPos val="nextTo"/>
        <c:crossAx val="131643264"/>
        <c:crosses val="autoZero"/>
        <c:auto val="1"/>
        <c:lblAlgn val="ctr"/>
        <c:lblOffset val="100"/>
      </c:catAx>
      <c:valAx>
        <c:axId val="131643264"/>
        <c:scaling>
          <c:orientation val="minMax"/>
        </c:scaling>
        <c:axPos val="l"/>
        <c:majorGridlines/>
        <c:numFmt formatCode="#,##0" sourceLinked="1"/>
        <c:tickLblPos val="nextTo"/>
        <c:crossAx val="13164172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68348.105558155119</c:v>
                </c:pt>
                <c:pt idx="1">
                  <c:v>10986.071427401886</c:v>
                </c:pt>
                <c:pt idx="2">
                  <c:v>508.34</c:v>
                </c:pt>
                <c:pt idx="3">
                  <c:v>18966.887915294898</c:v>
                </c:pt>
                <c:pt idx="4">
                  <c:v>2072.0138324993195</c:v>
                </c:pt>
                <c:pt idx="5">
                  <c:v>24224.219567585522</c:v>
                </c:pt>
                <c:pt idx="6">
                  <c:v>999.02739698143034</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14440.438940198013</c:v>
                </c:pt>
                <c:pt idx="2">
                  <c:v>1977.5529245072976</c:v>
                </c:pt>
                <c:pt idx="3">
                  <c:v>88.772085818541427</c:v>
                </c:pt>
                <c:pt idx="4">
                  <c:v>4743.7818101067469</c:v>
                </c:pt>
                <c:pt idx="5">
                  <c:v>393.42260650987242</c:v>
                </c:pt>
                <c:pt idx="6">
                  <c:v>6180.8026939847041</c:v>
                </c:pt>
                <c:pt idx="7">
                  <c:v>258.71553780509498</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49871616"/>
        <c:axId val="149877504"/>
      </c:barChart>
      <c:catAx>
        <c:axId val="149871616"/>
        <c:scaling>
          <c:orientation val="minMax"/>
        </c:scaling>
        <c:axPos val="b"/>
        <c:numFmt formatCode="General" sourceLinked="0"/>
        <c:tickLblPos val="nextTo"/>
        <c:crossAx val="149877504"/>
        <c:crosses val="autoZero"/>
        <c:auto val="1"/>
        <c:lblAlgn val="ctr"/>
        <c:lblOffset val="100"/>
      </c:catAx>
      <c:valAx>
        <c:axId val="149877504"/>
        <c:scaling>
          <c:orientation val="minMax"/>
        </c:scaling>
        <c:axPos val="l"/>
        <c:majorGridlines/>
        <c:numFmt formatCode="#,##0" sourceLinked="1"/>
        <c:tickLblPos val="nextTo"/>
        <c:crossAx val="14987161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14440.438940198013</c:v>
                </c:pt>
                <c:pt idx="2">
                  <c:v>1977.5529245072976</c:v>
                </c:pt>
                <c:pt idx="3">
                  <c:v>88.772085818541427</c:v>
                </c:pt>
                <c:pt idx="4">
                  <c:v>4743.7818101067469</c:v>
                </c:pt>
                <c:pt idx="5">
                  <c:v>393.42260650987242</c:v>
                </c:pt>
                <c:pt idx="6">
                  <c:v>6180.8026939847041</c:v>
                </c:pt>
                <c:pt idx="7">
                  <c:v>258.71553780509498</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71045</v>
      </c>
      <c r="B6" s="415"/>
      <c r="C6" s="416"/>
    </row>
    <row r="7" spans="1:7" s="413" customFormat="1" ht="15.75" customHeight="1">
      <c r="A7" s="417" t="str">
        <f>txtMunicipality</f>
        <v>NIEUWERKERKEN</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0.17463132119947561</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0.17463132119947561</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71045</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2814</v>
      </c>
      <c r="C9" s="342">
        <v>2933</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1302.25</v>
      </c>
    </row>
    <row r="15" spans="1:6">
      <c r="A15" s="348" t="s">
        <v>184</v>
      </c>
      <c r="B15" s="334">
        <v>2</v>
      </c>
    </row>
    <row r="16" spans="1:6">
      <c r="A16" s="348" t="s">
        <v>6</v>
      </c>
      <c r="B16" s="334">
        <v>58</v>
      </c>
    </row>
    <row r="17" spans="1:6">
      <c r="A17" s="348" t="s">
        <v>7</v>
      </c>
      <c r="B17" s="334">
        <v>212</v>
      </c>
    </row>
    <row r="18" spans="1:6">
      <c r="A18" s="348" t="s">
        <v>8</v>
      </c>
      <c r="B18" s="334">
        <v>260</v>
      </c>
    </row>
    <row r="19" spans="1:6">
      <c r="A19" s="348" t="s">
        <v>9</v>
      </c>
      <c r="B19" s="334">
        <v>231</v>
      </c>
    </row>
    <row r="20" spans="1:6">
      <c r="A20" s="348" t="s">
        <v>10</v>
      </c>
      <c r="B20" s="334">
        <v>312</v>
      </c>
    </row>
    <row r="21" spans="1:6">
      <c r="A21" s="348" t="s">
        <v>11</v>
      </c>
      <c r="B21" s="334">
        <v>1346</v>
      </c>
    </row>
    <row r="22" spans="1:6">
      <c r="A22" s="348" t="s">
        <v>12</v>
      </c>
      <c r="B22" s="334">
        <v>2121</v>
      </c>
    </row>
    <row r="23" spans="1:6">
      <c r="A23" s="348" t="s">
        <v>13</v>
      </c>
      <c r="B23" s="334">
        <v>30</v>
      </c>
    </row>
    <row r="24" spans="1:6">
      <c r="A24" s="348" t="s">
        <v>14</v>
      </c>
      <c r="B24" s="334">
        <v>0</v>
      </c>
    </row>
    <row r="25" spans="1:6">
      <c r="A25" s="348" t="s">
        <v>15</v>
      </c>
      <c r="B25" s="334">
        <v>292</v>
      </c>
    </row>
    <row r="26" spans="1:6">
      <c r="A26" s="348" t="s">
        <v>16</v>
      </c>
      <c r="B26" s="334">
        <v>29</v>
      </c>
    </row>
    <row r="27" spans="1:6">
      <c r="A27" s="348" t="s">
        <v>17</v>
      </c>
      <c r="B27" s="334">
        <v>0</v>
      </c>
    </row>
    <row r="28" spans="1:6" s="356" customFormat="1">
      <c r="A28" s="355" t="s">
        <v>18</v>
      </c>
      <c r="B28" s="355">
        <v>31430</v>
      </c>
    </row>
    <row r="29" spans="1:6">
      <c r="A29" s="355" t="s">
        <v>884</v>
      </c>
      <c r="B29" s="355">
        <v>27</v>
      </c>
      <c r="C29" s="356"/>
      <c r="D29" s="356"/>
      <c r="E29" s="356"/>
      <c r="F29" s="356"/>
    </row>
    <row r="30" spans="1:6">
      <c r="A30" s="355" t="s">
        <v>885</v>
      </c>
      <c r="B30" s="341">
        <v>2</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912</v>
      </c>
      <c r="D39" s="334">
        <v>15170568</v>
      </c>
      <c r="E39" s="334">
        <v>2733</v>
      </c>
      <c r="F39" s="334">
        <v>10234918</v>
      </c>
    </row>
    <row r="40" spans="1:6">
      <c r="A40" s="348" t="s">
        <v>30</v>
      </c>
      <c r="B40" s="348" t="s">
        <v>29</v>
      </c>
      <c r="C40" s="334">
        <v>0</v>
      </c>
      <c r="D40" s="334">
        <v>0</v>
      </c>
      <c r="E40" s="334">
        <v>0</v>
      </c>
      <c r="F40" s="334">
        <v>0</v>
      </c>
    </row>
    <row r="41" spans="1:6">
      <c r="A41" s="348" t="s">
        <v>32</v>
      </c>
      <c r="B41" s="348" t="s">
        <v>33</v>
      </c>
      <c r="C41" s="334">
        <v>15</v>
      </c>
      <c r="D41" s="334">
        <v>306751</v>
      </c>
      <c r="E41" s="334">
        <v>49</v>
      </c>
      <c r="F41" s="334">
        <v>484575</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4</v>
      </c>
      <c r="D44" s="334">
        <v>136648</v>
      </c>
      <c r="E44" s="334">
        <v>9</v>
      </c>
      <c r="F44" s="334">
        <v>206305</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0</v>
      </c>
      <c r="D48" s="334">
        <v>0</v>
      </c>
      <c r="E48" s="334">
        <v>0</v>
      </c>
      <c r="F48" s="334">
        <v>0</v>
      </c>
    </row>
    <row r="49" spans="1:6">
      <c r="A49" s="348" t="s">
        <v>32</v>
      </c>
      <c r="B49" s="348" t="s">
        <v>40</v>
      </c>
      <c r="C49" s="334">
        <v>0</v>
      </c>
      <c r="D49" s="334">
        <v>0</v>
      </c>
      <c r="E49" s="334">
        <v>0</v>
      </c>
      <c r="F49" s="334">
        <v>0</v>
      </c>
    </row>
    <row r="50" spans="1:6">
      <c r="A50" s="348" t="s">
        <v>32</v>
      </c>
      <c r="B50" s="348" t="s">
        <v>41</v>
      </c>
      <c r="C50" s="334">
        <v>0</v>
      </c>
      <c r="D50" s="334">
        <v>0</v>
      </c>
      <c r="E50" s="334">
        <v>3</v>
      </c>
      <c r="F50" s="334">
        <v>111241</v>
      </c>
    </row>
    <row r="51" spans="1:6">
      <c r="A51" s="348" t="s">
        <v>42</v>
      </c>
      <c r="B51" s="348" t="s">
        <v>43</v>
      </c>
      <c r="C51" s="334">
        <v>0</v>
      </c>
      <c r="D51" s="334">
        <v>0</v>
      </c>
      <c r="E51" s="334">
        <v>62</v>
      </c>
      <c r="F51" s="334">
        <v>3920460</v>
      </c>
    </row>
    <row r="52" spans="1:6">
      <c r="A52" s="348" t="s">
        <v>42</v>
      </c>
      <c r="B52" s="348" t="s">
        <v>29</v>
      </c>
      <c r="C52" s="334">
        <v>0</v>
      </c>
      <c r="D52" s="334">
        <v>56435</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41</v>
      </c>
      <c r="F54" s="334">
        <v>508340</v>
      </c>
    </row>
    <row r="55" spans="1:6">
      <c r="A55" s="348" t="s">
        <v>46</v>
      </c>
      <c r="B55" s="348" t="s">
        <v>29</v>
      </c>
      <c r="C55" s="334">
        <v>0</v>
      </c>
      <c r="D55" s="334">
        <v>0</v>
      </c>
      <c r="E55" s="334">
        <v>0</v>
      </c>
      <c r="F55" s="334">
        <v>0</v>
      </c>
    </row>
    <row r="56" spans="1:6">
      <c r="A56" s="348" t="s">
        <v>48</v>
      </c>
      <c r="B56" s="348" t="s">
        <v>29</v>
      </c>
      <c r="C56" s="334">
        <v>9</v>
      </c>
      <c r="D56" s="334">
        <v>189322</v>
      </c>
      <c r="E56" s="334">
        <v>36</v>
      </c>
      <c r="F56" s="334">
        <v>131833</v>
      </c>
    </row>
    <row r="57" spans="1:6">
      <c r="A57" s="348" t="s">
        <v>49</v>
      </c>
      <c r="B57" s="348" t="s">
        <v>50</v>
      </c>
      <c r="C57" s="334">
        <v>6</v>
      </c>
      <c r="D57" s="334">
        <v>134468</v>
      </c>
      <c r="E57" s="334">
        <v>33</v>
      </c>
      <c r="F57" s="334">
        <v>1084302</v>
      </c>
    </row>
    <row r="58" spans="1:6">
      <c r="A58" s="348" t="s">
        <v>49</v>
      </c>
      <c r="B58" s="348" t="s">
        <v>51</v>
      </c>
      <c r="C58" s="334">
        <v>4</v>
      </c>
      <c r="D58" s="334">
        <v>311703</v>
      </c>
      <c r="E58" s="334">
        <v>8</v>
      </c>
      <c r="F58" s="334">
        <v>481338</v>
      </c>
    </row>
    <row r="59" spans="1:6">
      <c r="A59" s="348" t="s">
        <v>49</v>
      </c>
      <c r="B59" s="348" t="s">
        <v>52</v>
      </c>
      <c r="C59" s="334">
        <v>9</v>
      </c>
      <c r="D59" s="334">
        <v>308470</v>
      </c>
      <c r="E59" s="334">
        <v>86</v>
      </c>
      <c r="F59" s="334">
        <v>2174037</v>
      </c>
    </row>
    <row r="60" spans="1:6">
      <c r="A60" s="348" t="s">
        <v>49</v>
      </c>
      <c r="B60" s="348" t="s">
        <v>53</v>
      </c>
      <c r="C60" s="334">
        <v>8</v>
      </c>
      <c r="D60" s="334">
        <v>299264</v>
      </c>
      <c r="E60" s="334">
        <v>15</v>
      </c>
      <c r="F60" s="334">
        <v>408787</v>
      </c>
    </row>
    <row r="61" spans="1:6">
      <c r="A61" s="348" t="s">
        <v>49</v>
      </c>
      <c r="B61" s="348" t="s">
        <v>54</v>
      </c>
      <c r="C61" s="334">
        <v>34</v>
      </c>
      <c r="D61" s="334">
        <v>1611296</v>
      </c>
      <c r="E61" s="334">
        <v>106</v>
      </c>
      <c r="F61" s="334">
        <v>1596682</v>
      </c>
    </row>
    <row r="62" spans="1:6">
      <c r="A62" s="348" t="s">
        <v>49</v>
      </c>
      <c r="B62" s="348" t="s">
        <v>55</v>
      </c>
      <c r="C62" s="334">
        <v>5</v>
      </c>
      <c r="D62" s="334">
        <v>407597</v>
      </c>
      <c r="E62" s="334">
        <v>8</v>
      </c>
      <c r="F62" s="334">
        <v>102078</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0</v>
      </c>
      <c r="D65" s="334">
        <v>8714</v>
      </c>
      <c r="E65" s="334">
        <v>0</v>
      </c>
      <c r="F65" s="334">
        <v>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3</v>
      </c>
      <c r="F68" s="334">
        <v>13576</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9962576</v>
      </c>
      <c r="E73" s="475">
        <v>10613122.399375802</v>
      </c>
    </row>
    <row r="74" spans="1:6">
      <c r="A74" s="348" t="s">
        <v>64</v>
      </c>
      <c r="B74" s="348" t="s">
        <v>667</v>
      </c>
      <c r="C74" s="1294" t="s">
        <v>669</v>
      </c>
      <c r="D74" s="475">
        <v>1001239.4304995646</v>
      </c>
      <c r="E74" s="475">
        <v>1053085.2374895564</v>
      </c>
    </row>
    <row r="75" spans="1:6">
      <c r="A75" s="348" t="s">
        <v>65</v>
      </c>
      <c r="B75" s="348" t="s">
        <v>666</v>
      </c>
      <c r="C75" s="1294" t="s">
        <v>670</v>
      </c>
      <c r="D75" s="475">
        <v>16705255</v>
      </c>
      <c r="E75" s="475">
        <v>17234062.341179967</v>
      </c>
    </row>
    <row r="76" spans="1:6">
      <c r="A76" s="348" t="s">
        <v>65</v>
      </c>
      <c r="B76" s="348" t="s">
        <v>667</v>
      </c>
      <c r="C76" s="1294" t="s">
        <v>671</v>
      </c>
      <c r="D76" s="475">
        <v>115968.43049956462</v>
      </c>
      <c r="E76" s="475">
        <v>127743.05088646547</v>
      </c>
    </row>
    <row r="77" spans="1:6">
      <c r="A77" s="348" t="s">
        <v>66</v>
      </c>
      <c r="B77" s="348" t="s">
        <v>666</v>
      </c>
      <c r="C77" s="1294" t="s">
        <v>672</v>
      </c>
      <c r="D77" s="475">
        <v>0</v>
      </c>
      <c r="E77" s="475">
        <v>0</v>
      </c>
    </row>
    <row r="78" spans="1:6">
      <c r="A78" s="341" t="s">
        <v>66</v>
      </c>
      <c r="B78" s="341" t="s">
        <v>667</v>
      </c>
      <c r="C78" s="341" t="s">
        <v>673</v>
      </c>
      <c r="D78" s="1295">
        <v>0</v>
      </c>
      <c r="E78" s="1295">
        <v>0</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268325.13900087075</v>
      </c>
      <c r="C83" s="475">
        <v>268325.13900087075</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0</v>
      </c>
    </row>
    <row r="91" spans="1:6">
      <c r="A91" s="348" t="s">
        <v>68</v>
      </c>
      <c r="B91" s="334">
        <v>2602.4244384133904</v>
      </c>
    </row>
    <row r="92" spans="1:6">
      <c r="A92" s="341" t="s">
        <v>69</v>
      </c>
      <c r="B92" s="342">
        <v>2444.3278021123697</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137</v>
      </c>
    </row>
    <row r="98" spans="1:6">
      <c r="A98" s="348" t="s">
        <v>72</v>
      </c>
      <c r="B98" s="334">
        <v>1</v>
      </c>
    </row>
    <row r="99" spans="1:6">
      <c r="A99" s="348" t="s">
        <v>73</v>
      </c>
      <c r="B99" s="334">
        <v>20</v>
      </c>
    </row>
    <row r="100" spans="1:6">
      <c r="A100" s="348" t="s">
        <v>74</v>
      </c>
      <c r="B100" s="334">
        <v>81</v>
      </c>
    </row>
    <row r="101" spans="1:6">
      <c r="A101" s="348" t="s">
        <v>75</v>
      </c>
      <c r="B101" s="334">
        <v>22</v>
      </c>
    </row>
    <row r="102" spans="1:6">
      <c r="A102" s="348" t="s">
        <v>76</v>
      </c>
      <c r="B102" s="334">
        <v>32</v>
      </c>
    </row>
    <row r="103" spans="1:6">
      <c r="A103" s="348" t="s">
        <v>77</v>
      </c>
      <c r="B103" s="334">
        <v>55</v>
      </c>
    </row>
    <row r="104" spans="1:6">
      <c r="A104" s="348" t="s">
        <v>78</v>
      </c>
      <c r="B104" s="334">
        <v>2087</v>
      </c>
    </row>
    <row r="105" spans="1:6">
      <c r="A105" s="341" t="s">
        <v>79</v>
      </c>
      <c r="B105" s="341">
        <v>1</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12</v>
      </c>
      <c r="C123" s="334">
        <v>11</v>
      </c>
    </row>
    <row r="124" spans="1:6">
      <c r="A124" s="341" t="s">
        <v>89</v>
      </c>
      <c r="B124" s="334">
        <v>0</v>
      </c>
      <c r="C124" s="334">
        <v>1</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63</v>
      </c>
    </row>
    <row r="130" spans="1:6">
      <c r="A130" s="348" t="s">
        <v>295</v>
      </c>
      <c r="B130" s="334">
        <v>1</v>
      </c>
    </row>
    <row r="131" spans="1:6">
      <c r="A131" s="348" t="s">
        <v>296</v>
      </c>
      <c r="B131" s="334">
        <v>0</v>
      </c>
    </row>
    <row r="132" spans="1:6">
      <c r="A132" s="341" t="s">
        <v>297</v>
      </c>
      <c r="B132" s="342">
        <v>17</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24053.569651063248</v>
      </c>
      <c r="C3" s="43" t="s">
        <v>170</v>
      </c>
      <c r="D3" s="43"/>
      <c r="E3" s="154"/>
      <c r="F3" s="43"/>
      <c r="G3" s="43"/>
      <c r="H3" s="43"/>
      <c r="I3" s="43"/>
      <c r="J3" s="43"/>
      <c r="K3" s="96"/>
    </row>
    <row r="4" spans="1:11">
      <c r="A4" s="383" t="s">
        <v>171</v>
      </c>
      <c r="B4" s="49">
        <f>IF(ISERROR('SEAP template'!B78+'SEAP template'!C78),0,'SEAP template'!B78+'SEAP template'!C78)</f>
        <v>5046.7522405257605</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0.17463132119947561</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508.34</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508.34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0.17463132119947561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88.772085818541427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10234.918</v>
      </c>
      <c r="C5" s="17">
        <f>IF(ISERROR('Eigen informatie GS &amp; warmtenet'!B57),0,'Eigen informatie GS &amp; warmtenet'!B57)</f>
        <v>0</v>
      </c>
      <c r="D5" s="30">
        <f>(SUM(HH_hh_gas_kWh,HH_rest_gas_kWh)/1000)*0.902</f>
        <v>13683.852336</v>
      </c>
      <c r="E5" s="17">
        <f>B46*B57</f>
        <v>1778.1705280523752</v>
      </c>
      <c r="F5" s="17">
        <f>B51*B62</f>
        <v>33823.423175085751</v>
      </c>
      <c r="G5" s="18"/>
      <c r="H5" s="17"/>
      <c r="I5" s="17"/>
      <c r="J5" s="17">
        <f>B50*B61+C50*C61</f>
        <v>0</v>
      </c>
      <c r="K5" s="17"/>
      <c r="L5" s="17"/>
      <c r="M5" s="17"/>
      <c r="N5" s="17">
        <f>B48*B59+C48*C59</f>
        <v>5555.1337472702717</v>
      </c>
      <c r="O5" s="17">
        <f>B69*B70*B71</f>
        <v>117.25</v>
      </c>
      <c r="P5" s="17">
        <f>B77*B78*B79/1000-B77*B78*B79/1000/B80</f>
        <v>552.93333333333339</v>
      </c>
    </row>
    <row r="6" spans="1:16">
      <c r="A6" s="16" t="s">
        <v>624</v>
      </c>
      <c r="B6" s="788">
        <f>kWh_PV_kleiner_dan_10kW</f>
        <v>2602.4244384133904</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12837.34243841339</v>
      </c>
      <c r="C8" s="21">
        <f>C5</f>
        <v>0</v>
      </c>
      <c r="D8" s="21">
        <f>D5</f>
        <v>13683.852336</v>
      </c>
      <c r="E8" s="21">
        <f>E5</f>
        <v>1778.1705280523752</v>
      </c>
      <c r="F8" s="21">
        <f>F5</f>
        <v>33823.423175085751</v>
      </c>
      <c r="G8" s="21"/>
      <c r="H8" s="21"/>
      <c r="I8" s="21"/>
      <c r="J8" s="21">
        <f>J5</f>
        <v>0</v>
      </c>
      <c r="K8" s="21"/>
      <c r="L8" s="21">
        <f>L5</f>
        <v>0</v>
      </c>
      <c r="M8" s="21">
        <f>M5</f>
        <v>0</v>
      </c>
      <c r="N8" s="21">
        <f>N5</f>
        <v>5555.1337472702717</v>
      </c>
      <c r="O8" s="21">
        <f>O5</f>
        <v>117.25</v>
      </c>
      <c r="P8" s="21">
        <f>P5</f>
        <v>552.93333333333339</v>
      </c>
    </row>
    <row r="9" spans="1:16">
      <c r="B9" s="19"/>
      <c r="C9" s="19"/>
      <c r="D9" s="258"/>
      <c r="E9" s="19"/>
      <c r="F9" s="19"/>
      <c r="G9" s="19"/>
      <c r="H9" s="19"/>
      <c r="I9" s="19"/>
      <c r="J9" s="19"/>
      <c r="K9" s="19"/>
      <c r="L9" s="19"/>
      <c r="M9" s="19"/>
      <c r="N9" s="19"/>
      <c r="O9" s="19"/>
      <c r="P9" s="19"/>
    </row>
    <row r="10" spans="1:16">
      <c r="A10" s="24" t="s">
        <v>214</v>
      </c>
      <c r="B10" s="25">
        <f ca="1">'EF ele_warmte'!B12</f>
        <v>0.17463132119947561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2241.8020707102282</v>
      </c>
      <c r="C12" s="23">
        <f ca="1">C10*C8</f>
        <v>0</v>
      </c>
      <c r="D12" s="23">
        <f>D8*D10</f>
        <v>2764.1381718720004</v>
      </c>
      <c r="E12" s="23">
        <f>E10*E8</f>
        <v>403.64470986788916</v>
      </c>
      <c r="F12" s="23">
        <f>F10*F8</f>
        <v>9030.8539877478961</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137</v>
      </c>
      <c r="C18" s="166" t="s">
        <v>111</v>
      </c>
      <c r="D18" s="228"/>
      <c r="E18" s="15"/>
    </row>
    <row r="19" spans="1:7">
      <c r="A19" s="171" t="s">
        <v>72</v>
      </c>
      <c r="B19" s="37">
        <f>aantalw2001_ander</f>
        <v>1</v>
      </c>
      <c r="C19" s="166" t="s">
        <v>111</v>
      </c>
      <c r="D19" s="229"/>
      <c r="E19" s="15"/>
    </row>
    <row r="20" spans="1:7">
      <c r="A20" s="171" t="s">
        <v>73</v>
      </c>
      <c r="B20" s="37">
        <f>aantalw2001_propaan</f>
        <v>20</v>
      </c>
      <c r="C20" s="167">
        <f>IF(ISERROR(B20/SUM($B$20,$B$21,$B$22)*100),0,B20/SUM($B$20,$B$21,$B$22)*100)</f>
        <v>16.260162601626014</v>
      </c>
      <c r="D20" s="229"/>
      <c r="E20" s="15"/>
    </row>
    <row r="21" spans="1:7">
      <c r="A21" s="171" t="s">
        <v>74</v>
      </c>
      <c r="B21" s="37">
        <f>aantalw2001_elektriciteit</f>
        <v>81</v>
      </c>
      <c r="C21" s="167">
        <f>IF(ISERROR(B21/SUM($B$20,$B$21,$B$22)*100),0,B21/SUM($B$20,$B$21,$B$22)*100)</f>
        <v>65.853658536585371</v>
      </c>
      <c r="D21" s="229"/>
      <c r="E21" s="15"/>
    </row>
    <row r="22" spans="1:7">
      <c r="A22" s="171" t="s">
        <v>75</v>
      </c>
      <c r="B22" s="37">
        <f>aantalw2001_hout</f>
        <v>22</v>
      </c>
      <c r="C22" s="167">
        <f>IF(ISERROR(B22/SUM($B$20,$B$21,$B$22)*100),0,B22/SUM($B$20,$B$21,$B$22)*100)</f>
        <v>17.886178861788618</v>
      </c>
      <c r="D22" s="229"/>
      <c r="E22" s="15"/>
    </row>
    <row r="23" spans="1:7">
      <c r="A23" s="171" t="s">
        <v>76</v>
      </c>
      <c r="B23" s="37">
        <f>aantalw2001_niet_gespec</f>
        <v>32</v>
      </c>
      <c r="C23" s="166" t="s">
        <v>111</v>
      </c>
      <c r="D23" s="228"/>
      <c r="E23" s="15"/>
    </row>
    <row r="24" spans="1:7">
      <c r="A24" s="171" t="s">
        <v>77</v>
      </c>
      <c r="B24" s="37">
        <f>aantalw2001_steenkool</f>
        <v>55</v>
      </c>
      <c r="C24" s="166" t="s">
        <v>111</v>
      </c>
      <c r="D24" s="229"/>
      <c r="E24" s="15"/>
    </row>
    <row r="25" spans="1:7">
      <c r="A25" s="171" t="s">
        <v>78</v>
      </c>
      <c r="B25" s="37">
        <f>aantalw2001_stookolie</f>
        <v>2087</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698</v>
      </c>
      <c r="B28" s="37">
        <f>aantalHuishoudens2011</f>
        <v>2814</v>
      </c>
      <c r="C28" s="36"/>
      <c r="D28" s="228"/>
    </row>
    <row r="29" spans="1:7" s="15" customFormat="1">
      <c r="A29" s="230" t="s">
        <v>699</v>
      </c>
      <c r="B29" s="37">
        <f>SUM(HH_hh_gas_aantal,HH_rest_gas_aantal)</f>
        <v>912</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912</v>
      </c>
      <c r="C32" s="167">
        <f>IF(ISERROR(B32/SUM($B$32,$B$34,$B$35,$B$36,$B$38,$B$39)*100),0,B32/SUM($B$32,$B$34,$B$35,$B$36,$B$38,$B$39)*100)</f>
        <v>32.746858168761221</v>
      </c>
      <c r="D32" s="233"/>
      <c r="G32" s="15"/>
    </row>
    <row r="33" spans="1:7">
      <c r="A33" s="171" t="s">
        <v>72</v>
      </c>
      <c r="B33" s="34" t="s">
        <v>111</v>
      </c>
      <c r="C33" s="167"/>
      <c r="D33" s="233"/>
      <c r="G33" s="15"/>
    </row>
    <row r="34" spans="1:7">
      <c r="A34" s="171" t="s">
        <v>73</v>
      </c>
      <c r="B34" s="33">
        <f>IF((($B$28-$B$32-$B$39-$B$77-$B$38)*C20/100)&lt;0,0,($B$28-$B$32-$B$39-$B$77-$B$38)*C20/100)</f>
        <v>78.617886178861781</v>
      </c>
      <c r="C34" s="167">
        <f>IF(ISERROR(B34/SUM($B$32,$B$34,$B$35,$B$36,$B$38,$B$39)*100),0,B34/SUM($B$32,$B$34,$B$35,$B$36,$B$38,$B$39)*100)</f>
        <v>2.8229043511260965</v>
      </c>
      <c r="D34" s="233"/>
      <c r="G34" s="15"/>
    </row>
    <row r="35" spans="1:7">
      <c r="A35" s="171" t="s">
        <v>74</v>
      </c>
      <c r="B35" s="33">
        <f>IF((($B$28-$B$32-$B$39-$B$77-$B$38)*C21/100)&lt;0,0,($B$28-$B$32-$B$39-$B$77-$B$38)*C21/100)</f>
        <v>318.40243902439028</v>
      </c>
      <c r="C35" s="167">
        <f>IF(ISERROR(B35/SUM($B$32,$B$34,$B$35,$B$36,$B$38,$B$39)*100),0,B35/SUM($B$32,$B$34,$B$35,$B$36,$B$38,$B$39)*100)</f>
        <v>11.432762622060693</v>
      </c>
      <c r="D35" s="233"/>
      <c r="G35" s="15"/>
    </row>
    <row r="36" spans="1:7">
      <c r="A36" s="171" t="s">
        <v>75</v>
      </c>
      <c r="B36" s="33">
        <f>IF((($B$28-$B$32-$B$39-$B$77-$B$38)*C22/100)&lt;0,0,($B$28-$B$32-$B$39-$B$77-$B$38)*C22/100)</f>
        <v>86.479674796747972</v>
      </c>
      <c r="C36" s="167">
        <f>IF(ISERROR(B36/SUM($B$32,$B$34,$B$35,$B$36,$B$38,$B$39)*100),0,B36/SUM($B$32,$B$34,$B$35,$B$36,$B$38,$B$39)*100)</f>
        <v>3.1051947862387066</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1389.5</v>
      </c>
      <c r="C39" s="167">
        <f>IF(ISERROR(B39/SUM($B$32,$B$34,$B$35,$B$36,$B$38,$B$39)*100),0,B39/SUM($B$32,$B$34,$B$35,$B$36,$B$38,$B$39)*100)</f>
        <v>49.892280071813282</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912</v>
      </c>
      <c r="C44" s="34" t="s">
        <v>111</v>
      </c>
      <c r="D44" s="174"/>
    </row>
    <row r="45" spans="1:7">
      <c r="A45" s="171" t="s">
        <v>72</v>
      </c>
      <c r="B45" s="33" t="str">
        <f t="shared" si="0"/>
        <v>-</v>
      </c>
      <c r="C45" s="34" t="s">
        <v>111</v>
      </c>
      <c r="D45" s="174"/>
    </row>
    <row r="46" spans="1:7">
      <c r="A46" s="171" t="s">
        <v>73</v>
      </c>
      <c r="B46" s="33">
        <f t="shared" si="0"/>
        <v>78.617886178861781</v>
      </c>
      <c r="C46" s="34" t="s">
        <v>111</v>
      </c>
      <c r="D46" s="174"/>
    </row>
    <row r="47" spans="1:7">
      <c r="A47" s="171" t="s">
        <v>74</v>
      </c>
      <c r="B47" s="33">
        <f t="shared" si="0"/>
        <v>318.40243902439028</v>
      </c>
      <c r="C47" s="34" t="s">
        <v>111</v>
      </c>
      <c r="D47" s="174"/>
    </row>
    <row r="48" spans="1:7">
      <c r="A48" s="171" t="s">
        <v>75</v>
      </c>
      <c r="B48" s="33">
        <f t="shared" si="0"/>
        <v>86.479674796747972</v>
      </c>
      <c r="C48" s="33">
        <f>B48*10</f>
        <v>864.79674796747975</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1389.5</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75</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29</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5847.2239999999993</v>
      </c>
      <c r="C5" s="17">
        <f>IF(ISERROR('Eigen informatie GS &amp; warmtenet'!B58),0,'Eigen informatie GS &amp; warmtenet'!B58)</f>
        <v>0</v>
      </c>
      <c r="D5" s="30">
        <f>SUM(D6:D12)</f>
        <v>2771.6637960000003</v>
      </c>
      <c r="E5" s="17">
        <f>SUM(E6:E12)</f>
        <v>104.91875536359616</v>
      </c>
      <c r="F5" s="17">
        <f>SUM(F6:F12)</f>
        <v>1396.0742613426171</v>
      </c>
      <c r="G5" s="18"/>
      <c r="H5" s="17"/>
      <c r="I5" s="17"/>
      <c r="J5" s="17">
        <f>SUM(J6:J12)</f>
        <v>0</v>
      </c>
      <c r="K5" s="17"/>
      <c r="L5" s="17"/>
      <c r="M5" s="17"/>
      <c r="N5" s="17">
        <f>SUM(N6:N12)</f>
        <v>864.62728136233943</v>
      </c>
      <c r="O5" s="17">
        <f>B38*B39*B40</f>
        <v>1.5633333333333335</v>
      </c>
      <c r="P5" s="17">
        <f>B46*B47*B48/1000-B46*B47*B48/1000/B49</f>
        <v>0</v>
      </c>
      <c r="R5" s="32"/>
    </row>
    <row r="6" spans="1:18">
      <c r="A6" s="32" t="s">
        <v>54</v>
      </c>
      <c r="B6" s="37">
        <f>B26</f>
        <v>1596.682</v>
      </c>
      <c r="C6" s="33"/>
      <c r="D6" s="37">
        <f>IF(ISERROR(TER_kantoor_gas_kWh/1000),0,TER_kantoor_gas_kWh/1000)*0.902</f>
        <v>1453.3889920000001</v>
      </c>
      <c r="E6" s="33">
        <f>$C$26*'E Balans VL '!I12/100/3.6*1000000</f>
        <v>20.902534207026168</v>
      </c>
      <c r="F6" s="33">
        <f>$C$26*('E Balans VL '!L12+'E Balans VL '!N12)/100/3.6*1000000</f>
        <v>407.13741050454905</v>
      </c>
      <c r="G6" s="34"/>
      <c r="H6" s="33"/>
      <c r="I6" s="33"/>
      <c r="J6" s="33">
        <f>$C$26*('E Balans VL '!D12+'E Balans VL '!E12)/100/3.6*1000000</f>
        <v>0</v>
      </c>
      <c r="K6" s="33"/>
      <c r="L6" s="33"/>
      <c r="M6" s="33"/>
      <c r="N6" s="33">
        <f>$C$26*'E Balans VL '!Y12/100/3.6*1000000</f>
        <v>1.6020587411122265</v>
      </c>
      <c r="O6" s="33"/>
      <c r="P6" s="33"/>
      <c r="R6" s="32"/>
    </row>
    <row r="7" spans="1:18">
      <c r="A7" s="32" t="s">
        <v>53</v>
      </c>
      <c r="B7" s="37">
        <f t="shared" ref="B7:B12" si="0">B27</f>
        <v>408.78699999999998</v>
      </c>
      <c r="C7" s="33"/>
      <c r="D7" s="37">
        <f>IF(ISERROR(TER_horeca_gas_kWh/1000),0,TER_horeca_gas_kWh/1000)*0.902</f>
        <v>269.936128</v>
      </c>
      <c r="E7" s="33">
        <f>$C$27*'E Balans VL '!I9/100/3.6*1000000</f>
        <v>13.528363132093256</v>
      </c>
      <c r="F7" s="33">
        <f>$C$27*('E Balans VL '!L9+'E Balans VL '!N9)/100/3.6*1000000</f>
        <v>175.776843338449</v>
      </c>
      <c r="G7" s="34"/>
      <c r="H7" s="33"/>
      <c r="I7" s="33"/>
      <c r="J7" s="33">
        <f>$C$27*('E Balans VL '!D9+'E Balans VL '!E9)/100/3.6*1000000</f>
        <v>0</v>
      </c>
      <c r="K7" s="33"/>
      <c r="L7" s="33"/>
      <c r="M7" s="33"/>
      <c r="N7" s="33">
        <f>$C$27*'E Balans VL '!Y9/100/3.6*1000000</f>
        <v>9.8400967138688053E-2</v>
      </c>
      <c r="O7" s="33"/>
      <c r="P7" s="33"/>
      <c r="R7" s="32"/>
    </row>
    <row r="8" spans="1:18">
      <c r="A8" s="6" t="s">
        <v>52</v>
      </c>
      <c r="B8" s="37">
        <f t="shared" si="0"/>
        <v>2174.0369999999998</v>
      </c>
      <c r="C8" s="33"/>
      <c r="D8" s="37">
        <f>IF(ISERROR(TER_handel_gas_kWh/1000),0,TER_handel_gas_kWh/1000)*0.902</f>
        <v>278.23994000000005</v>
      </c>
      <c r="E8" s="33">
        <f>$C$28*'E Balans VL '!I13/100/3.6*1000000</f>
        <v>68.615929549656471</v>
      </c>
      <c r="F8" s="33">
        <f>$C$28*('E Balans VL '!L13+'E Balans VL '!N13)/100/3.6*1000000</f>
        <v>426.36693811478688</v>
      </c>
      <c r="G8" s="34"/>
      <c r="H8" s="33"/>
      <c r="I8" s="33"/>
      <c r="J8" s="33">
        <f>$C$28*('E Balans VL '!D13+'E Balans VL '!E13)/100/3.6*1000000</f>
        <v>0</v>
      </c>
      <c r="K8" s="33"/>
      <c r="L8" s="33"/>
      <c r="M8" s="33"/>
      <c r="N8" s="33">
        <f>$C$28*'E Balans VL '!Y13/100/3.6*1000000</f>
        <v>2.5801598348981507</v>
      </c>
      <c r="O8" s="33"/>
      <c r="P8" s="33"/>
      <c r="R8" s="32"/>
    </row>
    <row r="9" spans="1:18">
      <c r="A9" s="32" t="s">
        <v>51</v>
      </c>
      <c r="B9" s="37">
        <f t="shared" si="0"/>
        <v>481.33800000000002</v>
      </c>
      <c r="C9" s="33"/>
      <c r="D9" s="37">
        <f>IF(ISERROR(TER_gezond_gas_kWh/1000),0,TER_gezond_gas_kWh/1000)*0.902</f>
        <v>281.15610599999997</v>
      </c>
      <c r="E9" s="33">
        <f>$C$29*'E Balans VL '!I10/100/3.6*1000000</f>
        <v>6.1625345230753893E-2</v>
      </c>
      <c r="F9" s="33">
        <f>$C$29*('E Balans VL '!L10+'E Balans VL '!N10)/100/3.6*1000000</f>
        <v>100.28288012445999</v>
      </c>
      <c r="G9" s="34"/>
      <c r="H9" s="33"/>
      <c r="I9" s="33"/>
      <c r="J9" s="33">
        <f>$C$29*('E Balans VL '!D10+'E Balans VL '!E10)/100/3.6*1000000</f>
        <v>0</v>
      </c>
      <c r="K9" s="33"/>
      <c r="L9" s="33"/>
      <c r="M9" s="33"/>
      <c r="N9" s="33">
        <f>$C$29*'E Balans VL '!Y10/100/3.6*1000000</f>
        <v>5.6535423202486221</v>
      </c>
      <c r="O9" s="33"/>
      <c r="P9" s="33"/>
      <c r="R9" s="32"/>
    </row>
    <row r="10" spans="1:18">
      <c r="A10" s="32" t="s">
        <v>50</v>
      </c>
      <c r="B10" s="37">
        <f t="shared" si="0"/>
        <v>1084.3019999999999</v>
      </c>
      <c r="C10" s="33"/>
      <c r="D10" s="37">
        <f>IF(ISERROR(TER_ander_gas_kWh/1000),0,TER_ander_gas_kWh/1000)*0.902</f>
        <v>121.29013599999999</v>
      </c>
      <c r="E10" s="33">
        <f>$C$30*'E Balans VL '!I14/100/3.6*1000000</f>
        <v>1.6305352174826859</v>
      </c>
      <c r="F10" s="33">
        <f>$C$30*('E Balans VL '!L14+'E Balans VL '!N14)/100/3.6*1000000</f>
        <v>239.37892956201716</v>
      </c>
      <c r="G10" s="34"/>
      <c r="H10" s="33"/>
      <c r="I10" s="33"/>
      <c r="J10" s="33">
        <f>$C$30*('E Balans VL '!D14+'E Balans VL '!E14)/100/3.6*1000000</f>
        <v>0</v>
      </c>
      <c r="K10" s="33"/>
      <c r="L10" s="33"/>
      <c r="M10" s="33"/>
      <c r="N10" s="33">
        <f>$C$30*'E Balans VL '!Y14/100/3.6*1000000</f>
        <v>854.50294677332772</v>
      </c>
      <c r="O10" s="33"/>
      <c r="P10" s="33"/>
      <c r="R10" s="32"/>
    </row>
    <row r="11" spans="1:18">
      <c r="A11" s="32" t="s">
        <v>55</v>
      </c>
      <c r="B11" s="37">
        <f t="shared" si="0"/>
        <v>102.078</v>
      </c>
      <c r="C11" s="33"/>
      <c r="D11" s="37">
        <f>IF(ISERROR(TER_onderwijs_gas_kWh/1000),0,TER_onderwijs_gas_kWh/1000)*0.902</f>
        <v>367.65249399999999</v>
      </c>
      <c r="E11" s="33">
        <f>$C$31*'E Balans VL '!I11/100/3.6*1000000</f>
        <v>0.17976791210683155</v>
      </c>
      <c r="F11" s="33">
        <f>$C$31*('E Balans VL '!L11+'E Balans VL '!N11)/100/3.6*1000000</f>
        <v>47.131259698355038</v>
      </c>
      <c r="G11" s="34"/>
      <c r="H11" s="33"/>
      <c r="I11" s="33"/>
      <c r="J11" s="33">
        <f>$C$31*('E Balans VL '!D11+'E Balans VL '!E11)/100/3.6*1000000</f>
        <v>0</v>
      </c>
      <c r="K11" s="33"/>
      <c r="L11" s="33"/>
      <c r="M11" s="33"/>
      <c r="N11" s="33">
        <f>$C$31*'E Balans VL '!Y11/100/3.6*1000000</f>
        <v>0.19017272561407325</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491</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5847.2239999999993</v>
      </c>
      <c r="C16" s="21">
        <f t="shared" ca="1" si="1"/>
        <v>0</v>
      </c>
      <c r="D16" s="21">
        <f t="shared" ca="1" si="1"/>
        <v>2771.6637960000003</v>
      </c>
      <c r="E16" s="21">
        <f t="shared" si="1"/>
        <v>104.91875536359616</v>
      </c>
      <c r="F16" s="21">
        <f t="shared" ca="1" si="1"/>
        <v>1396.0742613426171</v>
      </c>
      <c r="G16" s="21">
        <f t="shared" si="1"/>
        <v>0</v>
      </c>
      <c r="H16" s="21">
        <f t="shared" si="1"/>
        <v>0</v>
      </c>
      <c r="I16" s="21">
        <f t="shared" si="1"/>
        <v>0</v>
      </c>
      <c r="J16" s="21">
        <f t="shared" si="1"/>
        <v>0</v>
      </c>
      <c r="K16" s="21">
        <f t="shared" si="1"/>
        <v>0</v>
      </c>
      <c r="L16" s="21">
        <f t="shared" ca="1" si="1"/>
        <v>0</v>
      </c>
      <c r="M16" s="21">
        <f t="shared" si="1"/>
        <v>0</v>
      </c>
      <c r="N16" s="21">
        <f t="shared" ca="1" si="1"/>
        <v>864.62728136233943</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0.17463132119947561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1021.1084524692824</v>
      </c>
      <c r="C20" s="23">
        <f t="shared" ref="C20:P20" ca="1" si="2">C16*C18</f>
        <v>0</v>
      </c>
      <c r="D20" s="23">
        <f t="shared" ca="1" si="2"/>
        <v>559.87608679200014</v>
      </c>
      <c r="E20" s="23">
        <f t="shared" si="2"/>
        <v>23.816557467536331</v>
      </c>
      <c r="F20" s="23">
        <f t="shared" ca="1" si="2"/>
        <v>372.7518277784788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1596.682</v>
      </c>
      <c r="C26" s="39">
        <f>IF(ISERROR(B26*3.6/1000000/'E Balans VL '!Z12*100),0,B26*3.6/1000000/'E Balans VL '!Z12*100)</f>
        <v>3.4202168853944663E-2</v>
      </c>
      <c r="D26" s="237" t="s">
        <v>660</v>
      </c>
      <c r="F26" s="6"/>
    </row>
    <row r="27" spans="1:18">
      <c r="A27" s="231" t="s">
        <v>53</v>
      </c>
      <c r="B27" s="33">
        <f>IF(ISERROR(TER_horeca_ele_kWh/1000),0,TER_horeca_ele_kWh/1000)</f>
        <v>408.78699999999998</v>
      </c>
      <c r="C27" s="39">
        <f>IF(ISERROR(B27*3.6/1000000/'E Balans VL '!Z9*100),0,B27*3.6/1000000/'E Balans VL '!Z9*100)</f>
        <v>3.2803735820891654E-2</v>
      </c>
      <c r="D27" s="237" t="s">
        <v>660</v>
      </c>
      <c r="F27" s="6"/>
    </row>
    <row r="28" spans="1:18">
      <c r="A28" s="171" t="s">
        <v>52</v>
      </c>
      <c r="B28" s="33">
        <f>IF(ISERROR(TER_handel_ele_kWh/1000),0,TER_handel_ele_kWh/1000)</f>
        <v>2174.0369999999998</v>
      </c>
      <c r="C28" s="39">
        <f>IF(ISERROR(B28*3.6/1000000/'E Balans VL '!Z13*100),0,B28*3.6/1000000/'E Balans VL '!Z13*100)</f>
        <v>6.4121621721147062E-2</v>
      </c>
      <c r="D28" s="237" t="s">
        <v>660</v>
      </c>
      <c r="F28" s="6"/>
    </row>
    <row r="29" spans="1:18">
      <c r="A29" s="231" t="s">
        <v>51</v>
      </c>
      <c r="B29" s="33">
        <f>IF(ISERROR(TER_gezond_ele_kWh/1000),0,TER_gezond_ele_kWh/1000)</f>
        <v>481.33800000000002</v>
      </c>
      <c r="C29" s="39">
        <f>IF(ISERROR(B29*3.6/1000000/'E Balans VL '!Z10*100),0,B29*3.6/1000000/'E Balans VL '!Z10*100)</f>
        <v>5.139399324428065E-2</v>
      </c>
      <c r="D29" s="237" t="s">
        <v>660</v>
      </c>
      <c r="F29" s="6"/>
    </row>
    <row r="30" spans="1:18">
      <c r="A30" s="231" t="s">
        <v>50</v>
      </c>
      <c r="B30" s="33">
        <f>IF(ISERROR(TER_ander_ele_kWh/1000),0,TER_ander_ele_kWh/1000)</f>
        <v>1084.3019999999999</v>
      </c>
      <c r="C30" s="39">
        <f>IF(ISERROR(B30*3.6/1000000/'E Balans VL '!Z14*100),0,B30*3.6/1000000/'E Balans VL '!Z14*100)</f>
        <v>8.1901587942205173E-2</v>
      </c>
      <c r="D30" s="237" t="s">
        <v>660</v>
      </c>
      <c r="F30" s="6"/>
    </row>
    <row r="31" spans="1:18">
      <c r="A31" s="231" t="s">
        <v>55</v>
      </c>
      <c r="B31" s="33">
        <f>IF(ISERROR(TER_onderwijs_ele_kWh/1000),0,TER_onderwijs_ele_kWh/1000)</f>
        <v>102.078</v>
      </c>
      <c r="C31" s="39">
        <f>IF(ISERROR(B31*3.6/1000000/'E Balans VL '!Z11*100),0,B31*3.6/1000000/'E Balans VL '!Z11*100)</f>
        <v>2.0612955826893532E-2</v>
      </c>
      <c r="D31" s="237" t="s">
        <v>660</v>
      </c>
    </row>
    <row r="32" spans="1:18">
      <c r="A32" s="231" t="s">
        <v>260</v>
      </c>
      <c r="B32" s="33">
        <f>IF(ISERROR(TER_rest_ele_kWh/1000),0,TER_rest_ele_kWh/1000)</f>
        <v>0</v>
      </c>
      <c r="C32" s="39">
        <f>IF(ISERROR(B32*3.6/1000000/'E Balans VL '!Z8*100),0,B32*3.6/1000000/'E Balans VL '!Z8*100)</f>
        <v>0</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0</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802.12099999999998</v>
      </c>
      <c r="C5" s="17">
        <f>IF(ISERROR('Eigen informatie GS &amp; warmtenet'!B59),0,'Eigen informatie GS &amp; warmtenet'!B59)</f>
        <v>0</v>
      </c>
      <c r="D5" s="30">
        <f>SUM(D6:D15)</f>
        <v>399.94589799999994</v>
      </c>
      <c r="E5" s="17">
        <f>SUM(E6:E15)</f>
        <v>133.90395316488272</v>
      </c>
      <c r="F5" s="17">
        <f>SUM(F6:F15)</f>
        <v>532.44152716703923</v>
      </c>
      <c r="G5" s="18"/>
      <c r="H5" s="17"/>
      <c r="I5" s="17"/>
      <c r="J5" s="17">
        <f>SUM(J6:J15)</f>
        <v>0</v>
      </c>
      <c r="K5" s="17"/>
      <c r="L5" s="17"/>
      <c r="M5" s="17"/>
      <c r="N5" s="17">
        <f>SUM(N6:N15)</f>
        <v>203.60145416739763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206.30500000000001</v>
      </c>
      <c r="C8" s="33"/>
      <c r="D8" s="37">
        <f>IF( ISERROR(IND_metaal_Gas_kWH/1000),0,IND_metaal_Gas_kWH/1000)*0.902</f>
        <v>123.256496</v>
      </c>
      <c r="E8" s="33">
        <f>C30*'E Balans VL '!I18/100/3.6*1000000</f>
        <v>7.423478014932507</v>
      </c>
      <c r="F8" s="33">
        <f>C30*'E Balans VL '!L18/100/3.6*1000000+C30*'E Balans VL '!N18/100/3.6*1000000</f>
        <v>90.086705811427535</v>
      </c>
      <c r="G8" s="34"/>
      <c r="H8" s="33"/>
      <c r="I8" s="33"/>
      <c r="J8" s="40">
        <f>C30*'E Balans VL '!D18/100/3.6*1000000+C30*'E Balans VL '!E18/100/3.6*1000000</f>
        <v>0</v>
      </c>
      <c r="K8" s="33"/>
      <c r="L8" s="33"/>
      <c r="M8" s="33"/>
      <c r="N8" s="33">
        <f>C30*'E Balans VL '!Y18/100/3.6*1000000</f>
        <v>10.339866400897058</v>
      </c>
      <c r="O8" s="33"/>
      <c r="P8" s="33"/>
      <c r="R8" s="32"/>
    </row>
    <row r="9" spans="1:18">
      <c r="A9" s="6" t="s">
        <v>33</v>
      </c>
      <c r="B9" s="37">
        <f t="shared" si="0"/>
        <v>484.57499999999999</v>
      </c>
      <c r="C9" s="33"/>
      <c r="D9" s="37">
        <f>IF( ISERROR(IND_andere_gas_kWh/1000),0,IND_andere_gas_kWh/1000)*0.902</f>
        <v>276.68940199999997</v>
      </c>
      <c r="E9" s="33">
        <f>C31*'E Balans VL '!I19/100/3.6*1000000</f>
        <v>123.65257618353991</v>
      </c>
      <c r="F9" s="33">
        <f>C31*'E Balans VL '!L19/100/3.6*1000000+C31*'E Balans VL '!N19/100/3.6*1000000</f>
        <v>417.18265292703148</v>
      </c>
      <c r="G9" s="34"/>
      <c r="H9" s="33"/>
      <c r="I9" s="33"/>
      <c r="J9" s="40">
        <f>C31*'E Balans VL '!D19/100/3.6*1000000+C31*'E Balans VL '!E19/100/3.6*1000000</f>
        <v>0</v>
      </c>
      <c r="K9" s="33"/>
      <c r="L9" s="33"/>
      <c r="M9" s="33"/>
      <c r="N9" s="33">
        <f>C31*'E Balans VL '!Y19/100/3.6*1000000</f>
        <v>151.54319746059258</v>
      </c>
      <c r="O9" s="33"/>
      <c r="P9" s="33"/>
      <c r="R9" s="32"/>
    </row>
    <row r="10" spans="1:18">
      <c r="A10" s="6" t="s">
        <v>41</v>
      </c>
      <c r="B10" s="37">
        <f t="shared" si="0"/>
        <v>111.241</v>
      </c>
      <c r="C10" s="33"/>
      <c r="D10" s="37">
        <f>IF( ISERROR(IND_voed_gas_kWh/1000),0,IND_voed_gas_kWh/1000)*0.902</f>
        <v>0</v>
      </c>
      <c r="E10" s="33">
        <f>C32*'E Balans VL '!I20/100/3.6*1000000</f>
        <v>2.8278989664103102</v>
      </c>
      <c r="F10" s="33">
        <f>C32*'E Balans VL '!L20/100/3.6*1000000+C32*'E Balans VL '!N20/100/3.6*1000000</f>
        <v>25.172168428580193</v>
      </c>
      <c r="G10" s="34"/>
      <c r="H10" s="33"/>
      <c r="I10" s="33"/>
      <c r="J10" s="40">
        <f>C32*'E Balans VL '!D20/100/3.6*1000000+C32*'E Balans VL '!E20/100/3.6*1000000</f>
        <v>0</v>
      </c>
      <c r="K10" s="33"/>
      <c r="L10" s="33"/>
      <c r="M10" s="33"/>
      <c r="N10" s="33">
        <f>C32*'E Balans VL '!Y20/100/3.6*1000000</f>
        <v>41.718390305908009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0</v>
      </c>
      <c r="C15" s="33"/>
      <c r="D15" s="37">
        <f>IF( ISERROR(IND_rest_gas_kWh/1000),0,IND_rest_gas_kWh/1000)*0.902</f>
        <v>0</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802.12099999999998</v>
      </c>
      <c r="C18" s="21">
        <f>C5+C16</f>
        <v>0</v>
      </c>
      <c r="D18" s="21">
        <f>MAX((D5+D16),0)</f>
        <v>399.94589799999994</v>
      </c>
      <c r="E18" s="21">
        <f>MAX((E5+E16),0)</f>
        <v>133.90395316488272</v>
      </c>
      <c r="F18" s="21">
        <f>MAX((F5+F16),0)</f>
        <v>532.44152716703923</v>
      </c>
      <c r="G18" s="21"/>
      <c r="H18" s="21"/>
      <c r="I18" s="21"/>
      <c r="J18" s="21">
        <f>MAX((J5+J16),0)</f>
        <v>0</v>
      </c>
      <c r="K18" s="21"/>
      <c r="L18" s="21">
        <f>MAX((L5+L16),0)</f>
        <v>0</v>
      </c>
      <c r="M18" s="21"/>
      <c r="N18" s="21">
        <f>MAX((N5+N16),0)</f>
        <v>203.60145416739763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0.17463132119947561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140.07544999184458</v>
      </c>
      <c r="C22" s="23">
        <f ca="1">C18*C20</f>
        <v>0</v>
      </c>
      <c r="D22" s="23">
        <f>D18*D20</f>
        <v>80.789071395999997</v>
      </c>
      <c r="E22" s="23">
        <f>E18*E20</f>
        <v>30.396197368428378</v>
      </c>
      <c r="F22" s="23">
        <f>F18*F20</f>
        <v>142.16188775359947</v>
      </c>
      <c r="G22" s="23"/>
      <c r="H22" s="23"/>
      <c r="I22" s="23"/>
      <c r="J22" s="23">
        <f>J18*J20</f>
        <v>0</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206.30500000000001</v>
      </c>
      <c r="C30" s="39">
        <f>IF(ISERROR(B30*3.6/1000000/'E Balans VL '!Z18*100),0,B30*3.6/1000000/'E Balans VL '!Z18*100)</f>
        <v>4.3711606437372215E-2</v>
      </c>
      <c r="D30" s="237" t="s">
        <v>660</v>
      </c>
    </row>
    <row r="31" spans="1:18">
      <c r="A31" s="6" t="s">
        <v>33</v>
      </c>
      <c r="B31" s="37">
        <f>IF( ISERROR(IND_ander_ele_kWh/1000),0,IND_ander_ele_kWh/1000)</f>
        <v>484.57499999999999</v>
      </c>
      <c r="C31" s="39">
        <f>IF(ISERROR(B31*3.6/1000000/'E Balans VL '!Z19*100),0,B31*3.6/1000000/'E Balans VL '!Z19*100)</f>
        <v>2.0396862057558373E-2</v>
      </c>
      <c r="D31" s="237" t="s">
        <v>660</v>
      </c>
    </row>
    <row r="32" spans="1:18">
      <c r="A32" s="171" t="s">
        <v>41</v>
      </c>
      <c r="B32" s="37">
        <f>IF( ISERROR(IND_voed_ele_kWh/1000),0,IND_voed_ele_kWh/1000)</f>
        <v>111.241</v>
      </c>
      <c r="C32" s="39">
        <f>IF(ISERROR(B32*3.6/1000000/'E Balans VL '!Z20*100),0,B32*3.6/1000000/'E Balans VL '!Z20*100)</f>
        <v>1.858406765535231E-2</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0</v>
      </c>
      <c r="C35" s="39">
        <f>IF(ISERROR(B35*3.6/1000000/'E Balans VL '!Z22*100),0,B35*3.6/1000000/'E Balans VL '!Z22*100)</f>
        <v>0</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0</v>
      </c>
      <c r="C37" s="39">
        <f>IF(ISERROR(B37*3.6/1000000/'E Balans VL '!Z15*100),0,B37*3.6/1000000/'E Balans VL '!Z15*100)</f>
        <v>0</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3920.46</v>
      </c>
      <c r="C5" s="17">
        <f>'Eigen informatie GS &amp; warmtenet'!B60</f>
        <v>0</v>
      </c>
      <c r="D5" s="30">
        <f>IF(ISERROR(SUM(LB_lb_gas_kWh,LB_rest_gas_kWh)/1000),0,SUM(LB_lb_gas_kWh,LB_rest_gas_kWh)/1000)*0.902</f>
        <v>50.90437</v>
      </c>
      <c r="E5" s="17">
        <f>B17*'E Balans VL '!I25/3.6*1000000/100</f>
        <v>101.09361057392881</v>
      </c>
      <c r="F5" s="17">
        <f>B17*('E Balans VL '!L25/3.6*1000000+'E Balans VL '!N25/3.6*1000000)/100</f>
        <v>14330.027915338562</v>
      </c>
      <c r="G5" s="18"/>
      <c r="H5" s="17"/>
      <c r="I5" s="17"/>
      <c r="J5" s="17">
        <f>('E Balans VL '!D25+'E Balans VL '!E25)/3.6*1000000*landbouw!B17/100</f>
        <v>564.40201938240727</v>
      </c>
      <c r="K5" s="17"/>
      <c r="L5" s="17">
        <f>L6*(-1)</f>
        <v>0</v>
      </c>
      <c r="M5" s="17"/>
      <c r="N5" s="17">
        <f>N6*(-1)</f>
        <v>0</v>
      </c>
      <c r="O5" s="17"/>
      <c r="P5" s="17"/>
      <c r="R5" s="32"/>
    </row>
    <row r="6" spans="1:18">
      <c r="A6" s="16" t="s">
        <v>491</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3920.46</v>
      </c>
      <c r="C8" s="21">
        <f>C5+C6</f>
        <v>0</v>
      </c>
      <c r="D8" s="21">
        <f>MAX((D5+D6),0)</f>
        <v>50.90437</v>
      </c>
      <c r="E8" s="21">
        <f>MAX((E5+E6),0)</f>
        <v>101.09361057392881</v>
      </c>
      <c r="F8" s="21">
        <f>MAX((F5+F6),0)</f>
        <v>14330.027915338562</v>
      </c>
      <c r="G8" s="21"/>
      <c r="H8" s="21"/>
      <c r="I8" s="21"/>
      <c r="J8" s="21">
        <f>MAX((J5+J6),0)</f>
        <v>564.40201938240727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0.17463132119947561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684.63510950969612</v>
      </c>
      <c r="C12" s="23">
        <f ca="1">C8*C10</f>
        <v>0</v>
      </c>
      <c r="D12" s="23">
        <f>D8*D10</f>
        <v>10.28268274</v>
      </c>
      <c r="E12" s="23">
        <f>E8*E10</f>
        <v>22.948249600281841</v>
      </c>
      <c r="F12" s="23">
        <f>F8*F10</f>
        <v>3826.1174533953963</v>
      </c>
      <c r="G12" s="23"/>
      <c r="H12" s="23"/>
      <c r="I12" s="23"/>
      <c r="J12" s="23">
        <f>J8*J10</f>
        <v>199.79831486137218</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0.55281082854475061</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69.455048049055719</v>
      </c>
      <c r="C26" s="247">
        <f>B26*'GWP N2O_CH4'!B5</f>
        <v>1458.5560090301701</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22.393935807706331</v>
      </c>
      <c r="C27" s="247">
        <f>B27*'GWP N2O_CH4'!B5</f>
        <v>470.27265196183293</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1.1152963912499267</v>
      </c>
      <c r="C28" s="247">
        <f>B28*'GWP N2O_CH4'!B4</f>
        <v>345.74188128747727</v>
      </c>
      <c r="D28" s="50"/>
    </row>
    <row r="29" spans="1:4">
      <c r="A29" s="41" t="s">
        <v>277</v>
      </c>
      <c r="B29" s="247">
        <f>B34*'ha_N2O bodem landbouw'!B4</f>
        <v>8.5910482320150692</v>
      </c>
      <c r="C29" s="247">
        <f>B29*'GWP N2O_CH4'!B4</f>
        <v>2663.2249519246716</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1.9334527033447358E-3</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2.2497165539491581E-5</v>
      </c>
      <c r="C5" s="463" t="s">
        <v>211</v>
      </c>
      <c r="D5" s="448">
        <f>SUM(D6:D11)</f>
        <v>6.6281880489693672E-5</v>
      </c>
      <c r="E5" s="448">
        <f>SUM(E6:E11)</f>
        <v>2.4617426888206607E-4</v>
      </c>
      <c r="F5" s="461" t="s">
        <v>211</v>
      </c>
      <c r="G5" s="448">
        <f>SUM(G6:G11)</f>
        <v>6.6704336127002745E-2</v>
      </c>
      <c r="H5" s="448">
        <f>SUM(H6:H11)</f>
        <v>1.7540693750195374E-2</v>
      </c>
      <c r="I5" s="463" t="s">
        <v>211</v>
      </c>
      <c r="J5" s="463" t="s">
        <v>211</v>
      </c>
      <c r="K5" s="463" t="s">
        <v>211</v>
      </c>
      <c r="L5" s="463" t="s">
        <v>211</v>
      </c>
      <c r="M5" s="448">
        <f>SUM(M6:M11)</f>
        <v>2.627207251198499E-3</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8.4044975938150302E-6</v>
      </c>
      <c r="C6" s="449"/>
      <c r="D6" s="892">
        <f>vkm_2011_GW_PW*SUMIFS(TableVerdeelsleutelVkm[CNG],TableVerdeelsleutelVkm[Voertuigtype],"Lichte voertuigen")*SUMIFS(TableECFTransport[EnergieConsumptieFactor (PJ per km)],TableECFTransport[Index],CONCATENATE($A6,"_CNG_CNG"))</f>
        <v>1.6699883936582195E-5</v>
      </c>
      <c r="E6" s="892">
        <f>vkm_2011_GW_PW*SUMIFS(TableVerdeelsleutelVkm[LPG],TableVerdeelsleutelVkm[Voertuigtype],"Lichte voertuigen")*SUMIFS(TableECFTransport[EnergieConsumptieFactor (PJ per km)],TableECFTransport[Index],CONCATENATE($A6,"_LPG_LPG"))</f>
        <v>6.5720029750070464E-5</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1.5625968088853987E-2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4.5211609865339186E-3</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6.278031461200886E-4</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9.5940741526776667E-3</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3.0992957478758728E-6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3.0229459688763826E-4</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1.409266794567655E-5</v>
      </c>
      <c r="C8" s="449"/>
      <c r="D8" s="451">
        <f>vkm_2011_NGW_PW*SUMIFS(TableVerdeelsleutelVkm[CNG],TableVerdeelsleutelVkm[Voertuigtype],"Lichte voertuigen")*SUMIFS(TableECFTransport[EnergieConsumptieFactor (PJ per km)],TableECFTransport[Index],CONCATENATE($A8,"_CNG_CNG"))</f>
        <v>4.9581996553111474E-5</v>
      </c>
      <c r="E8" s="451">
        <f>vkm_2011_NGW_PW*SUMIFS(TableVerdeelsleutelVkm[LPG],TableVerdeelsleutelVkm[Voertuigtype],"Lichte voertuigen")*SUMIFS(TableECFTransport[EnergieConsumptieFactor (PJ per km)],TableECFTransport[Index],CONCATENATE($A8,"_LPG_LPG"))</f>
        <v>1.8045423913199562E-4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4.0065913840652549E-2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1.3016000140783295E-2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1.6524192691456663E-3</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1.4183800448185403E-3</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4.3332713028589331E-7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4.469023904510559E-5</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6.2492126498587721</v>
      </c>
      <c r="C14" s="21"/>
      <c r="D14" s="21">
        <f t="shared" ref="D14:M14" si="0">((D5)*10^9/3600)+D12</f>
        <v>18.411633469359355</v>
      </c>
      <c r="E14" s="21">
        <f t="shared" si="0"/>
        <v>68.381741356129467</v>
      </c>
      <c r="F14" s="21"/>
      <c r="G14" s="21">
        <f t="shared" si="0"/>
        <v>18528.982257500764</v>
      </c>
      <c r="H14" s="21">
        <f t="shared" si="0"/>
        <v>4872.4149306098261</v>
      </c>
      <c r="I14" s="21"/>
      <c r="J14" s="21"/>
      <c r="K14" s="21"/>
      <c r="L14" s="21"/>
      <c r="M14" s="21">
        <f t="shared" si="0"/>
        <v>729.77979199958304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0.17463132119947561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1.0913082615013134</v>
      </c>
      <c r="C18" s="23"/>
      <c r="D18" s="23">
        <f t="shared" ref="D18:M18" si="1">D14*D16</f>
        <v>3.71914996081059</v>
      </c>
      <c r="E18" s="23">
        <f t="shared" si="1"/>
        <v>15.52265528784139</v>
      </c>
      <c r="F18" s="23"/>
      <c r="G18" s="23">
        <f t="shared" si="1"/>
        <v>4947.238262752704</v>
      </c>
      <c r="H18" s="23">
        <f t="shared" si="1"/>
        <v>1213.2313177218466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3.4882993861361116E-3</v>
      </c>
      <c r="H50" s="321">
        <f t="shared" si="2"/>
        <v>0</v>
      </c>
      <c r="I50" s="321">
        <f t="shared" si="2"/>
        <v>0</v>
      </c>
      <c r="J50" s="321">
        <f t="shared" si="2"/>
        <v>0</v>
      </c>
      <c r="K50" s="321">
        <f t="shared" si="2"/>
        <v>0</v>
      </c>
      <c r="L50" s="321">
        <f t="shared" si="2"/>
        <v>0</v>
      </c>
      <c r="M50" s="321">
        <f t="shared" si="2"/>
        <v>1.0819924299703748E-4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3.4882993861361116E-3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1.0819924299703748E-4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968.97205170447546</v>
      </c>
      <c r="H54" s="21">
        <f t="shared" si="3"/>
        <v>0</v>
      </c>
      <c r="I54" s="21">
        <f t="shared" si="3"/>
        <v>0</v>
      </c>
      <c r="J54" s="21">
        <f t="shared" si="3"/>
        <v>0</v>
      </c>
      <c r="K54" s="21">
        <f t="shared" si="3"/>
        <v>0</v>
      </c>
      <c r="L54" s="21">
        <f t="shared" si="3"/>
        <v>0</v>
      </c>
      <c r="M54" s="21">
        <f t="shared" si="3"/>
        <v>30.055345276954856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0.17463132119947561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258.71553780509498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6355.5639999999994</v>
      </c>
      <c r="D10" s="1012">
        <f ca="1">tertiair!C16</f>
        <v>0</v>
      </c>
      <c r="E10" s="1012">
        <f ca="1">tertiair!D16</f>
        <v>2771.6637960000003</v>
      </c>
      <c r="F10" s="1012">
        <f>tertiair!E16</f>
        <v>104.91875536359616</v>
      </c>
      <c r="G10" s="1012">
        <f ca="1">tertiair!F16</f>
        <v>1396.0742613426171</v>
      </c>
      <c r="H10" s="1012">
        <f>tertiair!G16</f>
        <v>0</v>
      </c>
      <c r="I10" s="1012">
        <f>tertiair!H16</f>
        <v>0</v>
      </c>
      <c r="J10" s="1012">
        <f>tertiair!I16</f>
        <v>0</v>
      </c>
      <c r="K10" s="1012">
        <f>tertiair!J16</f>
        <v>0</v>
      </c>
      <c r="L10" s="1012">
        <f>tertiair!K16</f>
        <v>0</v>
      </c>
      <c r="M10" s="1012">
        <f ca="1">tertiair!L16</f>
        <v>0</v>
      </c>
      <c r="N10" s="1012">
        <f>tertiair!M16</f>
        <v>0</v>
      </c>
      <c r="O10" s="1012">
        <f ca="1">tertiair!N16</f>
        <v>864.62728136233943</v>
      </c>
      <c r="P10" s="1012">
        <f>tertiair!O16</f>
        <v>1.5633333333333335</v>
      </c>
      <c r="Q10" s="1013">
        <f>tertiair!P16</f>
        <v>0</v>
      </c>
      <c r="R10" s="700">
        <f ca="1">SUM(C10:Q10)</f>
        <v>11494.411427401887</v>
      </c>
      <c r="S10" s="67"/>
    </row>
    <row r="11" spans="1:19" s="473" customFormat="1">
      <c r="A11" s="809" t="s">
        <v>225</v>
      </c>
      <c r="B11" s="814"/>
      <c r="C11" s="1012">
        <f>huishoudens!B8</f>
        <v>12837.34243841339</v>
      </c>
      <c r="D11" s="1012">
        <f>huishoudens!C8</f>
        <v>0</v>
      </c>
      <c r="E11" s="1012">
        <f>huishoudens!D8</f>
        <v>13683.852336</v>
      </c>
      <c r="F11" s="1012">
        <f>huishoudens!E8</f>
        <v>1778.1705280523752</v>
      </c>
      <c r="G11" s="1012">
        <f>huishoudens!F8</f>
        <v>33823.423175085751</v>
      </c>
      <c r="H11" s="1012">
        <f>huishoudens!G8</f>
        <v>0</v>
      </c>
      <c r="I11" s="1012">
        <f>huishoudens!H8</f>
        <v>0</v>
      </c>
      <c r="J11" s="1012">
        <f>huishoudens!I8</f>
        <v>0</v>
      </c>
      <c r="K11" s="1012">
        <f>huishoudens!J8</f>
        <v>0</v>
      </c>
      <c r="L11" s="1012">
        <f>huishoudens!K8</f>
        <v>0</v>
      </c>
      <c r="M11" s="1012">
        <f>huishoudens!L8</f>
        <v>0</v>
      </c>
      <c r="N11" s="1012">
        <f>huishoudens!M8</f>
        <v>0</v>
      </c>
      <c r="O11" s="1012">
        <f>huishoudens!N8</f>
        <v>5555.1337472702717</v>
      </c>
      <c r="P11" s="1012">
        <f>huishoudens!O8</f>
        <v>117.25</v>
      </c>
      <c r="Q11" s="1013">
        <f>huishoudens!P8</f>
        <v>552.93333333333339</v>
      </c>
      <c r="R11" s="700">
        <f>SUM(C11:Q11)</f>
        <v>68348.105558155119</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802.12099999999998</v>
      </c>
      <c r="D13" s="1012">
        <f>industrie!C18</f>
        <v>0</v>
      </c>
      <c r="E13" s="1012">
        <f>industrie!D18</f>
        <v>399.94589799999994</v>
      </c>
      <c r="F13" s="1012">
        <f>industrie!E18</f>
        <v>133.90395316488272</v>
      </c>
      <c r="G13" s="1012">
        <f>industrie!F18</f>
        <v>532.44152716703923</v>
      </c>
      <c r="H13" s="1012">
        <f>industrie!G18</f>
        <v>0</v>
      </c>
      <c r="I13" s="1012">
        <f>industrie!H18</f>
        <v>0</v>
      </c>
      <c r="J13" s="1012">
        <f>industrie!I18</f>
        <v>0</v>
      </c>
      <c r="K13" s="1012">
        <f>industrie!J18</f>
        <v>0</v>
      </c>
      <c r="L13" s="1012">
        <f>industrie!K18</f>
        <v>0</v>
      </c>
      <c r="M13" s="1012">
        <f>industrie!L18</f>
        <v>0</v>
      </c>
      <c r="N13" s="1012">
        <f>industrie!M18</f>
        <v>0</v>
      </c>
      <c r="O13" s="1012">
        <f>industrie!N18</f>
        <v>203.60145416739763</v>
      </c>
      <c r="P13" s="1012">
        <f>industrie!O18</f>
        <v>0</v>
      </c>
      <c r="Q13" s="1013">
        <f>industrie!P18</f>
        <v>0</v>
      </c>
      <c r="R13" s="700">
        <f>SUM(C13:Q13)</f>
        <v>2072.0138324993195</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19995.027438413388</v>
      </c>
      <c r="D16" s="732">
        <f t="shared" ref="D16:R16" ca="1" si="0">SUM(D9:D15)</f>
        <v>0</v>
      </c>
      <c r="E16" s="732">
        <f t="shared" ca="1" si="0"/>
        <v>16855.462030000002</v>
      </c>
      <c r="F16" s="732">
        <f t="shared" si="0"/>
        <v>2016.993236580854</v>
      </c>
      <c r="G16" s="732">
        <f t="shared" ca="1" si="0"/>
        <v>35751.938963595407</v>
      </c>
      <c r="H16" s="732">
        <f t="shared" si="0"/>
        <v>0</v>
      </c>
      <c r="I16" s="732">
        <f t="shared" si="0"/>
        <v>0</v>
      </c>
      <c r="J16" s="732">
        <f t="shared" si="0"/>
        <v>0</v>
      </c>
      <c r="K16" s="732">
        <f t="shared" si="0"/>
        <v>0</v>
      </c>
      <c r="L16" s="732">
        <f t="shared" si="0"/>
        <v>0</v>
      </c>
      <c r="M16" s="732">
        <f t="shared" ca="1" si="0"/>
        <v>0</v>
      </c>
      <c r="N16" s="732">
        <f t="shared" si="0"/>
        <v>0</v>
      </c>
      <c r="O16" s="732">
        <f t="shared" ca="1" si="0"/>
        <v>6623.3624828000084</v>
      </c>
      <c r="P16" s="732">
        <f t="shared" si="0"/>
        <v>118.81333333333333</v>
      </c>
      <c r="Q16" s="732">
        <f t="shared" si="0"/>
        <v>552.93333333333339</v>
      </c>
      <c r="R16" s="732">
        <f t="shared" ca="1" si="0"/>
        <v>81914.53081805633</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968.97205170447546</v>
      </c>
      <c r="I19" s="1012">
        <f>transport!H54</f>
        <v>0</v>
      </c>
      <c r="J19" s="1012">
        <f>transport!I54</f>
        <v>0</v>
      </c>
      <c r="K19" s="1012">
        <f>transport!J54</f>
        <v>0</v>
      </c>
      <c r="L19" s="1012">
        <f>transport!K54</f>
        <v>0</v>
      </c>
      <c r="M19" s="1012">
        <f>transport!L54</f>
        <v>0</v>
      </c>
      <c r="N19" s="1012">
        <f>transport!M54</f>
        <v>30.055345276954856</v>
      </c>
      <c r="O19" s="1012">
        <f>transport!N54</f>
        <v>0</v>
      </c>
      <c r="P19" s="1012">
        <f>transport!O54</f>
        <v>0</v>
      </c>
      <c r="Q19" s="1013">
        <f>transport!P54</f>
        <v>0</v>
      </c>
      <c r="R19" s="700">
        <f>SUM(C19:Q19)</f>
        <v>999.02739698143034</v>
      </c>
      <c r="S19" s="67"/>
    </row>
    <row r="20" spans="1:19" s="473" customFormat="1">
      <c r="A20" s="809" t="s">
        <v>307</v>
      </c>
      <c r="B20" s="814"/>
      <c r="C20" s="1012">
        <f>transport!B14</f>
        <v>6.2492126498587721</v>
      </c>
      <c r="D20" s="1012">
        <f>transport!C14</f>
        <v>0</v>
      </c>
      <c r="E20" s="1012">
        <f>transport!D14</f>
        <v>18.411633469359355</v>
      </c>
      <c r="F20" s="1012">
        <f>transport!E14</f>
        <v>68.381741356129467</v>
      </c>
      <c r="G20" s="1012">
        <f>transport!F14</f>
        <v>0</v>
      </c>
      <c r="H20" s="1012">
        <f>transport!G14</f>
        <v>18528.982257500764</v>
      </c>
      <c r="I20" s="1012">
        <f>transport!H14</f>
        <v>4872.4149306098261</v>
      </c>
      <c r="J20" s="1012">
        <f>transport!I14</f>
        <v>0</v>
      </c>
      <c r="K20" s="1012">
        <f>transport!J14</f>
        <v>0</v>
      </c>
      <c r="L20" s="1012">
        <f>transport!K14</f>
        <v>0</v>
      </c>
      <c r="M20" s="1012">
        <f>transport!L14</f>
        <v>0</v>
      </c>
      <c r="N20" s="1012">
        <f>transport!M14</f>
        <v>729.77979199958304</v>
      </c>
      <c r="O20" s="1012">
        <f>transport!N14</f>
        <v>0</v>
      </c>
      <c r="P20" s="1012">
        <f>transport!O14</f>
        <v>0</v>
      </c>
      <c r="Q20" s="1013">
        <f>transport!P14</f>
        <v>0</v>
      </c>
      <c r="R20" s="700">
        <f>SUM(C20:Q20)</f>
        <v>24224.219567585522</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6.2492126498587721</v>
      </c>
      <c r="D22" s="812">
        <f t="shared" ref="D22:R22" si="1">SUM(D18:D21)</f>
        <v>0</v>
      </c>
      <c r="E22" s="812">
        <f t="shared" si="1"/>
        <v>18.411633469359355</v>
      </c>
      <c r="F22" s="812">
        <f t="shared" si="1"/>
        <v>68.381741356129467</v>
      </c>
      <c r="G22" s="812">
        <f t="shared" si="1"/>
        <v>0</v>
      </c>
      <c r="H22" s="812">
        <f t="shared" si="1"/>
        <v>19497.954309205241</v>
      </c>
      <c r="I22" s="812">
        <f t="shared" si="1"/>
        <v>4872.4149306098261</v>
      </c>
      <c r="J22" s="812">
        <f t="shared" si="1"/>
        <v>0</v>
      </c>
      <c r="K22" s="812">
        <f t="shared" si="1"/>
        <v>0</v>
      </c>
      <c r="L22" s="812">
        <f t="shared" si="1"/>
        <v>0</v>
      </c>
      <c r="M22" s="812">
        <f t="shared" si="1"/>
        <v>0</v>
      </c>
      <c r="N22" s="812">
        <f t="shared" si="1"/>
        <v>759.83513727653792</v>
      </c>
      <c r="O22" s="812">
        <f t="shared" si="1"/>
        <v>0</v>
      </c>
      <c r="P22" s="812">
        <f t="shared" si="1"/>
        <v>0</v>
      </c>
      <c r="Q22" s="812">
        <f t="shared" si="1"/>
        <v>0</v>
      </c>
      <c r="R22" s="812">
        <f t="shared" si="1"/>
        <v>25223.246964566952</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3920.46</v>
      </c>
      <c r="D24" s="1012">
        <f>+landbouw!C8</f>
        <v>0</v>
      </c>
      <c r="E24" s="1012">
        <f>+landbouw!D8</f>
        <v>50.90437</v>
      </c>
      <c r="F24" s="1012">
        <f>+landbouw!E8</f>
        <v>101.09361057392881</v>
      </c>
      <c r="G24" s="1012">
        <f>+landbouw!F8</f>
        <v>14330.027915338562</v>
      </c>
      <c r="H24" s="1012">
        <f>+landbouw!G8</f>
        <v>0</v>
      </c>
      <c r="I24" s="1012">
        <f>+landbouw!H8</f>
        <v>0</v>
      </c>
      <c r="J24" s="1012">
        <f>+landbouw!I8</f>
        <v>0</v>
      </c>
      <c r="K24" s="1012">
        <f>+landbouw!J8</f>
        <v>564.40201938240727</v>
      </c>
      <c r="L24" s="1012">
        <f>+landbouw!K8</f>
        <v>0</v>
      </c>
      <c r="M24" s="1012">
        <f>+landbouw!L8</f>
        <v>0</v>
      </c>
      <c r="N24" s="1012">
        <f>+landbouw!M8</f>
        <v>0</v>
      </c>
      <c r="O24" s="1012">
        <f>+landbouw!N8</f>
        <v>0</v>
      </c>
      <c r="P24" s="1012">
        <f>+landbouw!O8</f>
        <v>0</v>
      </c>
      <c r="Q24" s="1013">
        <f>+landbouw!P8</f>
        <v>0</v>
      </c>
      <c r="R24" s="700">
        <f>SUM(C24:Q24)</f>
        <v>18966.887915294898</v>
      </c>
      <c r="S24" s="67"/>
    </row>
    <row r="25" spans="1:19" s="473" customFormat="1" ht="15" thickBot="1">
      <c r="A25" s="831" t="s">
        <v>848</v>
      </c>
      <c r="B25" s="1015"/>
      <c r="C25" s="1016">
        <f>IF(Onbekend_ele_kWh="---",0,Onbekend_ele_kWh)/1000+IF(REST_rest_ele_kWh="---",0,REST_rest_ele_kWh)/1000</f>
        <v>131.833</v>
      </c>
      <c r="D25" s="1016"/>
      <c r="E25" s="1016">
        <f>IF(onbekend_gas_kWh="---",0,onbekend_gas_kWh)/1000+IF(REST_rest_gas_kWh="---",0,REST_rest_gas_kWh)/1000</f>
        <v>189.322</v>
      </c>
      <c r="F25" s="1016"/>
      <c r="G25" s="1016"/>
      <c r="H25" s="1016"/>
      <c r="I25" s="1016"/>
      <c r="J25" s="1016"/>
      <c r="K25" s="1016"/>
      <c r="L25" s="1016"/>
      <c r="M25" s="1016"/>
      <c r="N25" s="1016"/>
      <c r="O25" s="1016"/>
      <c r="P25" s="1016"/>
      <c r="Q25" s="1017"/>
      <c r="R25" s="700">
        <f>SUM(C25:Q25)</f>
        <v>321.15499999999997</v>
      </c>
      <c r="S25" s="67"/>
    </row>
    <row r="26" spans="1:19" s="473" customFormat="1" ht="15.75" thickBot="1">
      <c r="A26" s="705" t="s">
        <v>849</v>
      </c>
      <c r="B26" s="817"/>
      <c r="C26" s="812">
        <f>SUM(C24:C25)</f>
        <v>4052.2930000000001</v>
      </c>
      <c r="D26" s="812">
        <f t="shared" ref="D26:R26" si="2">SUM(D24:D25)</f>
        <v>0</v>
      </c>
      <c r="E26" s="812">
        <f t="shared" si="2"/>
        <v>240.22637</v>
      </c>
      <c r="F26" s="812">
        <f t="shared" si="2"/>
        <v>101.09361057392881</v>
      </c>
      <c r="G26" s="812">
        <f t="shared" si="2"/>
        <v>14330.027915338562</v>
      </c>
      <c r="H26" s="812">
        <f t="shared" si="2"/>
        <v>0</v>
      </c>
      <c r="I26" s="812">
        <f t="shared" si="2"/>
        <v>0</v>
      </c>
      <c r="J26" s="812">
        <f t="shared" si="2"/>
        <v>0</v>
      </c>
      <c r="K26" s="812">
        <f t="shared" si="2"/>
        <v>564.40201938240727</v>
      </c>
      <c r="L26" s="812">
        <f t="shared" si="2"/>
        <v>0</v>
      </c>
      <c r="M26" s="812">
        <f t="shared" si="2"/>
        <v>0</v>
      </c>
      <c r="N26" s="812">
        <f t="shared" si="2"/>
        <v>0</v>
      </c>
      <c r="O26" s="812">
        <f t="shared" si="2"/>
        <v>0</v>
      </c>
      <c r="P26" s="812">
        <f t="shared" si="2"/>
        <v>0</v>
      </c>
      <c r="Q26" s="812">
        <f t="shared" si="2"/>
        <v>0</v>
      </c>
      <c r="R26" s="812">
        <f t="shared" si="2"/>
        <v>19288.042915294896</v>
      </c>
      <c r="S26" s="67"/>
    </row>
    <row r="27" spans="1:19" s="473" customFormat="1" ht="17.25" thickTop="1" thickBot="1">
      <c r="A27" s="706" t="s">
        <v>116</v>
      </c>
      <c r="B27" s="805"/>
      <c r="C27" s="707">
        <f ca="1">C22+C16+C26</f>
        <v>24053.569651063248</v>
      </c>
      <c r="D27" s="707">
        <f t="shared" ref="D27:R27" ca="1" si="3">D22+D16+D26</f>
        <v>0</v>
      </c>
      <c r="E27" s="707">
        <f t="shared" ca="1" si="3"/>
        <v>17114.100033469364</v>
      </c>
      <c r="F27" s="707">
        <f t="shared" si="3"/>
        <v>2186.4685885109125</v>
      </c>
      <c r="G27" s="707">
        <f t="shared" ca="1" si="3"/>
        <v>50081.96687893397</v>
      </c>
      <c r="H27" s="707">
        <f t="shared" si="3"/>
        <v>19497.954309205241</v>
      </c>
      <c r="I27" s="707">
        <f t="shared" si="3"/>
        <v>4872.4149306098261</v>
      </c>
      <c r="J27" s="707">
        <f t="shared" si="3"/>
        <v>0</v>
      </c>
      <c r="K27" s="707">
        <f t="shared" si="3"/>
        <v>564.40201938240727</v>
      </c>
      <c r="L27" s="707">
        <f t="shared" si="3"/>
        <v>0</v>
      </c>
      <c r="M27" s="707">
        <f t="shared" ca="1" si="3"/>
        <v>0</v>
      </c>
      <c r="N27" s="707">
        <f t="shared" si="3"/>
        <v>759.83513727653792</v>
      </c>
      <c r="O27" s="707">
        <f t="shared" ca="1" si="3"/>
        <v>6623.3624828000084</v>
      </c>
      <c r="P27" s="707">
        <f t="shared" si="3"/>
        <v>118.81333333333333</v>
      </c>
      <c r="Q27" s="707">
        <f t="shared" si="3"/>
        <v>552.93333333333339</v>
      </c>
      <c r="R27" s="707">
        <f t="shared" ca="1" si="3"/>
        <v>126425.82069791817</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1109.8805382878238</v>
      </c>
      <c r="D40" s="1012">
        <f ca="1">tertiair!C20</f>
        <v>0</v>
      </c>
      <c r="E40" s="1012">
        <f ca="1">tertiair!D20</f>
        <v>559.87608679200014</v>
      </c>
      <c r="F40" s="1012">
        <f>tertiair!E20</f>
        <v>23.816557467536331</v>
      </c>
      <c r="G40" s="1012">
        <f ca="1">tertiair!F20</f>
        <v>372.7518277784788</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2066.3250103258392</v>
      </c>
    </row>
    <row r="41" spans="1:18">
      <c r="A41" s="822" t="s">
        <v>225</v>
      </c>
      <c r="B41" s="829"/>
      <c r="C41" s="1012">
        <f ca="1">huishoudens!B12</f>
        <v>2241.8020707102282</v>
      </c>
      <c r="D41" s="1012">
        <f ca="1">huishoudens!C12</f>
        <v>0</v>
      </c>
      <c r="E41" s="1012">
        <f>huishoudens!D12</f>
        <v>2764.1381718720004</v>
      </c>
      <c r="F41" s="1012">
        <f>huishoudens!E12</f>
        <v>403.64470986788916</v>
      </c>
      <c r="G41" s="1012">
        <f>huishoudens!F12</f>
        <v>9030.8539877478961</v>
      </c>
      <c r="H41" s="1012">
        <f>huishoudens!G12</f>
        <v>0</v>
      </c>
      <c r="I41" s="1012">
        <f>huishoudens!H12</f>
        <v>0</v>
      </c>
      <c r="J41" s="1012">
        <f>huishoudens!I12</f>
        <v>0</v>
      </c>
      <c r="K41" s="1012">
        <f>huishoudens!J12</f>
        <v>0</v>
      </c>
      <c r="L41" s="1012">
        <f>huishoudens!K12</f>
        <v>0</v>
      </c>
      <c r="M41" s="1012">
        <f>huishoudens!L12</f>
        <v>0</v>
      </c>
      <c r="N41" s="1012">
        <f>huishoudens!M12</f>
        <v>0</v>
      </c>
      <c r="O41" s="1012">
        <f>huishoudens!N12</f>
        <v>0</v>
      </c>
      <c r="P41" s="1012">
        <f>huishoudens!O12</f>
        <v>0</v>
      </c>
      <c r="Q41" s="774">
        <f>huishoudens!P12</f>
        <v>0</v>
      </c>
      <c r="R41" s="850">
        <f t="shared" ca="1" si="4"/>
        <v>14440.438940198013</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140.07544999184458</v>
      </c>
      <c r="D43" s="1012">
        <f ca="1">industrie!C22</f>
        <v>0</v>
      </c>
      <c r="E43" s="1012">
        <f>industrie!D22</f>
        <v>80.789071395999997</v>
      </c>
      <c r="F43" s="1012">
        <f>industrie!E22</f>
        <v>30.396197368428378</v>
      </c>
      <c r="G43" s="1012">
        <f>industrie!F22</f>
        <v>142.16188775359947</v>
      </c>
      <c r="H43" s="1012">
        <f>industrie!G22</f>
        <v>0</v>
      </c>
      <c r="I43" s="1012">
        <f>industrie!H22</f>
        <v>0</v>
      </c>
      <c r="J43" s="1012">
        <f>industrie!I22</f>
        <v>0</v>
      </c>
      <c r="K43" s="1012">
        <f>industrie!J22</f>
        <v>0</v>
      </c>
      <c r="L43" s="1012">
        <f>industrie!K22</f>
        <v>0</v>
      </c>
      <c r="M43" s="1012">
        <f>industrie!L22</f>
        <v>0</v>
      </c>
      <c r="N43" s="1012">
        <f>industrie!M22</f>
        <v>0</v>
      </c>
      <c r="O43" s="1012">
        <f>industrie!N22</f>
        <v>0</v>
      </c>
      <c r="P43" s="1012">
        <f>industrie!O22</f>
        <v>0</v>
      </c>
      <c r="Q43" s="774">
        <f>industrie!P22</f>
        <v>0</v>
      </c>
      <c r="R43" s="849">
        <f t="shared" ca="1" si="4"/>
        <v>393.42260650987242</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3491.7580589898967</v>
      </c>
      <c r="D46" s="732">
        <f t="shared" ref="D46:Q46" ca="1" si="5">SUM(D39:D45)</f>
        <v>0</v>
      </c>
      <c r="E46" s="732">
        <f t="shared" ca="1" si="5"/>
        <v>3404.8033300600005</v>
      </c>
      <c r="F46" s="732">
        <f t="shared" si="5"/>
        <v>457.85746470385385</v>
      </c>
      <c r="G46" s="732">
        <f t="shared" ca="1" si="5"/>
        <v>9545.7677032799747</v>
      </c>
      <c r="H46" s="732">
        <f t="shared" si="5"/>
        <v>0</v>
      </c>
      <c r="I46" s="732">
        <f t="shared" si="5"/>
        <v>0</v>
      </c>
      <c r="J46" s="732">
        <f t="shared" si="5"/>
        <v>0</v>
      </c>
      <c r="K46" s="732">
        <f t="shared" si="5"/>
        <v>0</v>
      </c>
      <c r="L46" s="732">
        <f t="shared" si="5"/>
        <v>0</v>
      </c>
      <c r="M46" s="732">
        <f t="shared" ca="1" si="5"/>
        <v>0</v>
      </c>
      <c r="N46" s="732">
        <f t="shared" si="5"/>
        <v>0</v>
      </c>
      <c r="O46" s="732">
        <f t="shared" ca="1" si="5"/>
        <v>0</v>
      </c>
      <c r="P46" s="732">
        <f t="shared" si="5"/>
        <v>0</v>
      </c>
      <c r="Q46" s="732">
        <f t="shared" si="5"/>
        <v>0</v>
      </c>
      <c r="R46" s="732">
        <f ca="1">SUM(R39:R45)</f>
        <v>16900.186557033725</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258.71553780509498</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258.71553780509498</v>
      </c>
    </row>
    <row r="50" spans="1:18">
      <c r="A50" s="825" t="s">
        <v>307</v>
      </c>
      <c r="B50" s="835"/>
      <c r="C50" s="703">
        <f ca="1">transport!B18</f>
        <v>1.0913082615013134</v>
      </c>
      <c r="D50" s="703">
        <f>transport!C18</f>
        <v>0</v>
      </c>
      <c r="E50" s="703">
        <f>transport!D18</f>
        <v>3.71914996081059</v>
      </c>
      <c r="F50" s="703">
        <f>transport!E18</f>
        <v>15.52265528784139</v>
      </c>
      <c r="G50" s="703">
        <f>transport!F18</f>
        <v>0</v>
      </c>
      <c r="H50" s="703">
        <f>transport!G18</f>
        <v>4947.238262752704</v>
      </c>
      <c r="I50" s="703">
        <f>transport!H18</f>
        <v>1213.2313177218466</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6180.8026939847041</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1.0913082615013134</v>
      </c>
      <c r="D52" s="732">
        <f t="shared" ref="D52:Q52" ca="1" si="6">SUM(D48:D51)</f>
        <v>0</v>
      </c>
      <c r="E52" s="732">
        <f t="shared" si="6"/>
        <v>3.71914996081059</v>
      </c>
      <c r="F52" s="732">
        <f t="shared" si="6"/>
        <v>15.52265528784139</v>
      </c>
      <c r="G52" s="732">
        <f t="shared" si="6"/>
        <v>0</v>
      </c>
      <c r="H52" s="732">
        <f t="shared" si="6"/>
        <v>5205.9538005577988</v>
      </c>
      <c r="I52" s="732">
        <f t="shared" si="6"/>
        <v>1213.2313177218466</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6439.5182317897988</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684.63510950969612</v>
      </c>
      <c r="D54" s="703">
        <f ca="1">+landbouw!C12</f>
        <v>0</v>
      </c>
      <c r="E54" s="703">
        <f>+landbouw!D12</f>
        <v>10.28268274</v>
      </c>
      <c r="F54" s="703">
        <f>+landbouw!E12</f>
        <v>22.948249600281841</v>
      </c>
      <c r="G54" s="703">
        <f>+landbouw!F12</f>
        <v>3826.1174533953963</v>
      </c>
      <c r="H54" s="703">
        <f>+landbouw!G12</f>
        <v>0</v>
      </c>
      <c r="I54" s="703">
        <f>+landbouw!H12</f>
        <v>0</v>
      </c>
      <c r="J54" s="703">
        <f>+landbouw!I12</f>
        <v>0</v>
      </c>
      <c r="K54" s="703">
        <f>+landbouw!J12</f>
        <v>199.79831486137218</v>
      </c>
      <c r="L54" s="703">
        <f>+landbouw!K12</f>
        <v>0</v>
      </c>
      <c r="M54" s="703">
        <f>+landbouw!L12</f>
        <v>0</v>
      </c>
      <c r="N54" s="703">
        <f>+landbouw!M12</f>
        <v>0</v>
      </c>
      <c r="O54" s="703">
        <f>+landbouw!N12</f>
        <v>0</v>
      </c>
      <c r="P54" s="703">
        <f>+landbouw!O12</f>
        <v>0</v>
      </c>
      <c r="Q54" s="704">
        <f>+landbouw!P12</f>
        <v>0</v>
      </c>
      <c r="R54" s="731">
        <f ca="1">SUM(C54:Q54)</f>
        <v>4743.7818101067469</v>
      </c>
    </row>
    <row r="55" spans="1:18" ht="15" thickBot="1">
      <c r="A55" s="825" t="s">
        <v>848</v>
      </c>
      <c r="B55" s="835"/>
      <c r="C55" s="703">
        <f ca="1">C25*'EF ele_warmte'!B12</f>
        <v>23.022170967690467</v>
      </c>
      <c r="D55" s="703"/>
      <c r="E55" s="703">
        <f>E25*EF_CO2_aardgas</f>
        <v>38.243044000000005</v>
      </c>
      <c r="F55" s="703"/>
      <c r="G55" s="703"/>
      <c r="H55" s="703"/>
      <c r="I55" s="703"/>
      <c r="J55" s="703"/>
      <c r="K55" s="703"/>
      <c r="L55" s="703"/>
      <c r="M55" s="703"/>
      <c r="N55" s="703"/>
      <c r="O55" s="703"/>
      <c r="P55" s="703"/>
      <c r="Q55" s="704"/>
      <c r="R55" s="731">
        <f ca="1">SUM(C55:Q55)</f>
        <v>61.265214967690468</v>
      </c>
    </row>
    <row r="56" spans="1:18" ht="15.75" thickBot="1">
      <c r="A56" s="823" t="s">
        <v>849</v>
      </c>
      <c r="B56" s="836"/>
      <c r="C56" s="732">
        <f ca="1">SUM(C54:C55)</f>
        <v>707.65728047738662</v>
      </c>
      <c r="D56" s="732">
        <f t="shared" ref="D56:Q56" ca="1" si="7">SUM(D54:D55)</f>
        <v>0</v>
      </c>
      <c r="E56" s="732">
        <f t="shared" si="7"/>
        <v>48.525726740000003</v>
      </c>
      <c r="F56" s="732">
        <f t="shared" si="7"/>
        <v>22.948249600281841</v>
      </c>
      <c r="G56" s="732">
        <f t="shared" si="7"/>
        <v>3826.1174533953963</v>
      </c>
      <c r="H56" s="732">
        <f t="shared" si="7"/>
        <v>0</v>
      </c>
      <c r="I56" s="732">
        <f t="shared" si="7"/>
        <v>0</v>
      </c>
      <c r="J56" s="732">
        <f t="shared" si="7"/>
        <v>0</v>
      </c>
      <c r="K56" s="732">
        <f t="shared" si="7"/>
        <v>199.79831486137218</v>
      </c>
      <c r="L56" s="732">
        <f t="shared" si="7"/>
        <v>0</v>
      </c>
      <c r="M56" s="732">
        <f t="shared" si="7"/>
        <v>0</v>
      </c>
      <c r="N56" s="732">
        <f t="shared" si="7"/>
        <v>0</v>
      </c>
      <c r="O56" s="732">
        <f t="shared" si="7"/>
        <v>0</v>
      </c>
      <c r="P56" s="732">
        <f t="shared" si="7"/>
        <v>0</v>
      </c>
      <c r="Q56" s="733">
        <f t="shared" si="7"/>
        <v>0</v>
      </c>
      <c r="R56" s="734">
        <f ca="1">SUM(R54:R55)</f>
        <v>4805.0470250744374</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4200.5066477287846</v>
      </c>
      <c r="D61" s="740">
        <f t="shared" ref="D61:Q61" ca="1" si="8">D46+D52+D56</f>
        <v>0</v>
      </c>
      <c r="E61" s="740">
        <f t="shared" ca="1" si="8"/>
        <v>3457.0482067608114</v>
      </c>
      <c r="F61" s="740">
        <f t="shared" si="8"/>
        <v>496.32836959197709</v>
      </c>
      <c r="G61" s="740">
        <f t="shared" ca="1" si="8"/>
        <v>13371.885156675371</v>
      </c>
      <c r="H61" s="740">
        <f t="shared" si="8"/>
        <v>5205.9538005577988</v>
      </c>
      <c r="I61" s="740">
        <f t="shared" si="8"/>
        <v>1213.2313177218466</v>
      </c>
      <c r="J61" s="740">
        <f t="shared" si="8"/>
        <v>0</v>
      </c>
      <c r="K61" s="740">
        <f t="shared" si="8"/>
        <v>199.79831486137218</v>
      </c>
      <c r="L61" s="740">
        <f t="shared" si="8"/>
        <v>0</v>
      </c>
      <c r="M61" s="740">
        <f t="shared" ca="1" si="8"/>
        <v>0</v>
      </c>
      <c r="N61" s="740">
        <f t="shared" si="8"/>
        <v>0</v>
      </c>
      <c r="O61" s="740">
        <f t="shared" ca="1" si="8"/>
        <v>0</v>
      </c>
      <c r="P61" s="740">
        <f t="shared" si="8"/>
        <v>0</v>
      </c>
      <c r="Q61" s="740">
        <f t="shared" si="8"/>
        <v>0</v>
      </c>
      <c r="R61" s="740">
        <f ca="1">R46+R52+R56</f>
        <v>28144.751813897961</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0.17463132119947561</v>
      </c>
      <c r="D63" s="781">
        <f t="shared" ca="1" si="9"/>
        <v>0</v>
      </c>
      <c r="E63" s="1023">
        <f t="shared" ca="1" si="9"/>
        <v>0.20199999999999999</v>
      </c>
      <c r="F63" s="781">
        <f t="shared" si="9"/>
        <v>0.22699999999999998</v>
      </c>
      <c r="G63" s="781">
        <f t="shared" ca="1" si="9"/>
        <v>0.26700000000000002</v>
      </c>
      <c r="H63" s="781">
        <f t="shared" si="9"/>
        <v>0.26699999999999996</v>
      </c>
      <c r="I63" s="781">
        <f t="shared" si="9"/>
        <v>0.24899999999999997</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0</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5046.7522405257605</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0</v>
      </c>
      <c r="C76" s="750">
        <f>'lokale energieproductie'!B8*IFERROR(SUM(D76:H76)/SUM(D76:O76),0)</f>
        <v>0</v>
      </c>
      <c r="D76" s="1033">
        <f>'lokale energieproductie'!C8</f>
        <v>0</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0</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5046.7522405257605</v>
      </c>
      <c r="C78" s="755">
        <f>SUM(C72:C77)</f>
        <v>0</v>
      </c>
      <c r="D78" s="756">
        <f t="shared" ref="D78:H78" si="10">SUM(D76:D77)</f>
        <v>0</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0</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5046.7522405257605</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0</v>
      </c>
      <c r="C8" s="570">
        <f>B101</f>
        <v>0</v>
      </c>
      <c r="D8" s="1043"/>
      <c r="E8" s="1043">
        <f>E101</f>
        <v>0</v>
      </c>
      <c r="F8" s="1044"/>
      <c r="G8" s="571"/>
      <c r="H8" s="1043">
        <f>I101</f>
        <v>0</v>
      </c>
      <c r="I8" s="1043">
        <f>G101+F101</f>
        <v>0</v>
      </c>
      <c r="J8" s="1043">
        <f>H101+D101+C101</f>
        <v>0</v>
      </c>
      <c r="K8" s="1043"/>
      <c r="L8" s="1043"/>
      <c r="M8" s="1043"/>
      <c r="N8" s="572"/>
      <c r="O8" s="573">
        <f>C8*$C$12+D8*$D$12+E8*$E$12+F8*$F$12+G8*$G$12+H8*$H$12+I8*$I$12+J8*$J$12</f>
        <v>0</v>
      </c>
      <c r="P8" s="1258"/>
      <c r="Q8" s="1259"/>
      <c r="S8" s="1007"/>
      <c r="T8" s="1237"/>
      <c r="U8" s="1237"/>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5046.7522405257605</v>
      </c>
      <c r="C10" s="583">
        <f t="shared" ref="C10:L10" si="0">SUM(C8:C9)</f>
        <v>0</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6"/>
      <c r="N10" s="1046"/>
      <c r="O10" s="584">
        <f>SUM(O4:O9)</f>
        <v>0</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0</v>
      </c>
      <c r="C17" s="595">
        <f>B102</f>
        <v>0</v>
      </c>
      <c r="D17" s="596"/>
      <c r="E17" s="596">
        <f>E102</f>
        <v>0</v>
      </c>
      <c r="F17" s="1049"/>
      <c r="G17" s="597"/>
      <c r="H17" s="595">
        <f>I102</f>
        <v>0</v>
      </c>
      <c r="I17" s="596">
        <f>G102+F102</f>
        <v>0</v>
      </c>
      <c r="J17" s="596">
        <f>H102+D102+C102</f>
        <v>0</v>
      </c>
      <c r="K17" s="596"/>
      <c r="L17" s="596"/>
      <c r="M17" s="596"/>
      <c r="N17" s="1050"/>
      <c r="O17" s="598">
        <f>C17*$C$22+E17*$E$22+H17*$H$22+I17*$I$22+J17*$J$22+D17*$D$22+F17*$F$22+G17*$G$22+K17*$K$22+L17*$L$22</f>
        <v>0</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12837.34243841339</v>
      </c>
      <c r="C4" s="477">
        <f>huishoudens!C8</f>
        <v>0</v>
      </c>
      <c r="D4" s="477">
        <f>huishoudens!D8</f>
        <v>13683.852336</v>
      </c>
      <c r="E4" s="477">
        <f>huishoudens!E8</f>
        <v>1778.1705280523752</v>
      </c>
      <c r="F4" s="477">
        <f>huishoudens!F8</f>
        <v>33823.423175085751</v>
      </c>
      <c r="G4" s="477">
        <f>huishoudens!G8</f>
        <v>0</v>
      </c>
      <c r="H4" s="477">
        <f>huishoudens!H8</f>
        <v>0</v>
      </c>
      <c r="I4" s="477">
        <f>huishoudens!I8</f>
        <v>0</v>
      </c>
      <c r="J4" s="477">
        <f>huishoudens!J8</f>
        <v>0</v>
      </c>
      <c r="K4" s="477">
        <f>huishoudens!K8</f>
        <v>0</v>
      </c>
      <c r="L4" s="477">
        <f>huishoudens!L8</f>
        <v>0</v>
      </c>
      <c r="M4" s="477">
        <f>huishoudens!M8</f>
        <v>0</v>
      </c>
      <c r="N4" s="477">
        <f>huishoudens!N8</f>
        <v>5555.1337472702717</v>
      </c>
      <c r="O4" s="477">
        <f>huishoudens!O8</f>
        <v>117.25</v>
      </c>
      <c r="P4" s="478">
        <f>huishoudens!P8</f>
        <v>552.93333333333339</v>
      </c>
      <c r="Q4" s="479">
        <f>SUM(B4:P4)</f>
        <v>68348.105558155119</v>
      </c>
    </row>
    <row r="5" spans="1:17">
      <c r="A5" s="476" t="s">
        <v>156</v>
      </c>
      <c r="B5" s="477">
        <f ca="1">tertiair!B16</f>
        <v>5847.2239999999993</v>
      </c>
      <c r="C5" s="477">
        <f ca="1">tertiair!C16</f>
        <v>0</v>
      </c>
      <c r="D5" s="477">
        <f ca="1">tertiair!D16</f>
        <v>2771.6637960000003</v>
      </c>
      <c r="E5" s="477">
        <f>tertiair!E16</f>
        <v>104.91875536359616</v>
      </c>
      <c r="F5" s="477">
        <f ca="1">tertiair!F16</f>
        <v>1396.0742613426171</v>
      </c>
      <c r="G5" s="477">
        <f>tertiair!G16</f>
        <v>0</v>
      </c>
      <c r="H5" s="477">
        <f>tertiair!H16</f>
        <v>0</v>
      </c>
      <c r="I5" s="477">
        <f>tertiair!I16</f>
        <v>0</v>
      </c>
      <c r="J5" s="477">
        <f>tertiair!J16</f>
        <v>0</v>
      </c>
      <c r="K5" s="477">
        <f>tertiair!K16</f>
        <v>0</v>
      </c>
      <c r="L5" s="477">
        <f ca="1">tertiair!L16</f>
        <v>0</v>
      </c>
      <c r="M5" s="477">
        <f>tertiair!M16</f>
        <v>0</v>
      </c>
      <c r="N5" s="477">
        <f ca="1">tertiair!N16</f>
        <v>864.62728136233943</v>
      </c>
      <c r="O5" s="477">
        <f>tertiair!O16</f>
        <v>1.5633333333333335</v>
      </c>
      <c r="P5" s="478">
        <f>tertiair!P16</f>
        <v>0</v>
      </c>
      <c r="Q5" s="476">
        <f t="shared" ref="Q5:Q14" ca="1" si="0">SUM(B5:P5)</f>
        <v>10986.071427401886</v>
      </c>
    </row>
    <row r="6" spans="1:17">
      <c r="A6" s="476" t="s">
        <v>194</v>
      </c>
      <c r="B6" s="477">
        <f>'openbare verlichting'!B8</f>
        <v>508.34</v>
      </c>
      <c r="C6" s="477"/>
      <c r="D6" s="477"/>
      <c r="E6" s="477"/>
      <c r="F6" s="477"/>
      <c r="G6" s="477"/>
      <c r="H6" s="477"/>
      <c r="I6" s="477"/>
      <c r="J6" s="477"/>
      <c r="K6" s="477"/>
      <c r="L6" s="477"/>
      <c r="M6" s="477"/>
      <c r="N6" s="477"/>
      <c r="O6" s="477"/>
      <c r="P6" s="478"/>
      <c r="Q6" s="476">
        <f t="shared" si="0"/>
        <v>508.34</v>
      </c>
    </row>
    <row r="7" spans="1:17">
      <c r="A7" s="476" t="s">
        <v>112</v>
      </c>
      <c r="B7" s="477">
        <f>landbouw!B8</f>
        <v>3920.46</v>
      </c>
      <c r="C7" s="477">
        <f>landbouw!C8</f>
        <v>0</v>
      </c>
      <c r="D7" s="477">
        <f>landbouw!D8</f>
        <v>50.90437</v>
      </c>
      <c r="E7" s="477">
        <f>landbouw!E8</f>
        <v>101.09361057392881</v>
      </c>
      <c r="F7" s="477">
        <f>landbouw!F8</f>
        <v>14330.027915338562</v>
      </c>
      <c r="G7" s="477">
        <f>landbouw!G8</f>
        <v>0</v>
      </c>
      <c r="H7" s="477">
        <f>landbouw!H8</f>
        <v>0</v>
      </c>
      <c r="I7" s="477">
        <f>landbouw!I8</f>
        <v>0</v>
      </c>
      <c r="J7" s="477">
        <f>landbouw!J8</f>
        <v>564.40201938240727</v>
      </c>
      <c r="K7" s="477">
        <f>landbouw!K8</f>
        <v>0</v>
      </c>
      <c r="L7" s="477">
        <f>landbouw!L8</f>
        <v>0</v>
      </c>
      <c r="M7" s="477">
        <f>landbouw!M8</f>
        <v>0</v>
      </c>
      <c r="N7" s="477">
        <f>landbouw!N8</f>
        <v>0</v>
      </c>
      <c r="O7" s="477">
        <f>landbouw!O8</f>
        <v>0</v>
      </c>
      <c r="P7" s="478">
        <f>landbouw!P8</f>
        <v>0</v>
      </c>
      <c r="Q7" s="476">
        <f t="shared" si="0"/>
        <v>18966.887915294898</v>
      </c>
    </row>
    <row r="8" spans="1:17">
      <c r="A8" s="476" t="s">
        <v>638</v>
      </c>
      <c r="B8" s="477">
        <f>industrie!B18</f>
        <v>802.12099999999998</v>
      </c>
      <c r="C8" s="477">
        <f>industrie!C18</f>
        <v>0</v>
      </c>
      <c r="D8" s="477">
        <f>industrie!D18</f>
        <v>399.94589799999994</v>
      </c>
      <c r="E8" s="477">
        <f>industrie!E18</f>
        <v>133.90395316488272</v>
      </c>
      <c r="F8" s="477">
        <f>industrie!F18</f>
        <v>532.44152716703923</v>
      </c>
      <c r="G8" s="477">
        <f>industrie!G18</f>
        <v>0</v>
      </c>
      <c r="H8" s="477">
        <f>industrie!H18</f>
        <v>0</v>
      </c>
      <c r="I8" s="477">
        <f>industrie!I18</f>
        <v>0</v>
      </c>
      <c r="J8" s="477">
        <f>industrie!J18</f>
        <v>0</v>
      </c>
      <c r="K8" s="477">
        <f>industrie!K18</f>
        <v>0</v>
      </c>
      <c r="L8" s="477">
        <f>industrie!L18</f>
        <v>0</v>
      </c>
      <c r="M8" s="477">
        <f>industrie!M18</f>
        <v>0</v>
      </c>
      <c r="N8" s="477">
        <f>industrie!N18</f>
        <v>203.60145416739763</v>
      </c>
      <c r="O8" s="477">
        <f>industrie!O18</f>
        <v>0</v>
      </c>
      <c r="P8" s="478">
        <f>industrie!P18</f>
        <v>0</v>
      </c>
      <c r="Q8" s="476">
        <f t="shared" si="0"/>
        <v>2072.0138324993195</v>
      </c>
    </row>
    <row r="9" spans="1:17" s="482" customFormat="1">
      <c r="A9" s="480" t="s">
        <v>564</v>
      </c>
      <c r="B9" s="481">
        <f>transport!B14</f>
        <v>6.2492126498587721</v>
      </c>
      <c r="C9" s="481">
        <f>transport!C14</f>
        <v>0</v>
      </c>
      <c r="D9" s="481">
        <f>transport!D14</f>
        <v>18.411633469359355</v>
      </c>
      <c r="E9" s="481">
        <f>transport!E14</f>
        <v>68.381741356129467</v>
      </c>
      <c r="F9" s="481">
        <f>transport!F14</f>
        <v>0</v>
      </c>
      <c r="G9" s="481">
        <f>transport!G14</f>
        <v>18528.982257500764</v>
      </c>
      <c r="H9" s="481">
        <f>transport!H14</f>
        <v>4872.4149306098261</v>
      </c>
      <c r="I9" s="481">
        <f>transport!I14</f>
        <v>0</v>
      </c>
      <c r="J9" s="481">
        <f>transport!J14</f>
        <v>0</v>
      </c>
      <c r="K9" s="481">
        <f>transport!K14</f>
        <v>0</v>
      </c>
      <c r="L9" s="481">
        <f>transport!L14</f>
        <v>0</v>
      </c>
      <c r="M9" s="481">
        <f>transport!M14</f>
        <v>729.77979199958304</v>
      </c>
      <c r="N9" s="481">
        <f>transport!N14</f>
        <v>0</v>
      </c>
      <c r="O9" s="481">
        <f>transport!O14</f>
        <v>0</v>
      </c>
      <c r="P9" s="481">
        <f>transport!P14</f>
        <v>0</v>
      </c>
      <c r="Q9" s="480">
        <f>SUM(B9:P9)</f>
        <v>24224.219567585522</v>
      </c>
    </row>
    <row r="10" spans="1:17">
      <c r="A10" s="476" t="s">
        <v>554</v>
      </c>
      <c r="B10" s="477">
        <f>transport!B54</f>
        <v>0</v>
      </c>
      <c r="C10" s="477">
        <f>transport!C54</f>
        <v>0</v>
      </c>
      <c r="D10" s="477">
        <f>transport!D54</f>
        <v>0</v>
      </c>
      <c r="E10" s="477">
        <f>transport!E54</f>
        <v>0</v>
      </c>
      <c r="F10" s="477">
        <f>transport!F54</f>
        <v>0</v>
      </c>
      <c r="G10" s="477">
        <f>transport!G54</f>
        <v>968.97205170447546</v>
      </c>
      <c r="H10" s="477">
        <f>transport!H54</f>
        <v>0</v>
      </c>
      <c r="I10" s="477">
        <f>transport!I54</f>
        <v>0</v>
      </c>
      <c r="J10" s="477">
        <f>transport!J54</f>
        <v>0</v>
      </c>
      <c r="K10" s="477">
        <f>transport!K54</f>
        <v>0</v>
      </c>
      <c r="L10" s="477">
        <f>transport!L54</f>
        <v>0</v>
      </c>
      <c r="M10" s="477">
        <f>transport!M54</f>
        <v>30.055345276954856</v>
      </c>
      <c r="N10" s="477">
        <f>transport!N54</f>
        <v>0</v>
      </c>
      <c r="O10" s="477">
        <f>transport!O54</f>
        <v>0</v>
      </c>
      <c r="P10" s="478">
        <f>transport!P54</f>
        <v>0</v>
      </c>
      <c r="Q10" s="476">
        <f t="shared" si="0"/>
        <v>999.02739698143034</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131.833</v>
      </c>
      <c r="C14" s="484"/>
      <c r="D14" s="484">
        <f>'SEAP template'!E25</f>
        <v>189.322</v>
      </c>
      <c r="E14" s="484"/>
      <c r="F14" s="484"/>
      <c r="G14" s="484"/>
      <c r="H14" s="484"/>
      <c r="I14" s="484"/>
      <c r="J14" s="484"/>
      <c r="K14" s="484"/>
      <c r="L14" s="484"/>
      <c r="M14" s="484"/>
      <c r="N14" s="484"/>
      <c r="O14" s="484"/>
      <c r="P14" s="485"/>
      <c r="Q14" s="476">
        <f t="shared" si="0"/>
        <v>321.15499999999997</v>
      </c>
    </row>
    <row r="15" spans="1:17" s="486" customFormat="1">
      <c r="A15" s="1038" t="s">
        <v>558</v>
      </c>
      <c r="B15" s="978">
        <f ca="1">SUM(B4:B14)</f>
        <v>24053.569651063244</v>
      </c>
      <c r="C15" s="978">
        <f t="shared" ref="C15:Q15" ca="1" si="1">SUM(C4:C14)</f>
        <v>0</v>
      </c>
      <c r="D15" s="978">
        <f t="shared" ca="1" si="1"/>
        <v>17114.10003346936</v>
      </c>
      <c r="E15" s="978">
        <f t="shared" si="1"/>
        <v>2186.4685885109125</v>
      </c>
      <c r="F15" s="978">
        <f t="shared" ca="1" si="1"/>
        <v>50081.96687893397</v>
      </c>
      <c r="G15" s="978">
        <f t="shared" si="1"/>
        <v>19497.954309205241</v>
      </c>
      <c r="H15" s="978">
        <f t="shared" si="1"/>
        <v>4872.4149306098261</v>
      </c>
      <c r="I15" s="978">
        <f t="shared" si="1"/>
        <v>0</v>
      </c>
      <c r="J15" s="978">
        <f t="shared" si="1"/>
        <v>564.40201938240727</v>
      </c>
      <c r="K15" s="978">
        <f t="shared" si="1"/>
        <v>0</v>
      </c>
      <c r="L15" s="978">
        <f t="shared" ca="1" si="1"/>
        <v>0</v>
      </c>
      <c r="M15" s="978">
        <f t="shared" si="1"/>
        <v>759.83513727653792</v>
      </c>
      <c r="N15" s="978">
        <f t="shared" ca="1" si="1"/>
        <v>6623.3624828000084</v>
      </c>
      <c r="O15" s="978">
        <f t="shared" si="1"/>
        <v>118.81333333333333</v>
      </c>
      <c r="P15" s="978">
        <f t="shared" si="1"/>
        <v>552.93333333333339</v>
      </c>
      <c r="Q15" s="978">
        <f t="shared" ca="1" si="1"/>
        <v>126425.82069791816</v>
      </c>
    </row>
    <row r="17" spans="1:17">
      <c r="A17" s="487" t="s">
        <v>559</v>
      </c>
      <c r="B17" s="786">
        <f ca="1">huishoudens!B10</f>
        <v>0.17463132119947561</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2241.8020707102282</v>
      </c>
      <c r="C22" s="477">
        <f t="shared" ref="C22:C32" ca="1" si="3">C4*$C$17</f>
        <v>0</v>
      </c>
      <c r="D22" s="477">
        <f t="shared" ref="D22:D32" si="4">D4*$D$17</f>
        <v>2764.1381718720004</v>
      </c>
      <c r="E22" s="477">
        <f t="shared" ref="E22:E32" si="5">E4*$E$17</f>
        <v>403.64470986788916</v>
      </c>
      <c r="F22" s="477">
        <f t="shared" ref="F22:F32" si="6">F4*$F$17</f>
        <v>9030.8539877478961</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14440.438940198013</v>
      </c>
    </row>
    <row r="23" spans="1:17">
      <c r="A23" s="476" t="s">
        <v>156</v>
      </c>
      <c r="B23" s="477">
        <f t="shared" ca="1" si="2"/>
        <v>1021.1084524692824</v>
      </c>
      <c r="C23" s="477">
        <f t="shared" ca="1" si="3"/>
        <v>0</v>
      </c>
      <c r="D23" s="477">
        <f t="shared" ca="1" si="4"/>
        <v>559.87608679200014</v>
      </c>
      <c r="E23" s="477">
        <f t="shared" si="5"/>
        <v>23.816557467536331</v>
      </c>
      <c r="F23" s="477">
        <f t="shared" ca="1" si="6"/>
        <v>372.7518277784788</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1977.5529245072976</v>
      </c>
    </row>
    <row r="24" spans="1:17">
      <c r="A24" s="476" t="s">
        <v>194</v>
      </c>
      <c r="B24" s="477">
        <f t="shared" ca="1" si="2"/>
        <v>88.772085818541427</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88.772085818541427</v>
      </c>
    </row>
    <row r="25" spans="1:17">
      <c r="A25" s="476" t="s">
        <v>112</v>
      </c>
      <c r="B25" s="477">
        <f t="shared" ca="1" si="2"/>
        <v>684.63510950969612</v>
      </c>
      <c r="C25" s="477">
        <f t="shared" ca="1" si="3"/>
        <v>0</v>
      </c>
      <c r="D25" s="477">
        <f t="shared" si="4"/>
        <v>10.28268274</v>
      </c>
      <c r="E25" s="477">
        <f t="shared" si="5"/>
        <v>22.948249600281841</v>
      </c>
      <c r="F25" s="477">
        <f t="shared" si="6"/>
        <v>3826.1174533953963</v>
      </c>
      <c r="G25" s="477">
        <f t="shared" si="7"/>
        <v>0</v>
      </c>
      <c r="H25" s="477">
        <f t="shared" si="8"/>
        <v>0</v>
      </c>
      <c r="I25" s="477">
        <f t="shared" si="9"/>
        <v>0</v>
      </c>
      <c r="J25" s="477">
        <f t="shared" si="10"/>
        <v>199.79831486137218</v>
      </c>
      <c r="K25" s="477">
        <f t="shared" si="11"/>
        <v>0</v>
      </c>
      <c r="L25" s="477">
        <f t="shared" si="12"/>
        <v>0</v>
      </c>
      <c r="M25" s="477">
        <f t="shared" si="13"/>
        <v>0</v>
      </c>
      <c r="N25" s="477">
        <f t="shared" si="14"/>
        <v>0</v>
      </c>
      <c r="O25" s="477">
        <f t="shared" si="15"/>
        <v>0</v>
      </c>
      <c r="P25" s="478">
        <f t="shared" si="16"/>
        <v>0</v>
      </c>
      <c r="Q25" s="476">
        <f t="shared" ca="1" si="17"/>
        <v>4743.7818101067469</v>
      </c>
    </row>
    <row r="26" spans="1:17">
      <c r="A26" s="476" t="s">
        <v>638</v>
      </c>
      <c r="B26" s="477">
        <f t="shared" ca="1" si="2"/>
        <v>140.07544999184458</v>
      </c>
      <c r="C26" s="477">
        <f t="shared" ca="1" si="3"/>
        <v>0</v>
      </c>
      <c r="D26" s="477">
        <f t="shared" si="4"/>
        <v>80.789071395999997</v>
      </c>
      <c r="E26" s="477">
        <f t="shared" si="5"/>
        <v>30.396197368428378</v>
      </c>
      <c r="F26" s="477">
        <f t="shared" si="6"/>
        <v>142.16188775359947</v>
      </c>
      <c r="G26" s="477">
        <f t="shared" si="7"/>
        <v>0</v>
      </c>
      <c r="H26" s="477">
        <f t="shared" si="8"/>
        <v>0</v>
      </c>
      <c r="I26" s="477">
        <f t="shared" si="9"/>
        <v>0</v>
      </c>
      <c r="J26" s="477">
        <f t="shared" si="10"/>
        <v>0</v>
      </c>
      <c r="K26" s="477">
        <f t="shared" si="11"/>
        <v>0</v>
      </c>
      <c r="L26" s="477">
        <f t="shared" si="12"/>
        <v>0</v>
      </c>
      <c r="M26" s="477">
        <f t="shared" si="13"/>
        <v>0</v>
      </c>
      <c r="N26" s="477">
        <f t="shared" si="14"/>
        <v>0</v>
      </c>
      <c r="O26" s="477">
        <f t="shared" si="15"/>
        <v>0</v>
      </c>
      <c r="P26" s="478">
        <f t="shared" si="16"/>
        <v>0</v>
      </c>
      <c r="Q26" s="476">
        <f t="shared" ca="1" si="17"/>
        <v>393.42260650987242</v>
      </c>
    </row>
    <row r="27" spans="1:17" s="482" customFormat="1">
      <c r="A27" s="480" t="s">
        <v>564</v>
      </c>
      <c r="B27" s="780">
        <f t="shared" ca="1" si="2"/>
        <v>1.0913082615013134</v>
      </c>
      <c r="C27" s="481">
        <f t="shared" ca="1" si="3"/>
        <v>0</v>
      </c>
      <c r="D27" s="481">
        <f t="shared" si="4"/>
        <v>3.71914996081059</v>
      </c>
      <c r="E27" s="481">
        <f t="shared" si="5"/>
        <v>15.52265528784139</v>
      </c>
      <c r="F27" s="481">
        <f t="shared" si="6"/>
        <v>0</v>
      </c>
      <c r="G27" s="481">
        <f t="shared" si="7"/>
        <v>4947.238262752704</v>
      </c>
      <c r="H27" s="481">
        <f t="shared" si="8"/>
        <v>1213.2313177218466</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6180.8026939847041</v>
      </c>
    </row>
    <row r="28" spans="1:17">
      <c r="A28" s="476" t="s">
        <v>554</v>
      </c>
      <c r="B28" s="477">
        <f t="shared" ca="1" si="2"/>
        <v>0</v>
      </c>
      <c r="C28" s="477">
        <f t="shared" ca="1" si="3"/>
        <v>0</v>
      </c>
      <c r="D28" s="477">
        <f t="shared" si="4"/>
        <v>0</v>
      </c>
      <c r="E28" s="477">
        <f t="shared" si="5"/>
        <v>0</v>
      </c>
      <c r="F28" s="477">
        <f t="shared" si="6"/>
        <v>0</v>
      </c>
      <c r="G28" s="477">
        <f t="shared" si="7"/>
        <v>258.71553780509498</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258.71553780509498</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23.022170967690467</v>
      </c>
      <c r="C32" s="477">
        <f t="shared" ca="1" si="3"/>
        <v>0</v>
      </c>
      <c r="D32" s="477">
        <f t="shared" si="4"/>
        <v>38.243044000000005</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61.265214967690468</v>
      </c>
    </row>
    <row r="33" spans="1:17" s="486" customFormat="1">
      <c r="A33" s="1038" t="s">
        <v>558</v>
      </c>
      <c r="B33" s="978">
        <f ca="1">SUM(B22:B32)</f>
        <v>4200.5066477287855</v>
      </c>
      <c r="C33" s="978">
        <f t="shared" ref="C33:Q33" ca="1" si="18">SUM(C22:C32)</f>
        <v>0</v>
      </c>
      <c r="D33" s="978">
        <f t="shared" ca="1" si="18"/>
        <v>3457.0482067608109</v>
      </c>
      <c r="E33" s="978">
        <f t="shared" si="18"/>
        <v>496.32836959197709</v>
      </c>
      <c r="F33" s="978">
        <f t="shared" ca="1" si="18"/>
        <v>13371.885156675371</v>
      </c>
      <c r="G33" s="978">
        <f t="shared" si="18"/>
        <v>5205.9538005577988</v>
      </c>
      <c r="H33" s="978">
        <f t="shared" si="18"/>
        <v>1213.2313177218466</v>
      </c>
      <c r="I33" s="978">
        <f t="shared" si="18"/>
        <v>0</v>
      </c>
      <c r="J33" s="978">
        <f t="shared" si="18"/>
        <v>199.79831486137218</v>
      </c>
      <c r="K33" s="978">
        <f t="shared" si="18"/>
        <v>0</v>
      </c>
      <c r="L33" s="978">
        <f t="shared" ca="1" si="18"/>
        <v>0</v>
      </c>
      <c r="M33" s="978">
        <f t="shared" si="18"/>
        <v>0</v>
      </c>
      <c r="N33" s="978">
        <f t="shared" ca="1" si="18"/>
        <v>0</v>
      </c>
      <c r="O33" s="978">
        <f t="shared" si="18"/>
        <v>0</v>
      </c>
      <c r="P33" s="978">
        <f t="shared" si="18"/>
        <v>0</v>
      </c>
      <c r="Q33" s="978">
        <f t="shared" ca="1" si="18"/>
        <v>28144.751813897965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0</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5046.7522405257605</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0</v>
      </c>
      <c r="C8" s="1055">
        <f>'SEAP template'!C76</f>
        <v>0</v>
      </c>
      <c r="D8" s="1055">
        <f>'SEAP template'!D76</f>
        <v>0</v>
      </c>
      <c r="E8" s="1055">
        <f>'SEAP template'!E76</f>
        <v>0</v>
      </c>
      <c r="F8" s="1055">
        <f>'SEAP template'!F76</f>
        <v>0</v>
      </c>
      <c r="G8" s="1055">
        <f>'SEAP template'!G76</f>
        <v>0</v>
      </c>
      <c r="H8" s="1055">
        <f>'SEAP template'!H76</f>
        <v>0</v>
      </c>
      <c r="I8" s="1055">
        <f>'SEAP template'!I76</f>
        <v>0</v>
      </c>
      <c r="J8" s="1055">
        <f>'SEAP template'!J76</f>
        <v>0</v>
      </c>
      <c r="K8" s="1055">
        <f>'SEAP template'!K76</f>
        <v>0</v>
      </c>
      <c r="L8" s="1055">
        <f>'SEAP template'!L76</f>
        <v>0</v>
      </c>
      <c r="M8" s="1055">
        <f>'SEAP template'!M76</f>
        <v>0</v>
      </c>
      <c r="N8" s="1055">
        <f>'SEAP template'!N76</f>
        <v>0</v>
      </c>
      <c r="O8" s="1055">
        <f>'SEAP template'!O76</f>
        <v>0</v>
      </c>
      <c r="P8" s="1056">
        <f>'SEAP template'!Q76</f>
        <v>0</v>
      </c>
    </row>
    <row r="9" spans="1:16">
      <c r="A9" s="1058" t="s">
        <v>863</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5046.7522405257605</v>
      </c>
      <c r="C10" s="1059">
        <f>SUM(C4:C9)</f>
        <v>0</v>
      </c>
      <c r="D10" s="1059">
        <f t="shared" ref="D10:H10" si="0">SUM(D8:D9)</f>
        <v>0</v>
      </c>
      <c r="E10" s="1059">
        <f t="shared" si="0"/>
        <v>0</v>
      </c>
      <c r="F10" s="1059">
        <f t="shared" si="0"/>
        <v>0</v>
      </c>
      <c r="G10" s="1059">
        <f t="shared" si="0"/>
        <v>0</v>
      </c>
      <c r="H10" s="1059">
        <f t="shared" si="0"/>
        <v>0</v>
      </c>
      <c r="I10" s="1059">
        <f>SUM(I8:I9)</f>
        <v>0</v>
      </c>
      <c r="J10" s="1059">
        <f>SUM(J8:J9)</f>
        <v>0</v>
      </c>
      <c r="K10" s="1059">
        <f t="shared" ref="K10:L10" si="1">SUM(K8:K9)</f>
        <v>0</v>
      </c>
      <c r="L10" s="1059">
        <f t="shared" si="1"/>
        <v>0</v>
      </c>
      <c r="M10" s="1059">
        <f>SUM(M8:M9)</f>
        <v>0</v>
      </c>
      <c r="N10" s="1059">
        <f>SUM(N8:N9)</f>
        <v>0</v>
      </c>
      <c r="O10" s="1059">
        <f>SUM(O8:O9)</f>
        <v>0</v>
      </c>
      <c r="P10" s="1059">
        <f>SUM(P8:P9)</f>
        <v>0</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0.17463132119947561</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0</v>
      </c>
      <c r="C17" s="1061">
        <f>'SEAP template'!C87</f>
        <v>0</v>
      </c>
      <c r="D17" s="1056">
        <f>'SEAP template'!D87</f>
        <v>0</v>
      </c>
      <c r="E17" s="1056">
        <f>'SEAP template'!E87</f>
        <v>0</v>
      </c>
      <c r="F17" s="1056">
        <f>'SEAP template'!F87</f>
        <v>0</v>
      </c>
      <c r="G17" s="1056">
        <f>'SEAP template'!G87</f>
        <v>0</v>
      </c>
      <c r="H17" s="1056">
        <f>'SEAP template'!H87</f>
        <v>0</v>
      </c>
      <c r="I17" s="1056">
        <f>'SEAP template'!I87</f>
        <v>0</v>
      </c>
      <c r="J17" s="1056">
        <f>'SEAP template'!J87</f>
        <v>0</v>
      </c>
      <c r="K17" s="1056">
        <f>'SEAP template'!K87</f>
        <v>0</v>
      </c>
      <c r="L17" s="1056">
        <f>'SEAP template'!L87</f>
        <v>0</v>
      </c>
      <c r="M17" s="1056">
        <f>'SEAP template'!M87</f>
        <v>0</v>
      </c>
      <c r="N17" s="1056">
        <f>'SEAP template'!N87</f>
        <v>0</v>
      </c>
      <c r="O17" s="1056">
        <f>'SEAP template'!O87</f>
        <v>0</v>
      </c>
      <c r="P17" s="1056">
        <f>'SEAP template'!Q87</f>
        <v>0</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0</v>
      </c>
      <c r="C20" s="1059">
        <f>SUM(C17:C19)</f>
        <v>0</v>
      </c>
      <c r="D20" s="1059">
        <f t="shared" ref="D20:H20" si="2">SUM(D17:D19)</f>
        <v>0</v>
      </c>
      <c r="E20" s="1059">
        <f t="shared" si="2"/>
        <v>0</v>
      </c>
      <c r="F20" s="1059">
        <f t="shared" si="2"/>
        <v>0</v>
      </c>
      <c r="G20" s="1059">
        <f t="shared" si="2"/>
        <v>0</v>
      </c>
      <c r="H20" s="1059">
        <f t="shared" si="2"/>
        <v>0</v>
      </c>
      <c r="I20" s="1059">
        <f>SUM(I17:I19)</f>
        <v>0</v>
      </c>
      <c r="J20" s="1059">
        <f>SUM(J17:J19)</f>
        <v>0</v>
      </c>
      <c r="K20" s="1059">
        <f t="shared" ref="K20:L20" si="3">SUM(K17:K19)</f>
        <v>0</v>
      </c>
      <c r="L20" s="1059">
        <f t="shared" si="3"/>
        <v>0</v>
      </c>
      <c r="M20" s="1059">
        <f>SUM(M17:M19)</f>
        <v>0</v>
      </c>
      <c r="N20" s="1059">
        <f>SUM(N17:N19)</f>
        <v>0</v>
      </c>
      <c r="O20" s="1059">
        <f>SUM(O17:O19)</f>
        <v>0</v>
      </c>
      <c r="P20" s="1059">
        <f>SUM(P17:P19)</f>
        <v>0</v>
      </c>
    </row>
    <row r="22" spans="1:16">
      <c r="A22" s="487" t="s">
        <v>871</v>
      </c>
      <c r="B22" s="786" t="s">
        <v>865</v>
      </c>
      <c r="C22" s="786">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0.17463132119947561</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0</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2019-08-12T08:26:12Z</dcterms:modified>
</cp:coreProperties>
</file>