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L10" s="1"/>
  <c r="K9"/>
  <c r="K10" s="1"/>
  <c r="I9"/>
  <c r="I77" i="14" s="1"/>
  <c r="I9" i="59" s="1"/>
  <c r="G9" i="18"/>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29"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O19" i="59" l="1"/>
  <c r="O20" s="1"/>
  <c r="O90" i="14"/>
  <c r="N19" i="59"/>
  <c r="N20" s="1"/>
  <c r="N90" i="14"/>
  <c r="L18" i="59"/>
  <c r="L90" i="14"/>
  <c r="L78"/>
  <c r="L8" i="59"/>
  <c r="L10" s="1"/>
  <c r="E89" i="14"/>
  <c r="E19" i="59" s="1"/>
  <c r="P31" i="48"/>
  <c r="E77" i="14"/>
  <c r="E9" i="59" s="1"/>
  <c r="E10" s="1"/>
  <c r="O77" i="14"/>
  <c r="N77"/>
  <c r="N9" i="59" s="1"/>
  <c r="R25" i="14"/>
  <c r="O32" i="48"/>
  <c r="F13" i="15"/>
  <c r="H90" i="14"/>
  <c r="H18" i="59"/>
  <c r="H20" s="1"/>
  <c r="H78" i="14"/>
  <c r="H8" i="59"/>
  <c r="H10" s="1"/>
  <c r="K10"/>
  <c r="C98" i="18"/>
  <c r="P29" i="48"/>
  <c r="K90" i="14"/>
  <c r="E20" i="59"/>
  <c r="B17" i="18"/>
  <c r="B20" s="1"/>
  <c r="K20" i="59"/>
  <c r="P25" i="48"/>
  <c r="G78" i="14"/>
  <c r="N10" i="59"/>
  <c r="L20"/>
  <c r="B8" i="18"/>
  <c r="B10" s="1"/>
  <c r="O19"/>
  <c r="L13" i="15"/>
  <c r="N13"/>
  <c r="Q77" i="14"/>
  <c r="P9" i="59" s="1"/>
  <c r="O9" i="18"/>
  <c r="O18"/>
  <c r="B89" i="14"/>
  <c r="B19" i="59" s="1"/>
  <c r="G88" i="14"/>
  <c r="F89"/>
  <c r="I101" i="18"/>
  <c r="H8" s="1"/>
  <c r="E101"/>
  <c r="E8" s="1"/>
  <c r="H101"/>
  <c r="D101"/>
  <c r="G101"/>
  <c r="C101"/>
  <c r="F101"/>
  <c r="B101"/>
  <c r="C8" s="1"/>
  <c r="I102"/>
  <c r="H17" s="1"/>
  <c r="E102"/>
  <c r="E17" s="1"/>
  <c r="H102"/>
  <c r="D102"/>
  <c r="G102"/>
  <c r="C102"/>
  <c r="F102"/>
  <c r="B102"/>
  <c r="C17" s="1"/>
  <c r="B77" i="14"/>
  <c r="B9" i="59" s="1"/>
  <c r="Q14" i="48"/>
  <c r="O24"/>
  <c r="O30"/>
  <c r="P24"/>
  <c r="P30"/>
  <c r="C77" i="14"/>
  <c r="C9" i="59" s="1"/>
  <c r="C88" i="14"/>
  <c r="C18" i="59" s="1"/>
  <c r="E90" i="14"/>
  <c r="G90" l="1"/>
  <c r="G18" i="59"/>
  <c r="G20" s="1"/>
  <c r="C89" i="14"/>
  <c r="C19" i="59" s="1"/>
  <c r="F19"/>
  <c r="Q88" i="14"/>
  <c r="P18" i="59" s="1"/>
  <c r="O78" i="14"/>
  <c r="O9" i="59"/>
  <c r="O10" s="1"/>
  <c r="N78" i="14"/>
  <c r="E78"/>
  <c r="B88"/>
  <c r="B18" i="59" s="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M78" i="14" l="1"/>
  <c r="M8" i="59"/>
  <c r="M10" s="1"/>
  <c r="F90" i="14"/>
  <c r="F17" i="59"/>
  <c r="F20" s="1"/>
  <c r="G5" i="48"/>
  <c r="H10" i="14"/>
  <c r="H16" s="1"/>
  <c r="M90"/>
  <c r="M17" i="59"/>
  <c r="M20" s="1"/>
  <c r="H5" i="48"/>
  <c r="I10" i="14"/>
  <c r="I16" s="1"/>
  <c r="O17" i="18"/>
  <c r="O20" s="1"/>
  <c r="I76" i="14"/>
  <c r="I8" i="59" s="1"/>
  <c r="I10" s="1"/>
  <c r="I10" i="18"/>
  <c r="Q87" i="14"/>
  <c r="D90"/>
  <c r="F78"/>
  <c r="J87"/>
  <c r="J20" i="18"/>
  <c r="J10"/>
  <c r="J76" i="14"/>
  <c r="I87"/>
  <c r="I17" i="59" s="1"/>
  <c r="I20" s="1"/>
  <c r="I20" i="18"/>
  <c r="Q76" i="14"/>
  <c r="D78"/>
  <c r="B24" i="44"/>
  <c r="B23"/>
  <c r="J78" i="14" l="1"/>
  <c r="J8" i="59"/>
  <c r="J10" s="1"/>
  <c r="J90" i="14"/>
  <c r="J17" i="59"/>
  <c r="J2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P11"/>
  <c r="O4" i="48"/>
  <c r="D4"/>
  <c r="D22" s="1"/>
  <c r="E11" i="14"/>
  <c r="H25" i="48"/>
  <c r="H26"/>
  <c r="H32"/>
  <c r="H29"/>
  <c r="H28"/>
  <c r="H22"/>
  <c r="H24"/>
  <c r="H30"/>
  <c r="H23"/>
  <c r="C4"/>
  <c r="D11" i="14"/>
  <c r="B4" i="48"/>
  <c r="C11" i="14"/>
  <c r="B10" i="48"/>
  <c r="C19" i="14"/>
  <c r="L10"/>
  <c r="L16" s="1"/>
  <c r="L27" s="1"/>
  <c r="K5" i="48"/>
  <c r="D28"/>
  <c r="D32"/>
  <c r="D30"/>
  <c r="D31"/>
  <c r="D24"/>
  <c r="D29"/>
  <c r="L27"/>
  <c r="L28"/>
  <c r="L32"/>
  <c r="L24"/>
  <c r="L29"/>
  <c r="L22"/>
  <c r="L31"/>
  <c r="L30"/>
  <c r="P5"/>
  <c r="P23" s="1"/>
  <c r="Q10" i="14"/>
  <c r="J27" i="48"/>
  <c r="J32"/>
  <c r="J29"/>
  <c r="J28"/>
  <c r="J31"/>
  <c r="J30"/>
  <c r="J24"/>
  <c r="I27"/>
  <c r="I32"/>
  <c r="I31"/>
  <c r="I25"/>
  <c r="I29"/>
  <c r="I26"/>
  <c r="I30"/>
  <c r="I22"/>
  <c r="I24"/>
  <c r="I28"/>
  <c r="G25"/>
  <c r="G26"/>
  <c r="G32"/>
  <c r="G29"/>
  <c r="G22"/>
  <c r="G30"/>
  <c r="G24"/>
  <c r="G23"/>
  <c r="F32"/>
  <c r="F28"/>
  <c r="F27"/>
  <c r="F29"/>
  <c r="F30"/>
  <c r="F31"/>
  <c r="F24"/>
  <c r="N32"/>
  <c r="N28"/>
  <c r="N27"/>
  <c r="N31"/>
  <c r="N30"/>
  <c r="N24"/>
  <c r="N29"/>
  <c r="E28"/>
  <c r="E32"/>
  <c r="E30"/>
  <c r="E29"/>
  <c r="E24"/>
  <c r="E31"/>
  <c r="M32"/>
  <c r="M25"/>
  <c r="M22"/>
  <c r="M29"/>
  <c r="M24"/>
  <c r="M26"/>
  <c r="M30"/>
  <c r="M23"/>
  <c r="K28"/>
  <c r="K27"/>
  <c r="K32"/>
  <c r="K31"/>
  <c r="K25"/>
  <c r="K26"/>
  <c r="K24"/>
  <c r="K30"/>
  <c r="K29"/>
  <c r="K22"/>
  <c r="C24" i="14"/>
  <c r="C26" s="1"/>
  <c r="B7" i="48"/>
  <c r="J15" i="16"/>
  <c r="L16"/>
  <c r="L18" s="1"/>
  <c r="D8" i="17"/>
  <c r="D12" s="1"/>
  <c r="E54" i="14" s="1"/>
  <c r="E56" s="1"/>
  <c r="B8" i="9"/>
  <c r="B6" i="48" s="1"/>
  <c r="Q6" s="1"/>
  <c r="C16" i="15"/>
  <c r="I14"/>
  <c r="I16" s="1"/>
  <c r="I20" s="1"/>
  <c r="J40" i="14"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G13" i="48"/>
  <c r="H18" i="14"/>
  <c r="H13" i="48"/>
  <c r="H31" s="1"/>
  <c r="I18" i="14"/>
  <c r="O22" i="48"/>
  <c r="C22" i="14"/>
  <c r="F20"/>
  <c r="F22" s="1"/>
  <c r="E9" i="48"/>
  <c r="E27" s="1"/>
  <c r="I5"/>
  <c r="J10" i="14"/>
  <c r="J16" s="1"/>
  <c r="J27" s="1"/>
  <c r="P15" i="48"/>
  <c r="P22"/>
  <c r="P33" s="1"/>
  <c r="M12" i="22"/>
  <c r="M13" i="48"/>
  <c r="M31" s="1"/>
  <c r="N18" i="14"/>
  <c r="P8" i="48"/>
  <c r="P26" s="1"/>
  <c r="Q13" i="14"/>
  <c r="D9" i="48"/>
  <c r="D27" s="1"/>
  <c r="E20" i="14"/>
  <c r="E22" s="1"/>
  <c r="P10"/>
  <c r="O5" i="48"/>
  <c r="O23" s="1"/>
  <c r="J7"/>
  <c r="J25" s="1"/>
  <c r="K24" i="14"/>
  <c r="K26" s="1"/>
  <c r="K23" i="48"/>
  <c r="K15"/>
  <c r="C20" i="14"/>
  <c r="B9" i="48"/>
  <c r="J46" i="14"/>
  <c r="J61" s="1"/>
  <c r="K33" i="48"/>
  <c r="Q16" i="14"/>
  <c r="Q27"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J4" i="48"/>
  <c r="K11" i="14"/>
  <c r="R18"/>
  <c r="G14" i="22"/>
  <c r="G10" i="48"/>
  <c r="H19" i="14"/>
  <c r="E12" i="13"/>
  <c r="F41" i="14" s="1"/>
  <c r="F11"/>
  <c r="E4" i="48"/>
  <c r="E7"/>
  <c r="E25" s="1"/>
  <c r="F24" i="14"/>
  <c r="F26" s="1"/>
  <c r="G31" i="48"/>
  <c r="Q13"/>
  <c r="O22" i="16"/>
  <c r="P43" i="14" s="1"/>
  <c r="P46" s="1"/>
  <c r="P61" s="1"/>
  <c r="P63" s="1"/>
  <c r="O8" i="48"/>
  <c r="O26" s="1"/>
  <c r="P13" i="14"/>
  <c r="I20"/>
  <c r="I22" s="1"/>
  <c r="I27" s="1"/>
  <c r="H9" i="48"/>
  <c r="I23"/>
  <c r="I33" s="1"/>
  <c r="I15"/>
  <c r="N19" i="14"/>
  <c r="M10" i="48"/>
  <c r="M28" s="1"/>
  <c r="O33"/>
  <c r="P16" i="14"/>
  <c r="P27" s="1"/>
  <c r="M14" i="22"/>
  <c r="M18" s="1"/>
  <c r="N50" i="14" s="1"/>
  <c r="N52" s="1"/>
  <c r="N61" s="1"/>
  <c r="Q63"/>
  <c r="J63"/>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E22" i="48" l="1"/>
  <c r="Q4"/>
  <c r="J22"/>
  <c r="G28"/>
  <c r="Q10"/>
  <c r="R24" i="14"/>
  <c r="R26" s="1"/>
  <c r="R19"/>
  <c r="J5" i="48"/>
  <c r="J23" s="1"/>
  <c r="K10" i="14"/>
  <c r="H27" i="48"/>
  <c r="H33" s="1"/>
  <c r="H15"/>
  <c r="N20" i="14"/>
  <c r="N22" s="1"/>
  <c r="N27" s="1"/>
  <c r="N63" s="1"/>
  <c r="M9" i="48"/>
  <c r="G9"/>
  <c r="H20" i="14"/>
  <c r="E5" i="48"/>
  <c r="E23" s="1"/>
  <c r="F10" i="14"/>
  <c r="J20" i="15"/>
  <c r="K40" i="14" s="1"/>
  <c r="O15" i="48"/>
  <c r="R11" i="14"/>
  <c r="Q7" i="48"/>
  <c r="E20" i="15"/>
  <c r="F40" i="14" s="1"/>
  <c r="J18" i="16"/>
  <c r="E18"/>
  <c r="F18"/>
  <c r="F22" s="1"/>
  <c r="G43" i="14" s="1"/>
  <c r="N18" i="16"/>
  <c r="G18" i="22"/>
  <c r="H50" i="14" s="1"/>
  <c r="H52" s="1"/>
  <c r="H61" s="1"/>
  <c r="E22" i="16"/>
  <c r="F43" i="14" s="1"/>
  <c r="H18" i="22"/>
  <c r="I50" i="14" s="1"/>
  <c r="I52" s="1"/>
  <c r="I61" s="1"/>
  <c r="I63" s="1"/>
  <c r="R22" l="1"/>
  <c r="M27" i="48"/>
  <c r="M33" s="1"/>
  <c r="M15"/>
  <c r="J22" i="16"/>
  <c r="K43" i="14" s="1"/>
  <c r="J8" i="48"/>
  <c r="J26" s="1"/>
  <c r="K13" i="14"/>
  <c r="F13"/>
  <c r="F16" s="1"/>
  <c r="F27" s="1"/>
  <c r="E8" i="48"/>
  <c r="G27"/>
  <c r="G33" s="1"/>
  <c r="G15"/>
  <c r="Q9"/>
  <c r="H22" i="14"/>
  <c r="H27" s="1"/>
  <c r="H63" s="1"/>
  <c r="R20"/>
  <c r="F46"/>
  <c r="F61" s="1"/>
  <c r="K16"/>
  <c r="K27" s="1"/>
  <c r="J15" i="48"/>
  <c r="K46" i="14"/>
  <c r="K61" s="1"/>
  <c r="J33" i="48"/>
  <c r="N8"/>
  <c r="N26" s="1"/>
  <c r="O13" i="14"/>
  <c r="N22" i="16"/>
  <c r="O43" i="14" s="1"/>
  <c r="G13"/>
  <c r="R13" s="1"/>
  <c r="F8" i="48"/>
  <c r="E26" l="1"/>
  <c r="E33" s="1"/>
  <c r="E15"/>
  <c r="K6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<sst xmlns="http://schemas.openxmlformats.org/spreadsheetml/2006/main" count="2446" uniqueCount="915">
  <si>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</si>
  <si>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</si>
  <si>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</si>
  <si>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</si>
  <si>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</si>
  <si>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</si>
  <si>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</si>
  <si>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</si>
  <si>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</si>
  <si>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</si>
  <si>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</si>
  <si>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</si>
  <si>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</si>
  <si>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</si>
  <si>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</si>
  <si>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</si>
  <si>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</si>
  <si>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</si>
  <si>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</si>
  <si>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</si>
  <si>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</si>
  <si>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</si>
  <si>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</si>
  <si>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</si>
  <si>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</si>
  <si>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</si>
  <si>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</si>
  <si>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</si>
  <si>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</si>
  <si>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</si>
  <si>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</si>
  <si>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</si>
  <si>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</si>
  <si>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</si>
  <si>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</si>
  <si>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</si>
  <si>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</si>
  <si>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</si>
  <si>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</si>
  <si>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</si>
  <si>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</si>
  <si>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</si>
  <si>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</si>
  <si>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</si>
  <si>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</si>
  <si>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</si>
  <si>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</si>
  <si>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</si>
  <si>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</si>
  <si>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</si>
  <si>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</si>
  <si>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</si>
  <si>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</si>
  <si>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</si>
  <si>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</si>
  <si>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</si>
  <si>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</si>
  <si>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</si>
  <si>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</si>
  <si>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</si>
  <si>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</si>
  <si>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</si>
  <si>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</si>
  <si>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</si>
  <si>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</si>
  <si>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</si>
  <si>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</si>
  <si>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</si>
  <si>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</si>
  <si>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</si>
  <si>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</si>
  <si>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</si>
  <si>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</si>
  <si>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</si>
  <si>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</si>
  <si>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</si>
  <si>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</si>
  <si>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</si>
  <si>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</si>
  <si>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</si>
  <si>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</si>
  <si>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</si>
  <si>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</si>
  <si>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</si>
  <si>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</si>
  <si>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</si>
  <si>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</si>
  <si>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</si>
  <si>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</si>
  <si>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</si>
  <si>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</si>
  <si>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</si>
  <si>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</si>
  <si>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</si>
  <si>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</si>
  <si>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</si>
  <si>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</si>
  <si>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</si>
  <si>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</si>
  <si>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</si>
  <si>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</si>
  <si>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</si>
  <si>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</si>
  <si>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</si>
  <si>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</si>
  <si>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</si>
  <si>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</si>
  <si>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</si>
  <si>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</si>
  <si>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</si>
  <si>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</si>
  <si>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</si>
  <si>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</si>
  <si>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</si>
  <si>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</si>
  <si>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</si>
  <si>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</si>
  <si>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</si>
  <si>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</si>
  <si>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</si>
  <si>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</si>
  <si>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</si>
  <si>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</si>
  <si>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</si>
  <si>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</si>
  <si>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</si>
  <si>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</si>
  <si>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</si>
  <si>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</si>
  <si>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</si>
  <si>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</si>
  <si>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</si>
  <si>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</si>
  <si>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</si>
  <si>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</si>
  <si>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</si>
  <si>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</si>
  <si>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</si>
  <si>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</si>
  <si>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</si>
  <si>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</si>
  <si>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</si>
  <si>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</si>
  <si>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</si>
  <si>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</si>
  <si>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</si>
  <si>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</si>
  <si>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</si>
  <si>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</si>
  <si>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</si>
  <si>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</si>
  <si>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</si>
  <si>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</si>
  <si>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</si>
  <si>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</si>
  <si>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</si>
  <si>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</si>
  <si>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</si>
  <si>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</si>
  <si>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</si>
  <si>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</si>
  <si>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</si>
  <si>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</si>
  <si>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</si>
  <si>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</si>
  <si>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</si>
  <si>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</si>
  <si>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</si>
  <si>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</si>
  <si>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</si>
  <si>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</si>
  <si>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</si>
  <si>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</si>
  <si>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</si>
  <si>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</si>
  <si>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</si>
  <si>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</si>
  <si>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</si>
  <si>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</si>
  <si>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</si>
  <si>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</si>
  <si>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</si>
  <si>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</si>
  <si>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</si>
  <si>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</si>
  <si>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</si>
  <si>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</si>
  <si>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</si>
  <si>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</si>
  <si>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</si>
  <si>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</si>
  <si>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</si>
  <si>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</si>
  <si>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</si>
  <si>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</si>
  <si>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</si>
  <si>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</si>
  <si>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</si>
  <si>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</si>
  <si>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</si>
  <si>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</si>
  <si>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</si>
  <si>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</si>
  <si>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</si>
  <si>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</si>
  <si>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</si>
  <si>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</si>
  <si>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</si>
  <si>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</si>
  <si>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</si>
  <si>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</si>
  <si>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</si>
  <si>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</si>
  <si>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</si>
  <si>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</si>
  <si>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</si>
  <si>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</si>
  <si>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</si>
  <si>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</si>
  <si>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</si>
  <si>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</si>
  <si>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</si>
  <si>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</si>
  <si>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</si>
  <si>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</si>
  <si>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</si>
  <si>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</si>
  <si>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</si>
  <si>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</si>
  <si>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</si>
  <si>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</si>
  <si>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</si>
  <si>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</si>
  <si>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</si>
  <si>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</si>
  <si>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</si>
  <si>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</si>
  <si>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</si>
  <si>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</si>
  <si>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</si>
  <si>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</si>
  <si>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</si>
  <si>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</si>
  <si>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</si>
  <si>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</si>
  <si>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</si>
  <si>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</si>
  <si>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</si>
  <si>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</si>
  <si>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</si>
  <si>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</si>
  <si>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</si>
  <si>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</si>
  <si>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</si>
  <si>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</si>
  <si>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</si>
  <si>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</si>
  <si>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</si>
  <si>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</si>
  <si>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</si>
  <si>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</si>
  <si>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</si>
  <si>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</si>
  <si>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</si>
  <si>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</si>
  <si>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</si>
  <si>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</si>
  <si>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</si>
  <si>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</si>
  <si>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</si>
  <si>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</si>
  <si>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</si>
  <si>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</si>
  <si>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</si>
  <si>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</si>
  <si>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</si>
  <si>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</si>
  <si>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</si>
  <si>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</si>
  <si>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</si>
  <si>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</si>
  <si>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</si>
  <si>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</si>
  <si>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</si>
  <si>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</si>
  <si>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</si>
  <si>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</si>
  <si>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</si>
  <si>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</si>
  <si>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</si>
  <si>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</si>
  <si>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</si>
  <si>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</si>
  <si>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</si>
  <si>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</si>
  <si>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</si>
  <si>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</si>
  <si>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</si>
  <si>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</si>
  <si>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</si>
  <si>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</si>
  <si>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</si>
  <si>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</si>
  <si>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</si>
  <si>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</si>
  <si>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</si>
  <si>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</si>
  <si>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</si>
  <si>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</si>
  <si>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</si>
  <si>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</si>
  <si>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</si>
  <si>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</si>
  <si>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</si>
  <si>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</si>
  <si>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</si>
  <si>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</si>
  <si>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</si>
  <si>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</si>
  <si>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</si>
  <si>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</si>
  <si>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</si>
  <si>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</si>
  <si>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</si>
  <si>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</si>
  <si>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</si>
  <si>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</si>
  <si>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</si>
  <si>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</si>
  <si>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</si>
  <si>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</si>
  <si>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</si>
  <si>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</si>
  <si>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</si>
  <si>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</si>
  <si>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</si>
  <si>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</si>
  <si>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</si>
  <si>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</si>
  <si>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</si>
  <si>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</si>
  <si>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</si>
  <si>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</si>
  <si>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</si>
  <si>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</si>
  <si>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</si>
  <si>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</si>
  <si>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</si>
  <si>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</si>
  <si>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</si>
  <si>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</si>
  <si>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</si>
  <si>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</si>
  <si>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</si>
  <si>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</si>
  <si>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</si>
  <si>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</si>
  <si>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</si>
  <si>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</si>
  <si>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</si>
  <si>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</si>
  <si>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</si>
  <si>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</si>
  <si>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</si>
  <si>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</si>
  <si>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</si>
  <si>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</si>
  <si>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</si>
  <si>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</si>
  <si>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</si>
  <si>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</si>
  <si>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</si>
  <si>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</si>
  <si>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</si>
  <si>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</si>
  <si>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</si>
  <si>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</si>
  <si>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</si>
  <si>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</si>
  <si>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</si>
  <si>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</si>
  <si>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</si>
  <si>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</si>
  <si>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</si>
  <si>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</si>
  <si>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</si>
  <si>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</si>
  <si>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</si>
  <si>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</si>
  <si>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</si>
  <si>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</si>
  <si>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</si>
  <si>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</si>
  <si>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</si>
  <si>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</si>
  <si>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</si>
  <si>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</si>
  <si>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</si>
  <si>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</si>
  <si>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</si>
  <si>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</si>
  <si>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</si>
  <si>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</si>
  <si>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</si>
  <si>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</si>
  <si>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</si>
  <si>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</si>
  <si>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</si>
  <si>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</si>
  <si>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</si>
  <si>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</si>
  <si>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</si>
  <si>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</si>
  <si>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</si>
  <si>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</si>
  <si>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</si>
  <si>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</si>
  <si>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</si>
  <si>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</si>
  <si>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</si>
  <si>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</si>
  <si>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</si>
  <si>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</si>
  <si>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</si>
  <si>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</si>
  <si>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</si>
  <si>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</si>
  <si>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</si>
  <si>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</si>
  <si>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</si>
  <si>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</si>
  <si>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</si>
  <si>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</si>
  <si>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</si>
  <si>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</si>
  <si>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</si>
  <si>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</si>
  <si>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</si>
  <si>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</si>
  <si>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</si>
  <si>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</si>
  <si>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</si>
  <si>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</si>
  <si>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</si>
  <si>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</si>
  <si>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</si>
  <si>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</si>
  <si>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</si>
  <si>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</si>
  <si>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</si>
  <si>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</si>
  <si>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</si>
  <si>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</si>
  <si>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</si>
  <si>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</si>
  <si>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</si>
  <si>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</si>
  <si>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</si>
  <si>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</si>
  <si>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</si>
  <si>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</si>
  <si>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</si>
  <si>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</si>
  <si>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</si>
  <si>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</si>
  <si>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</si>
  <si>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</si>
  <si>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</si>
  <si>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</si>
  <si>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</si>
  <si>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</si>
  <si>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</si>
  <si>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</si>
  <si>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</si>
  <si>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</si>
  <si>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</si>
  <si>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</si>
  <si>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</si>
  <si>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</si>
  <si>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</si>
  <si>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</si>
  <si>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</si>
  <si>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</si>
  <si>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</si>
  <si>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</si>
  <si>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</si>
  <si>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</si>
  <si>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</si>
  <si>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</si>
  <si>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</si>
  <si>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</si>
  <si>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</si>
  <si>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</si>
  <si>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</si>
  <si>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</si>
  <si>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</si>
  <si>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</si>
  <si>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</si>
  <si>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</si>
  <si>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</si>
  <si>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</si>
  <si>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</si>
  <si>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</si>
  <si>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</si>
  <si>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</si>
  <si>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</si>
  <si>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</si>
  <si>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</si>
  <si>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</si>
  <si>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</si>
  <si>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</si>
  <si>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</si>
  <si>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</si>
  <si>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</si>
  <si>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</si>
  <si>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</si>
  <si>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</si>
  <si>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</si>
  <si>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</si>
  <si>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</si>
  <si>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</si>
  <si>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</si>
  <si>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</si>
  <si>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</si>
  <si>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</si>
  <si>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</si>
  <si>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</si>
  <si>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</si>
  <si>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</si>
  <si>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</si>
  <si>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</si>
  <si>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</si>
  <si>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</si>
  <si>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</si>
  <si>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</si>
  <si>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</si>
  <si>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</si>
  <si>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</si>
  <si>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</si>
  <si>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</si>
  <si>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</si>
  <si>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</si>
  <si>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</si>
  <si>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</si>
  <si>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</si>
  <si>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</si>
  <si>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</si>
  <si>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</si>
  <si>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</si>
  <si>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</si>
  <si>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</si>
  <si>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</si>
  <si>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</si>
  <si>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</si>
  <si>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</si>
  <si>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</si>
  <si>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</si>
  <si>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</si>
  <si>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</si>
  <si>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</si>
  <si>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</si>
  <si>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</si>
  <si>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</si>
  <si>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</si>
  <si>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</si>
  <si>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</si>
  <si>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</si>
  <si>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</si>
  <si>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</si>
  <si>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</si>
  <si>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</si>
  <si>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</si>
  <si>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</si>
  <si>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</si>
  <si>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</si>
  <si>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</si>
  <si>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</si>
  <si>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</si>
  <si>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</si>
  <si>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</si>
  <si>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</si>
  <si>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</si>
  <si>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</si>
  <si>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</si>
  <si>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</si>
  <si>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</si>
  <si>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</si>
  <si>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</si>
  <si>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</si>
  <si>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</si>
  <si>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</si>
  <si>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</si>
  <si>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</si>
  <si>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</si>
  <si>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</si>
  <si>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</si>
  <si>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</si>
  <si>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</si>
  <si>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</si>
  <si>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</si>
  <si>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</si>
  <si>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</si>
  <si>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</si>
  <si>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</si>
  <si>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</si>
  <si>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</si>
  <si>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</si>
  <si>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</si>
  <si>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</si>
  <si>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</si>
  <si>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</si>
  <si>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</si>
  <si>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</si>
  <si>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</si>
  <si>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</si>
  <si>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</si>
  <si>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</si>
  <si>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</si>
  <si>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</si>
  <si>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</si>
  <si>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</si>
  <si>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</si>
  <si>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</si>
  <si>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</si>
  <si>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</si>
  <si>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</si>
  <si>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</si>
  <si>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</si>
  <si>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</si>
  <si>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</si>
  <si>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</si>
  <si>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</si>
  <si>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</si>
  <si>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</si>
  <si>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</si>
  <si>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</si>
  <si>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</si>
  <si>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</si>
  <si>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</si>
  <si>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</si>
  <si>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</si>
  <si>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</si>
  <si>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</si>
  <si>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</si>
  <si>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</si>
  <si>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</si>
  <si>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</si>
  <si>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</si>
  <si>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</si>
  <si>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</si>
  <si>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</si>
  <si>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</si>
  <si>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</si>
  <si>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</si>
  <si>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</si>
  <si>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</si>
  <si>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</si>
  <si>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</si>
  <si>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</si>
  <si>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</si>
  <si>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</si>
  <si>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</si>
  <si>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</si>
  <si>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</si>
  <si>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</si>
  <si>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</si>
  <si>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</si>
  <si>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</si>
  <si>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</si>
  <si>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</si>
  <si>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</si>
  <si>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</si>
  <si>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</si>
  <si>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</si>
  <si>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</si>
  <si>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</si>
  <si>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</si>
  <si>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</si>
  <si>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</si>
  <si>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</si>
  <si>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</si>
  <si>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</si>
  <si>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</si>
  <si>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</si>
  <si>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</si>
  <si>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</si>
  <si>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</si>
  <si>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</si>
  <si>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</si>
  <si>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</si>
  <si>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</si>
  <si>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</si>
  <si>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</si>
  <si>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</si>
  <si>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</si>
  <si>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</si>
  <si>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</si>
  <si>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</si>
  <si>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</si>
  <si>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</si>
  <si>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</si>
  <si>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</si>
  <si>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</si>
  <si>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</si>
  <si>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</si>
  <si>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</si>
  <si>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</si>
  <si>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</si>
  <si>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</si>
  <si>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</si>
  <si>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</si>
  <si>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</si>
  <si>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</si>
  <si>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</si>
  <si>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</si>
  <si>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</si>
  <si>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</si>
  <si>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</si>
  <si>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</si>
  <si>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</si>
  <si>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</si>
  <si>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</si>
  <si>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</si>
  <si>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</si>
  <si>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</si>
  <si>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</si>
  <si>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</si>
  <si>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</si>
  <si>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</si>
  <si>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</si>
  <si>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</si>
  <si>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</si>
  <si>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</si>
  <si>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</si>
  <si>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</si>
  <si>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</si>
  <si>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</si>
  <si>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</si>
  <si>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</si>
  <si>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</si>
  <si>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</si>
  <si>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</si>
  <si>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</si>
  <si>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</si>
  <si>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</si>
  <si>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</si>
  <si>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</si>
  <si>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</si>
  <si>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</si>
  <si>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</si>
  <si>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</si>
  <si>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</si>
  <si>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</si>
  <si>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</si>
  <si>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</si>
  <si>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</si>
  <si>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</si>
  <si>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</si>
  <si>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</si>
  <si>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</si>
  <si>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</si>
  <si>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</si>
  <si>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</si>
  <si>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</si>
  <si>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</si>
  <si>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</si>
  <si>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</si>
  <si>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</si>
  <si>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</si>
  <si>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</si>
  <si>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</si>
  <si>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</si>
  <si>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</si>
  <si>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</si>
  <si>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</si>
  <si>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</si>
  <si>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</si>
  <si>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</si>
  <si>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</si>
  <si>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</si>
  <si>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</si>
  <si>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</si>
  <si>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</si>
  <si>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</si>
  <si>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</si>
  <si>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</si>
  <si>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</si>
  <si>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</si>
  <si>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</si>
  <si>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</si>
  <si>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</si>
  <si>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</si>
  <si>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</si>
  <si>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</si>
  <si>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</si>
  <si>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</si>
  <si>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</si>
  <si>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</si>
  <si>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</si>
  <si>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</si>
  <si>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</si>
  <si>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</si>
  <si>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</si>
  <si>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</si>
  <si>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</si>
  <si>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</si>
  <si>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</si>
  <si>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</si>
  <si>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</si>
  <si>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</si>
  <si>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</si>
  <si>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</si>
  <si>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</si>
  <si>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</si>
  <si>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</si>
  <si>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</si>
  <si>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</si>
  <si>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</si>
  <si>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</si>
  <si>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</si>
  <si>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</si>
  <si>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</si>
  <si>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</si>
  <si>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</si>
  <si>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</si>
  <si>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</si>
  <si>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</si>
  <si>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</si>
  <si>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</si>
  <si>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</si>
  <si>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</si>
  <si>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</si>
  <si>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</si>
  <si>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</si>
  <si>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</si>
  <si>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</si>
  <si>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</si>
  <si>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</si>
  <si>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</si>
  <si>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</si>
  <si>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</si>
  <si>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</si>
  <si>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</si>
  <si>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</si>
  <si>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</si>
  <si>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</si>
  <si>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</si>
  <si>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</si>
  <si>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</si>
  <si>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</si>
  <si>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</si>
  <si>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</si>
  <si>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</si>
  <si>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</si>
  <si>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</si>
  <si>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</si>
  <si>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</si>
  <si>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</si>
  <si>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</si>
  <si>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</si>
  <si>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</si>
  <si>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</si>
  <si>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</si>
  <si>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</si>
  <si>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</si>
  <si>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</si>
  <si>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</si>
  <si>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</si>
  <si>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</si>
  <si>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</si>
  <si>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</si>
  <si>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</si>
  <si>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</si>
  <si>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</si>
  <si>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</si>
  <si>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</si>
  <si>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</si>
  <si>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</si>
  <si>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</si>
  <si>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</si>
  <si>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</si>
  <si>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</si>
  <si>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</si>
  <si>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</si>
  <si>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Paarden&amp;pony's 200 - 600 kg</t>
  </si>
  <si>
    <t>Paarden&amp;pony's &lt; 200 kg</t>
  </si>
  <si>
    <t>referentietaak LNE (2017); Jaarverslag De Lijn (2015)</t>
  </si>
  <si>
    <t>op basis van VEA (maart 2018) en Inventaris Hernieuwbare Energiebronnen (juni 2018)</t>
  </si>
  <si>
    <t>VEA (januari 2017)</t>
  </si>
  <si>
    <t>VEA (juni 2018)</t>
  </si>
  <si>
    <t>vzw Jessa Ziekenhuis</t>
  </si>
  <si>
    <t>Salvatorstraat 20, 3500 Hasselt</t>
  </si>
  <si>
    <t>WKK-0097 vzw Jessa Ziekenhuis (voorheen CAZ Midden-Limburg)</t>
  </si>
  <si>
    <t>interne verbrandingsmotor</t>
  </si>
  <si>
    <t>WKK interne verbrandinsgmotor (gas)</t>
  </si>
  <si>
    <t>Inter-Energa</t>
  </si>
  <si>
    <t>Roebben-Hendrickx</t>
  </si>
  <si>
    <t>Rapertingenstraat 5, 3500 Hasselt</t>
  </si>
  <si>
    <t>WKK-0093 Roebben-hendrickx</t>
  </si>
  <si>
    <t>Limburgs Galvano Technisch Bedrijf nv</t>
  </si>
  <si>
    <t>Albertkanaalstraat 139 , 3511 Kuringen</t>
  </si>
  <si>
    <t>WKK-0345 Limburgs Galvano Technisch Bedrijf</t>
  </si>
  <si>
    <t>Salvatorrusthuis VZW</t>
  </si>
  <si>
    <t>Ekkelgaarden 17 , 3500 Hasselt</t>
  </si>
  <si>
    <t>WKK-0387 Salvatorrusthuis</t>
  </si>
  <si>
    <t>Cordium cvba</t>
  </si>
  <si>
    <t>Gouverneur Roppesingel 133 , 3500 Hasselt</t>
  </si>
  <si>
    <t>WKK-0638 Cordium</t>
  </si>
  <si>
    <t>Broeker Winningstraat 1-0.03 , 3511 Kuringen</t>
  </si>
  <si>
    <t>Aquafin NV</t>
  </si>
  <si>
    <t>Dijkstraat 8 , 2630 Aartselaar</t>
  </si>
  <si>
    <t>BGS-0002 RWZI Hasselt</t>
  </si>
  <si>
    <t>biogas - RWZI</t>
  </si>
  <si>
    <t>niet WKK interne verbrandingsmotor (gas)</t>
  </si>
  <si>
    <t>Rode-Rokstraat 200 , 3511 Hasselt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</si>
</sst>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545960.07385096315</c:v>
                </c:pt>
                <c:pt idx="1">
                  <c:v>471602.99943763606</c:v>
                </c:pt>
                <c:pt idx="2">
                  <c:v>5279.5950000000003</c:v>
                </c:pt>
                <c:pt idx="3">
                  <c:v>10499.175669773729</c:v>
                </c:pt>
                <c:pt idx="4">
                  <c:v>246776.23717618926</c:v>
                </c:pt>
                <c:pt idx="5">
                  <c:v>624336.24847550911</c:v>
                </c:pt>
                <c:pt idx="6">
                  <c:v>17724.075401223439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49920"/>
        <c:axId val="131651456"/>
      </c:barChart>
      <c:catAx>
        <c:axId val="131649920"/>
        <c:scaling>
          <c:orientation val="minMax"/>
        </c:scaling>
        <c:axPos val="b"/>
        <c:numFmt formatCode="General" sourceLinked="0"/>
        <c:tickLblPos val="nextTo"/>
        <c:crossAx val="131651456"/>
        <c:crosses val="autoZero"/>
        <c:auto val="1"/>
        <c:lblAlgn val="ctr"/>
        <c:lblOffset val="100"/>
      </c:catAx>
      <c:valAx>
        <c:axId val="131651456"/>
        <c:scaling>
          <c:orientation val="minMax"/>
        </c:scaling>
        <c:axPos val="l"/>
        <c:majorGridlines/>
        <c:numFmt formatCode="#,##0" sourceLinked="1"/>
        <c:tickLblPos val="nextTo"/>
        <c:crossAx val="1316499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545960.07385096315</c:v>
                </c:pt>
                <c:pt idx="1">
                  <c:v>471602.99943763606</c:v>
                </c:pt>
                <c:pt idx="2">
                  <c:v>5279.5950000000003</c:v>
                </c:pt>
                <c:pt idx="3">
                  <c:v>10499.175669773729</c:v>
                </c:pt>
                <c:pt idx="4">
                  <c:v>246776.23717618926</c:v>
                </c:pt>
                <c:pt idx="5">
                  <c:v>624336.24847550911</c:v>
                </c:pt>
                <c:pt idx="6">
                  <c:v>17724.075401223439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107362.94547943998</c:v>
                </c:pt>
                <c:pt idx="2">
                  <c:v>95954.997724895191</c:v>
                </c:pt>
                <c:pt idx="3">
                  <c:v>1048.9940284170955</c:v>
                </c:pt>
                <c:pt idx="4">
                  <c:v>2588.9641755976054</c:v>
                </c:pt>
                <c:pt idx="5">
                  <c:v>47908.122787768261</c:v>
                </c:pt>
                <c:pt idx="6">
                  <c:v>159673.62607398728</c:v>
                </c:pt>
                <c:pt idx="7">
                  <c:v>4589.9579064404888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79808"/>
        <c:axId val="178639616"/>
      </c:barChart>
      <c:catAx>
        <c:axId val="149879808"/>
        <c:scaling>
          <c:orientation val="minMax"/>
        </c:scaling>
        <c:axPos val="b"/>
        <c:numFmt formatCode="General" sourceLinked="0"/>
        <c:tickLblPos val="nextTo"/>
        <c:crossAx val="178639616"/>
        <c:crosses val="autoZero"/>
        <c:auto val="1"/>
        <c:lblAlgn val="ctr"/>
        <c:lblOffset val="100"/>
      </c:catAx>
      <c:valAx>
        <c:axId val="178639616"/>
        <c:scaling>
          <c:orientation val="minMax"/>
        </c:scaling>
        <c:axPos val="l"/>
        <c:majorGridlines/>
        <c:numFmt formatCode="#,##0" sourceLinked="1"/>
        <c:tickLblPos val="nextTo"/>
        <c:crossAx val="1498798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107362.94547943998</c:v>
                </c:pt>
                <c:pt idx="2">
                  <c:v>95954.997724895191</c:v>
                </c:pt>
                <c:pt idx="3">
                  <c:v>1048.9940284170955</c:v>
                </c:pt>
                <c:pt idx="4">
                  <c:v>2588.9641755976054</c:v>
                </c:pt>
                <c:pt idx="5">
                  <c:v>47908.122787768261</c:v>
                </c:pt>
                <c:pt idx="6">
                  <c:v>159673.62607398728</c:v>
                </c:pt>
                <c:pt idx="7">
                  <c:v>4589.9579064404888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655</v>
      </c>
      <c r="B2" s="419"/>
      <c r="C2" s="420"/>
    </row>
    <row r="3" spans="1:7" s="11" customFormat="1" ht="15" customHeight="1">
      <c r="A3" s="93"/>
      <c r="B3" s="74"/>
      <c r="C3" s="94"/>
    </row>
    <row r="4" spans="1:7" s="11" customFormat="1" ht="15.75" customHeight="1" thickBot="1">
      <c r="A4" s="105" t="s">
        <v>880</v>
      </c>
      <c r="B4" s="106"/>
      <c r="C4" s="107"/>
    </row>
    <row r="5" spans="1:7" s="413" customFormat="1" ht="15.75" customHeight="1">
      <c r="A5" s="410" t="s">
        <v>0</v>
      </c>
      <c r="B5" s="411"/>
      <c r="C5" s="412"/>
    </row>
    <row r="6" spans="1:7" s="413" customFormat="1" ht="15" customHeight="1">
      <c r="A6" s="414" t="str">
        <f>txtNIS</f>
        <v>71022</v>
      </c>
      <c r="B6" s="415"/>
      <c r="C6" s="416"/>
    </row>
    <row r="7" spans="1:7" s="413" customFormat="1" ht="15.75" customHeight="1">
      <c r="A7" s="417" t="str">
        <f>txtMunicipality</f>
        <v>HASSELT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690</v>
      </c>
      <c r="B10" s="1075"/>
      <c r="C10" s="1076"/>
    </row>
    <row r="11" spans="1:7" s="407" customFormat="1" ht="15.75" thickBot="1">
      <c r="A11" s="430" t="s">
        <v>359</v>
      </c>
      <c r="B11" s="433"/>
      <c r="C11" s="434"/>
      <c r="G11" s="408"/>
    </row>
    <row r="12" spans="1:7">
      <c r="A12" s="44"/>
      <c r="B12" s="43"/>
      <c r="C12" s="96"/>
    </row>
    <row r="13" spans="1:7" s="407" customFormat="1">
      <c r="A13" s="778" t="s">
        <v>621</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689</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578</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581</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608</v>
      </c>
      <c r="B17" s="524">
        <f ca="1">'EF ele_warmte'!B12</f>
        <v>0.1986883517423392</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581</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599</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608</v>
      </c>
      <c r="B29" s="525">
        <f ca="1">'EF ele_warmte'!B12</f>
        <v>0.1986883517423392</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569</v>
      </c>
      <c r="B10" s="527"/>
      <c r="C10" s="141" t="s">
        <v>182</v>
      </c>
      <c r="D10" s="144" t="s">
        <v>391</v>
      </c>
      <c r="I10" s="1199"/>
      <c r="K10" s="58"/>
    </row>
    <row r="11" spans="1:11" s="43" customFormat="1">
      <c r="A11" s="44" t="s">
        <v>570</v>
      </c>
      <c r="B11" s="47"/>
      <c r="D11" s="142" t="s">
        <v>392</v>
      </c>
      <c r="I11" s="1199"/>
      <c r="K11" s="58"/>
    </row>
    <row r="12" spans="1:11" s="43" customFormat="1">
      <c r="A12" s="44" t="s">
        <v>571</v>
      </c>
      <c r="B12" s="47"/>
      <c r="D12" s="142" t="s">
        <v>392</v>
      </c>
      <c r="I12" s="1199"/>
      <c r="K12" s="58"/>
    </row>
    <row r="13" spans="1:11" s="43" customFormat="1">
      <c r="A13" s="44"/>
      <c r="B13" s="477"/>
      <c r="D13" s="96"/>
      <c r="I13" s="1199"/>
    </row>
    <row r="14" spans="1:11" s="43" customFormat="1">
      <c r="A14" s="304" t="s">
        <v>568</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579</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569</v>
      </c>
      <c r="B31" s="527"/>
      <c r="C31" s="141" t="s">
        <v>182</v>
      </c>
      <c r="D31" s="144" t="s">
        <v>391</v>
      </c>
    </row>
    <row r="32" spans="1:11">
      <c r="A32" s="467" t="s">
        <v>570</v>
      </c>
      <c r="B32" s="47"/>
      <c r="C32" s="48"/>
      <c r="D32" s="142" t="s">
        <v>392</v>
      </c>
    </row>
    <row r="33" spans="1:11">
      <c r="A33" s="44"/>
      <c r="B33" s="48"/>
      <c r="C33" s="48"/>
      <c r="D33" s="142"/>
    </row>
    <row r="34" spans="1:11" s="43" customFormat="1">
      <c r="A34" s="304" t="s">
        <v>568</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572</v>
      </c>
      <c r="B50" s="47"/>
      <c r="C50" s="32"/>
      <c r="D50" s="143" t="s">
        <v>393</v>
      </c>
    </row>
    <row r="51" spans="1:4">
      <c r="A51" s="44" t="s">
        <v>573</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574</v>
      </c>
      <c r="B57" s="47"/>
      <c r="C57" s="32"/>
      <c r="D57" s="142" t="s">
        <v>155</v>
      </c>
    </row>
    <row r="58" spans="1:4">
      <c r="A58" s="44" t="s">
        <v>575</v>
      </c>
      <c r="B58" s="47"/>
      <c r="C58" s="32"/>
      <c r="D58" s="142" t="s">
        <v>156</v>
      </c>
    </row>
    <row r="59" spans="1:4">
      <c r="A59" s="44" t="s">
        <v>576</v>
      </c>
      <c r="B59" s="47"/>
      <c r="C59" s="48"/>
      <c r="D59" s="142" t="s">
        <v>389</v>
      </c>
    </row>
    <row r="60" spans="1:4">
      <c r="A60" s="44" t="s">
        <v>577</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594</v>
      </c>
      <c r="B1" s="659"/>
      <c r="C1" s="659"/>
      <c r="D1" s="659"/>
      <c r="E1" s="660"/>
    </row>
    <row r="2" spans="1:5">
      <c r="A2" s="671" t="s">
        <v>394</v>
      </c>
      <c r="B2" s="676" t="s">
        <v>517</v>
      </c>
      <c r="C2" s="672"/>
      <c r="D2" s="672"/>
      <c r="E2" s="673"/>
    </row>
    <row r="3" spans="1:5">
      <c r="A3" s="674"/>
      <c r="B3" s="675"/>
      <c r="C3" s="663"/>
      <c r="D3" s="663"/>
      <c r="E3" s="664"/>
    </row>
    <row r="4" spans="1:5" s="334" customFormat="1" ht="45">
      <c r="A4" s="662" t="s">
        <v>598</v>
      </c>
      <c r="B4" s="670" t="s">
        <v>587</v>
      </c>
      <c r="C4" s="691" t="s">
        <v>609</v>
      </c>
      <c r="D4" s="692" t="s">
        <v>610</v>
      </c>
      <c r="E4" s="693" t="s">
        <v>611</v>
      </c>
    </row>
    <row r="5" spans="1:5">
      <c r="A5" s="665" t="s">
        <v>588</v>
      </c>
      <c r="B5" s="657" t="s">
        <v>589</v>
      </c>
      <c r="C5" s="688">
        <v>3.678273E-2</v>
      </c>
      <c r="D5" s="689">
        <v>0.27778000000000003</v>
      </c>
      <c r="E5" s="681">
        <f>C5*D5</f>
        <v>1.0217506739400001E-2</v>
      </c>
    </row>
    <row r="6" spans="1:5">
      <c r="A6" s="665" t="s">
        <v>588</v>
      </c>
      <c r="B6" s="657" t="s">
        <v>590</v>
      </c>
      <c r="C6" s="688">
        <v>4.2278999999999997E-2</v>
      </c>
      <c r="D6" s="689">
        <v>0.27778000000000003</v>
      </c>
      <c r="E6" s="681">
        <f t="shared" ref="E6:E21" si="0">C6*D6</f>
        <v>1.174426062E-2</v>
      </c>
    </row>
    <row r="7" spans="1:5">
      <c r="A7" s="665" t="s">
        <v>588</v>
      </c>
      <c r="B7" s="657" t="s">
        <v>591</v>
      </c>
      <c r="C7" s="688">
        <v>42.279000000000003</v>
      </c>
      <c r="D7" s="689">
        <v>0.27778000000000003</v>
      </c>
      <c r="E7" s="681">
        <f t="shared" si="0"/>
        <v>11.744260620000002</v>
      </c>
    </row>
    <row r="8" spans="1:5">
      <c r="A8" s="665" t="s">
        <v>592</v>
      </c>
      <c r="B8" s="657" t="s">
        <v>589</v>
      </c>
      <c r="C8" s="688">
        <v>3.8573799999999998E-2</v>
      </c>
      <c r="D8" s="689">
        <v>0.27778000000000003</v>
      </c>
      <c r="E8" s="681">
        <f t="shared" si="0"/>
        <v>1.0715030164E-2</v>
      </c>
    </row>
    <row r="9" spans="1:5">
      <c r="A9" s="665" t="s">
        <v>592</v>
      </c>
      <c r="B9" s="657" t="s">
        <v>590</v>
      </c>
      <c r="C9" s="688">
        <v>4.0604000000000001E-2</v>
      </c>
      <c r="D9" s="689">
        <v>0.27778000000000003</v>
      </c>
      <c r="E9" s="681">
        <f t="shared" si="0"/>
        <v>1.1278979120000001E-2</v>
      </c>
    </row>
    <row r="10" spans="1:5">
      <c r="A10" s="665" t="s">
        <v>592</v>
      </c>
      <c r="B10" s="657" t="s">
        <v>591</v>
      </c>
      <c r="C10" s="688">
        <v>40.603999999999999</v>
      </c>
      <c r="D10" s="689">
        <v>0.27778000000000003</v>
      </c>
      <c r="E10" s="681">
        <f t="shared" si="0"/>
        <v>11.278979120000001</v>
      </c>
    </row>
    <row r="11" spans="1:5">
      <c r="A11" s="665" t="s">
        <v>612</v>
      </c>
      <c r="B11" s="657" t="s">
        <v>589</v>
      </c>
      <c r="C11" s="688">
        <v>2.3511000000000001E-2</v>
      </c>
      <c r="D11" s="689">
        <v>0.27778000000000003</v>
      </c>
      <c r="E11" s="681">
        <f t="shared" si="0"/>
        <v>6.5308855800000004E-3</v>
      </c>
    </row>
    <row r="12" spans="1:5">
      <c r="A12" s="665" t="s">
        <v>612</v>
      </c>
      <c r="B12" s="657" t="s">
        <v>590</v>
      </c>
      <c r="C12" s="688">
        <v>4.6100000000000002E-2</v>
      </c>
      <c r="D12" s="689">
        <v>0.27778000000000003</v>
      </c>
      <c r="E12" s="681">
        <f t="shared" si="0"/>
        <v>1.2805658000000001E-2</v>
      </c>
    </row>
    <row r="13" spans="1:5">
      <c r="A13" s="665" t="s">
        <v>612</v>
      </c>
      <c r="B13" s="657" t="s">
        <v>591</v>
      </c>
      <c r="C13" s="688">
        <v>46.1</v>
      </c>
      <c r="D13" s="689">
        <v>0.27778000000000003</v>
      </c>
      <c r="E13" s="681">
        <f t="shared" si="0"/>
        <v>12.805658000000001</v>
      </c>
    </row>
    <row r="14" spans="1:5">
      <c r="A14" s="665" t="s">
        <v>613</v>
      </c>
      <c r="B14" s="657" t="s">
        <v>589</v>
      </c>
      <c r="C14" s="688">
        <v>2.6525139999999999E-2</v>
      </c>
      <c r="D14" s="689">
        <v>0.27778000000000003</v>
      </c>
      <c r="E14" s="681">
        <f t="shared" si="0"/>
        <v>7.3681533892000009E-3</v>
      </c>
    </row>
    <row r="15" spans="1:5">
      <c r="A15" s="665" t="s">
        <v>613</v>
      </c>
      <c r="B15" s="657" t="s">
        <v>590</v>
      </c>
      <c r="C15" s="688">
        <v>4.5733000000000003E-2</v>
      </c>
      <c r="D15" s="689">
        <v>0.27778000000000003</v>
      </c>
      <c r="E15" s="681">
        <f t="shared" si="0"/>
        <v>1.2703712740000001E-2</v>
      </c>
    </row>
    <row r="16" spans="1:5">
      <c r="A16" s="665" t="s">
        <v>613</v>
      </c>
      <c r="B16" s="657" t="s">
        <v>591</v>
      </c>
      <c r="C16" s="688">
        <v>45.732999999999997</v>
      </c>
      <c r="D16" s="689">
        <v>0.27778000000000003</v>
      </c>
      <c r="E16" s="681">
        <f t="shared" si="0"/>
        <v>12.70371274</v>
      </c>
    </row>
    <row r="17" spans="1:10">
      <c r="A17" s="665" t="s">
        <v>596</v>
      </c>
      <c r="B17" s="657" t="s">
        <v>593</v>
      </c>
      <c r="C17" s="688">
        <v>3.2923000000000001E-2</v>
      </c>
      <c r="D17" s="689">
        <f>0.27778</f>
        <v>0.27778000000000003</v>
      </c>
      <c r="E17" s="681">
        <f t="shared" si="0"/>
        <v>9.1453509400000015E-3</v>
      </c>
    </row>
    <row r="18" spans="1:10">
      <c r="A18" s="665" t="s">
        <v>597</v>
      </c>
      <c r="B18" s="657" t="s">
        <v>593</v>
      </c>
      <c r="C18" s="688">
        <v>3.8852400000000002E-2</v>
      </c>
      <c r="D18" s="689">
        <f>0.27778</f>
        <v>0.27778000000000003</v>
      </c>
      <c r="E18" s="681">
        <f t="shared" si="0"/>
        <v>1.0792419672000002E-2</v>
      </c>
    </row>
    <row r="19" spans="1:10">
      <c r="A19" s="665" t="s">
        <v>600</v>
      </c>
      <c r="B19" s="657" t="s">
        <v>589</v>
      </c>
      <c r="C19" s="688">
        <v>2.4812460000000001E-2</v>
      </c>
      <c r="D19" s="689">
        <v>0.27778000000000003</v>
      </c>
      <c r="E19" s="681">
        <f t="shared" si="0"/>
        <v>6.8924051388000009E-3</v>
      </c>
    </row>
    <row r="20" spans="1:10">
      <c r="A20" s="665" t="s">
        <v>600</v>
      </c>
      <c r="B20" s="657" t="s">
        <v>590</v>
      </c>
      <c r="C20" s="688">
        <v>4.5948999999999997E-2</v>
      </c>
      <c r="D20" s="689">
        <v>0.27778000000000003</v>
      </c>
      <c r="E20" s="681">
        <f t="shared" si="0"/>
        <v>1.276371322E-2</v>
      </c>
    </row>
    <row r="21" spans="1:10">
      <c r="A21" s="665" t="s">
        <v>600</v>
      </c>
      <c r="B21" s="657" t="s">
        <v>591</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595</v>
      </c>
      <c r="B24" s="659"/>
      <c r="C24" s="659"/>
      <c r="D24" s="659"/>
      <c r="E24" s="660"/>
    </row>
    <row r="25" spans="1:10">
      <c r="A25" s="685" t="s">
        <v>394</v>
      </c>
      <c r="B25" s="663" t="s">
        <v>656</v>
      </c>
      <c r="C25" s="663"/>
      <c r="D25" s="663"/>
      <c r="E25" s="664"/>
    </row>
    <row r="26" spans="1:10">
      <c r="A26" s="44"/>
      <c r="B26" s="43"/>
      <c r="C26" s="43"/>
      <c r="D26" s="43"/>
      <c r="E26" s="96"/>
    </row>
    <row r="27" spans="1:10" s="334" customFormat="1">
      <c r="A27" s="662" t="s">
        <v>598</v>
      </c>
      <c r="B27" s="670" t="s">
        <v>587</v>
      </c>
      <c r="C27" s="678"/>
      <c r="D27" s="677"/>
      <c r="E27" s="693" t="s">
        <v>602</v>
      </c>
    </row>
    <row r="28" spans="1:10">
      <c r="A28" s="665" t="s">
        <v>202</v>
      </c>
      <c r="B28" s="657" t="s">
        <v>589</v>
      </c>
      <c r="C28" s="679"/>
      <c r="D28" s="680"/>
      <c r="E28" s="687">
        <f>E29*0.853</f>
        <v>1.0116343055555555E-2</v>
      </c>
      <c r="G28" s="661"/>
      <c r="H28" s="797"/>
      <c r="I28" s="797"/>
      <c r="J28" s="797"/>
    </row>
    <row r="29" spans="1:10">
      <c r="A29" s="665" t="s">
        <v>202</v>
      </c>
      <c r="B29" s="657" t="s">
        <v>590</v>
      </c>
      <c r="C29" s="679"/>
      <c r="D29" s="680"/>
      <c r="E29" s="687">
        <f>0.042695/3.6</f>
        <v>1.1859722222222221E-2</v>
      </c>
      <c r="F29" s="912"/>
      <c r="G29" s="661"/>
      <c r="H29" s="797"/>
      <c r="I29" s="797"/>
      <c r="J29" s="797"/>
    </row>
    <row r="30" spans="1:10">
      <c r="A30" s="665" t="s">
        <v>120</v>
      </c>
      <c r="B30" s="657" t="s">
        <v>589</v>
      </c>
      <c r="C30" s="679"/>
      <c r="D30" s="680"/>
      <c r="E30" s="687">
        <f>E31*0.755</f>
        <v>9.1803805555555566E-3</v>
      </c>
      <c r="H30" s="797"/>
      <c r="I30" s="797"/>
      <c r="J30" s="797"/>
    </row>
    <row r="31" spans="1:10">
      <c r="A31" s="665" t="s">
        <v>120</v>
      </c>
      <c r="B31" s="657" t="s">
        <v>590</v>
      </c>
      <c r="C31" s="679"/>
      <c r="D31" s="680"/>
      <c r="E31" s="687">
        <f>0.043774/3.6</f>
        <v>1.2159444444444445E-2</v>
      </c>
      <c r="H31" s="797"/>
      <c r="I31" s="797"/>
      <c r="J31" s="797"/>
    </row>
    <row r="32" spans="1:10">
      <c r="A32" s="665" t="s">
        <v>600</v>
      </c>
      <c r="B32" s="657" t="s">
        <v>589</v>
      </c>
      <c r="C32" s="679"/>
      <c r="D32" s="680"/>
      <c r="E32" s="687">
        <f>E33*0.55</f>
        <v>7.1139444444444453E-3</v>
      </c>
      <c r="H32" s="797"/>
    </row>
    <row r="33" spans="1:8">
      <c r="A33" s="665" t="s">
        <v>600</v>
      </c>
      <c r="B33" s="657" t="s">
        <v>590</v>
      </c>
      <c r="C33" s="679"/>
      <c r="D33" s="680"/>
      <c r="E33" s="687">
        <f>0.046564/3.6</f>
        <v>1.2934444444444445E-2</v>
      </c>
      <c r="H33" s="797"/>
    </row>
    <row r="34" spans="1:8">
      <c r="A34" s="665" t="s">
        <v>601</v>
      </c>
      <c r="B34" s="657" t="s">
        <v>589</v>
      </c>
      <c r="C34" s="679"/>
      <c r="D34" s="680"/>
      <c r="E34" s="687">
        <f>E35*0.0007</f>
        <v>9.3333333333333326E-6</v>
      </c>
      <c r="H34" s="797"/>
    </row>
    <row r="35" spans="1:8">
      <c r="A35" s="665" t="s">
        <v>601</v>
      </c>
      <c r="B35" s="657" t="s">
        <v>590</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614</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725</v>
      </c>
      <c r="C21" s="131" t="s">
        <v>582</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71022</v>
      </c>
      <c r="B1" s="332"/>
      <c r="C1" s="332"/>
      <c r="D1" s="332"/>
      <c r="E1" s="332"/>
      <c r="F1" s="333"/>
    </row>
    <row r="3" spans="1:6" ht="19.5">
      <c r="A3" s="335" t="s">
        <v>0</v>
      </c>
    </row>
    <row r="4" spans="1:6" ht="22.5">
      <c r="A4" s="1292" t="s">
        <v>551</v>
      </c>
    </row>
    <row r="5" spans="1:6" ht="22.5">
      <c r="A5" s="1292" t="s">
        <v>552</v>
      </c>
    </row>
    <row r="6" spans="1:6" ht="15.75" thickBot="1"/>
    <row r="7" spans="1:6" ht="20.25" thickBot="1">
      <c r="A7" s="336" t="s">
        <v>1</v>
      </c>
      <c r="B7" s="337" t="s">
        <v>394</v>
      </c>
      <c r="C7" s="337" t="s">
        <v>667</v>
      </c>
      <c r="D7" s="337"/>
      <c r="E7" s="337"/>
      <c r="F7" s="338"/>
    </row>
    <row r="8" spans="1:6" ht="16.5" thickTop="1" thickBot="1">
      <c r="A8" s="339" t="s">
        <v>4</v>
      </c>
      <c r="B8" s="340">
        <v>2015</v>
      </c>
      <c r="C8" s="340">
        <v>2020</v>
      </c>
      <c r="D8" s="332"/>
      <c r="E8" s="332"/>
      <c r="F8" s="333"/>
    </row>
    <row r="9" spans="1:6">
      <c r="A9" s="341" t="s">
        <v>2</v>
      </c>
      <c r="B9" s="342">
        <v>34715</v>
      </c>
      <c r="C9" s="342">
        <v>36094</v>
      </c>
      <c r="D9" s="342"/>
      <c r="E9" s="342"/>
      <c r="F9" s="342"/>
    </row>
    <row r="10" spans="1:6">
      <c r="A10" s="343"/>
    </row>
    <row r="11" spans="1:6" ht="15.75" thickBot="1">
      <c r="A11" s="343"/>
    </row>
    <row r="12" spans="1:6" ht="20.25" thickBot="1">
      <c r="A12" s="336" t="s">
        <v>3</v>
      </c>
      <c r="B12" s="337" t="s">
        <v>394</v>
      </c>
      <c r="C12" s="337" t="s">
        <v>687</v>
      </c>
      <c r="D12" s="337"/>
      <c r="E12" s="337"/>
      <c r="F12" s="344"/>
    </row>
    <row r="13" spans="1:6" ht="16.5" thickTop="1" thickBot="1">
      <c r="A13" s="345" t="s">
        <v>4</v>
      </c>
      <c r="B13" s="346" t="s">
        <v>5</v>
      </c>
      <c r="C13" s="346"/>
      <c r="D13" s="346"/>
      <c r="E13" s="346"/>
      <c r="F13" s="347"/>
    </row>
    <row r="14" spans="1:6">
      <c r="A14" s="348" t="s">
        <v>688</v>
      </c>
      <c r="B14" s="334">
        <v>3114.12</v>
      </c>
    </row>
    <row r="15" spans="1:6">
      <c r="A15" s="348" t="s">
        <v>184</v>
      </c>
      <c r="B15" s="334">
        <v>3875</v>
      </c>
    </row>
    <row r="16" spans="1:6">
      <c r="A16" s="348" t="s">
        <v>6</v>
      </c>
      <c r="B16" s="334">
        <v>551</v>
      </c>
    </row>
    <row r="17" spans="1:6">
      <c r="A17" s="348" t="s">
        <v>7</v>
      </c>
      <c r="B17" s="334">
        <v>388</v>
      </c>
    </row>
    <row r="18" spans="1:6">
      <c r="A18" s="348" t="s">
        <v>8</v>
      </c>
      <c r="B18" s="334">
        <v>611</v>
      </c>
    </row>
    <row r="19" spans="1:6">
      <c r="A19" s="348" t="s">
        <v>9</v>
      </c>
      <c r="B19" s="334">
        <v>561</v>
      </c>
    </row>
    <row r="20" spans="1:6">
      <c r="A20" s="348" t="s">
        <v>10</v>
      </c>
      <c r="B20" s="334">
        <v>558</v>
      </c>
    </row>
    <row r="21" spans="1:6">
      <c r="A21" s="348" t="s">
        <v>11</v>
      </c>
      <c r="B21" s="334">
        <v>1091</v>
      </c>
    </row>
    <row r="22" spans="1:6">
      <c r="A22" s="348" t="s">
        <v>12</v>
      </c>
      <c r="B22" s="334">
        <v>4125</v>
      </c>
    </row>
    <row r="23" spans="1:6">
      <c r="A23" s="348" t="s">
        <v>13</v>
      </c>
      <c r="B23" s="334">
        <v>53</v>
      </c>
    </row>
    <row r="24" spans="1:6">
      <c r="A24" s="348" t="s">
        <v>14</v>
      </c>
      <c r="B24" s="334">
        <v>3</v>
      </c>
    </row>
    <row r="25" spans="1:6">
      <c r="A25" s="348" t="s">
        <v>15</v>
      </c>
      <c r="B25" s="334">
        <v>329</v>
      </c>
    </row>
    <row r="26" spans="1:6">
      <c r="A26" s="348" t="s">
        <v>16</v>
      </c>
      <c r="B26" s="334">
        <v>798</v>
      </c>
    </row>
    <row r="27" spans="1:6">
      <c r="A27" s="348" t="s">
        <v>17</v>
      </c>
      <c r="B27" s="334">
        <v>299</v>
      </c>
    </row>
    <row r="28" spans="1:6" s="356" customFormat="1">
      <c r="A28" s="355" t="s">
        <v>18</v>
      </c>
      <c r="B28" s="355">
        <v>50083</v>
      </c>
    </row>
    <row r="29" spans="1:6">
      <c r="A29" s="355" t="s">
        <v>884</v>
      </c>
      <c r="B29" s="355">
        <v>488</v>
      </c>
      <c r="C29" s="356"/>
      <c r="D29" s="356"/>
      <c r="E29" s="356"/>
      <c r="F29" s="356"/>
    </row>
    <row r="30" spans="1:6">
      <c r="A30" s="355" t="s">
        <v>885</v>
      </c>
      <c r="B30" s="341">
        <v>133</v>
      </c>
      <c r="C30" s="342"/>
      <c r="D30" s="342"/>
      <c r="E30" s="342"/>
      <c r="F30" s="342"/>
    </row>
    <row r="31" spans="1:6" ht="15.75" thickBot="1">
      <c r="A31" s="343"/>
    </row>
    <row r="32" spans="1:6" ht="20.25" thickBot="1">
      <c r="A32" s="336" t="s">
        <v>19</v>
      </c>
      <c r="B32" s="337" t="s">
        <v>394</v>
      </c>
      <c r="C32" s="337" t="s">
        <v>748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47</v>
      </c>
      <c r="F36" s="334">
        <v>3432645</v>
      </c>
    </row>
    <row r="37" spans="1:6">
      <c r="A37" s="348" t="s">
        <v>25</v>
      </c>
      <c r="B37" s="348" t="s">
        <v>28</v>
      </c>
      <c r="C37" s="334">
        <v>0</v>
      </c>
      <c r="D37" s="334">
        <v>0</v>
      </c>
      <c r="E37" s="334">
        <v>3</v>
      </c>
      <c r="F37" s="334">
        <v>68925</v>
      </c>
    </row>
    <row r="38" spans="1:6">
      <c r="A38" s="348" t="s">
        <v>25</v>
      </c>
      <c r="B38" s="348" t="s">
        <v>29</v>
      </c>
      <c r="C38" s="334">
        <v>5</v>
      </c>
      <c r="D38" s="334">
        <v>3414283</v>
      </c>
      <c r="E38" s="334">
        <v>0</v>
      </c>
      <c r="F38" s="334">
        <v>512426</v>
      </c>
    </row>
    <row r="39" spans="1:6">
      <c r="A39" s="348" t="s">
        <v>30</v>
      </c>
      <c r="B39" s="348" t="s">
        <v>31</v>
      </c>
      <c r="C39" s="334">
        <v>23045</v>
      </c>
      <c r="D39" s="334">
        <v>323717253</v>
      </c>
      <c r="E39" s="334">
        <v>35019</v>
      </c>
      <c r="F39" s="334">
        <v>113374897</v>
      </c>
    </row>
    <row r="40" spans="1:6">
      <c r="A40" s="348" t="s">
        <v>30</v>
      </c>
      <c r="B40" s="348" t="s">
        <v>29</v>
      </c>
      <c r="C40" s="334">
        <v>0</v>
      </c>
      <c r="D40" s="334">
        <v>0</v>
      </c>
      <c r="E40" s="334">
        <v>0</v>
      </c>
      <c r="F40" s="334">
        <v>0</v>
      </c>
    </row>
    <row r="41" spans="1:6">
      <c r="A41" s="348" t="s">
        <v>32</v>
      </c>
      <c r="B41" s="348" t="s">
        <v>33</v>
      </c>
      <c r="C41" s="334">
        <v>331</v>
      </c>
      <c r="D41" s="334">
        <v>26389108</v>
      </c>
      <c r="E41" s="334">
        <v>704</v>
      </c>
      <c r="F41" s="334">
        <v>32690372</v>
      </c>
    </row>
    <row r="42" spans="1:6">
      <c r="A42" s="348" t="s">
        <v>32</v>
      </c>
      <c r="B42" s="348" t="s">
        <v>34</v>
      </c>
      <c r="C42" s="334">
        <v>5</v>
      </c>
      <c r="D42" s="334">
        <v>819356</v>
      </c>
      <c r="E42" s="334">
        <v>11</v>
      </c>
      <c r="F42" s="334">
        <v>1686588</v>
      </c>
    </row>
    <row r="43" spans="1:6">
      <c r="A43" s="348" t="s">
        <v>32</v>
      </c>
      <c r="B43" s="348" t="s">
        <v>35</v>
      </c>
      <c r="C43" s="334">
        <v>0</v>
      </c>
      <c r="D43" s="334">
        <v>0</v>
      </c>
      <c r="E43" s="334">
        <v>0</v>
      </c>
      <c r="F43" s="334">
        <v>0</v>
      </c>
    </row>
    <row r="44" spans="1:6">
      <c r="A44" s="348" t="s">
        <v>32</v>
      </c>
      <c r="B44" s="348" t="s">
        <v>36</v>
      </c>
      <c r="C44" s="334">
        <v>31</v>
      </c>
      <c r="D44" s="334">
        <v>4613048</v>
      </c>
      <c r="E44" s="334">
        <v>92</v>
      </c>
      <c r="F44" s="334">
        <v>3575437</v>
      </c>
    </row>
    <row r="45" spans="1:6">
      <c r="A45" s="348" t="s">
        <v>32</v>
      </c>
      <c r="B45" s="348" t="s">
        <v>37</v>
      </c>
      <c r="C45" s="334">
        <v>10</v>
      </c>
      <c r="D45" s="334">
        <v>79075174</v>
      </c>
      <c r="E45" s="334">
        <v>17</v>
      </c>
      <c r="F45" s="334">
        <v>15313097</v>
      </c>
    </row>
    <row r="46" spans="1:6">
      <c r="A46" s="348" t="s">
        <v>32</v>
      </c>
      <c r="B46" s="348" t="s">
        <v>38</v>
      </c>
      <c r="C46" s="334">
        <v>0</v>
      </c>
      <c r="D46" s="334">
        <v>0</v>
      </c>
      <c r="E46" s="334">
        <v>0</v>
      </c>
      <c r="F46" s="334">
        <v>0</v>
      </c>
    </row>
    <row r="47" spans="1:6">
      <c r="A47" s="348" t="s">
        <v>32</v>
      </c>
      <c r="B47" s="348" t="s">
        <v>39</v>
      </c>
      <c r="C47" s="334">
        <v>15</v>
      </c>
      <c r="D47" s="334">
        <v>3470106</v>
      </c>
      <c r="E47" s="334">
        <v>21</v>
      </c>
      <c r="F47" s="334">
        <v>3664195</v>
      </c>
    </row>
    <row r="48" spans="1:6">
      <c r="A48" s="348" t="s">
        <v>32</v>
      </c>
      <c r="B48" s="348" t="s">
        <v>29</v>
      </c>
      <c r="C48" s="334">
        <v>0</v>
      </c>
      <c r="D48" s="334">
        <v>29758</v>
      </c>
      <c r="E48" s="334">
        <v>0</v>
      </c>
      <c r="F48" s="334">
        <v>71662</v>
      </c>
    </row>
    <row r="49" spans="1:6">
      <c r="A49" s="348" t="s">
        <v>32</v>
      </c>
      <c r="B49" s="348" t="s">
        <v>40</v>
      </c>
      <c r="C49" s="334">
        <v>12</v>
      </c>
      <c r="D49" s="334">
        <v>330297</v>
      </c>
      <c r="E49" s="334">
        <v>18</v>
      </c>
      <c r="F49" s="334">
        <v>292368</v>
      </c>
    </row>
    <row r="50" spans="1:6">
      <c r="A50" s="348" t="s">
        <v>32</v>
      </c>
      <c r="B50" s="348" t="s">
        <v>41</v>
      </c>
      <c r="C50" s="334">
        <v>43</v>
      </c>
      <c r="D50" s="334">
        <v>11701456</v>
      </c>
      <c r="E50" s="334">
        <v>74</v>
      </c>
      <c r="F50" s="334">
        <v>10446679</v>
      </c>
    </row>
    <row r="51" spans="1:6">
      <c r="A51" s="348" t="s">
        <v>42</v>
      </c>
      <c r="B51" s="348" t="s">
        <v>43</v>
      </c>
      <c r="C51" s="334">
        <v>26</v>
      </c>
      <c r="D51" s="334">
        <v>1888804</v>
      </c>
      <c r="E51" s="334">
        <v>115</v>
      </c>
      <c r="F51" s="334">
        <v>1822919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372</v>
      </c>
      <c r="F54" s="334">
        <v>5279595</v>
      </c>
    </row>
    <row r="55" spans="1:6">
      <c r="A55" s="348" t="s">
        <v>46</v>
      </c>
      <c r="B55" s="348" t="s">
        <v>29</v>
      </c>
      <c r="C55" s="334">
        <v>0</v>
      </c>
      <c r="D55" s="334">
        <v>0</v>
      </c>
      <c r="E55" s="334">
        <v>0</v>
      </c>
      <c r="F55" s="334">
        <v>0</v>
      </c>
    </row>
    <row r="56" spans="1:6">
      <c r="A56" s="348" t="s">
        <v>48</v>
      </c>
      <c r="B56" s="348" t="s">
        <v>29</v>
      </c>
      <c r="C56" s="334">
        <v>442</v>
      </c>
      <c r="D56" s="334">
        <v>14210207</v>
      </c>
      <c r="E56" s="334">
        <v>1198</v>
      </c>
      <c r="F56" s="334">
        <v>5838049</v>
      </c>
    </row>
    <row r="57" spans="1:6">
      <c r="A57" s="348" t="s">
        <v>49</v>
      </c>
      <c r="B57" s="348" t="s">
        <v>50</v>
      </c>
      <c r="C57" s="334">
        <v>286</v>
      </c>
      <c r="D57" s="334">
        <v>20118443</v>
      </c>
      <c r="E57" s="334">
        <v>563</v>
      </c>
      <c r="F57" s="334">
        <v>16706355</v>
      </c>
    </row>
    <row r="58" spans="1:6">
      <c r="A58" s="348" t="s">
        <v>49</v>
      </c>
      <c r="B58" s="348" t="s">
        <v>51</v>
      </c>
      <c r="C58" s="334">
        <v>236</v>
      </c>
      <c r="D58" s="334">
        <v>34742515</v>
      </c>
      <c r="E58" s="334">
        <v>349</v>
      </c>
      <c r="F58" s="334">
        <v>16621674</v>
      </c>
    </row>
    <row r="59" spans="1:6">
      <c r="A59" s="348" t="s">
        <v>49</v>
      </c>
      <c r="B59" s="348" t="s">
        <v>52</v>
      </c>
      <c r="C59" s="334">
        <v>725</v>
      </c>
      <c r="D59" s="334">
        <v>36692606</v>
      </c>
      <c r="E59" s="334">
        <v>1352</v>
      </c>
      <c r="F59" s="334">
        <v>65744901</v>
      </c>
    </row>
    <row r="60" spans="1:6">
      <c r="A60" s="348" t="s">
        <v>49</v>
      </c>
      <c r="B60" s="348" t="s">
        <v>53</v>
      </c>
      <c r="C60" s="334">
        <v>315</v>
      </c>
      <c r="D60" s="334">
        <v>20382338</v>
      </c>
      <c r="E60" s="334">
        <v>428</v>
      </c>
      <c r="F60" s="334">
        <v>17417932</v>
      </c>
    </row>
    <row r="61" spans="1:6">
      <c r="A61" s="348" t="s">
        <v>49</v>
      </c>
      <c r="B61" s="348" t="s">
        <v>54</v>
      </c>
      <c r="C61" s="334">
        <v>1197</v>
      </c>
      <c r="D61" s="334">
        <v>93542882</v>
      </c>
      <c r="E61" s="334">
        <v>2563</v>
      </c>
      <c r="F61" s="334">
        <v>70242738</v>
      </c>
    </row>
    <row r="62" spans="1:6">
      <c r="A62" s="348" t="s">
        <v>49</v>
      </c>
      <c r="B62" s="348" t="s">
        <v>55</v>
      </c>
      <c r="C62" s="334">
        <v>110</v>
      </c>
      <c r="D62" s="334">
        <v>30121962</v>
      </c>
      <c r="E62" s="334">
        <v>99</v>
      </c>
      <c r="F62" s="334">
        <v>8710411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1733813</v>
      </c>
      <c r="E65" s="334">
        <v>0</v>
      </c>
      <c r="F65" s="334">
        <v>11703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22</v>
      </c>
      <c r="D68" s="334">
        <v>1891637</v>
      </c>
      <c r="E68" s="334">
        <v>42</v>
      </c>
      <c r="F68" s="334">
        <v>1059508</v>
      </c>
    </row>
    <row r="69" spans="1:6" ht="15.75" thickBot="1">
      <c r="A69" s="343"/>
    </row>
    <row r="70" spans="1:6" ht="19.5">
      <c r="A70" s="336" t="s">
        <v>61</v>
      </c>
      <c r="B70" s="337"/>
      <c r="C70" s="337" t="s">
        <v>405</v>
      </c>
      <c r="D70" s="337" t="s">
        <v>749</v>
      </c>
      <c r="E70" s="337"/>
      <c r="F70" s="344"/>
    </row>
    <row r="71" spans="1:6" ht="20.25" thickBot="1">
      <c r="A71" s="357"/>
      <c r="B71" s="358"/>
      <c r="C71" s="358"/>
      <c r="D71" s="359" t="s">
        <v>445</v>
      </c>
      <c r="E71" s="358"/>
      <c r="F71" s="360"/>
    </row>
    <row r="72" spans="1:6" ht="16.5" thickTop="1" thickBot="1">
      <c r="A72" s="345" t="s">
        <v>62</v>
      </c>
      <c r="B72" s="346" t="s">
        <v>63</v>
      </c>
      <c r="C72" s="1293" t="s">
        <v>686</v>
      </c>
      <c r="D72" s="361">
        <v>2015</v>
      </c>
      <c r="E72" s="361">
        <v>2020</v>
      </c>
      <c r="F72" s="347"/>
    </row>
    <row r="73" spans="1:6">
      <c r="A73" s="348" t="s">
        <v>64</v>
      </c>
      <c r="B73" s="348" t="s">
        <v>668</v>
      </c>
      <c r="C73" s="1294" t="s">
        <v>670</v>
      </c>
      <c r="D73" s="475">
        <v>402543128</v>
      </c>
      <c r="E73" s="475">
        <v>465643721.14458215</v>
      </c>
    </row>
    <row r="74" spans="1:6">
      <c r="A74" s="348" t="s">
        <v>64</v>
      </c>
      <c r="B74" s="348" t="s">
        <v>669</v>
      </c>
      <c r="C74" s="1294" t="s">
        <v>671</v>
      </c>
      <c r="D74" s="475">
        <v>28613119.490554851</v>
      </c>
      <c r="E74" s="475">
        <v>31153518.472615205</v>
      </c>
    </row>
    <row r="75" spans="1:6">
      <c r="A75" s="348" t="s">
        <v>65</v>
      </c>
      <c r="B75" s="348" t="s">
        <v>668</v>
      </c>
      <c r="C75" s="1294" t="s">
        <v>672</v>
      </c>
      <c r="D75" s="475">
        <v>112487095</v>
      </c>
      <c r="E75" s="475">
        <v>132782186.18107045</v>
      </c>
    </row>
    <row r="76" spans="1:6">
      <c r="A76" s="348" t="s">
        <v>65</v>
      </c>
      <c r="B76" s="348" t="s">
        <v>669</v>
      </c>
      <c r="C76" s="1294" t="s">
        <v>673</v>
      </c>
      <c r="D76" s="475">
        <v>510324.49055484915</v>
      </c>
      <c r="E76" s="475">
        <v>781028.01626734482</v>
      </c>
    </row>
    <row r="77" spans="1:6">
      <c r="A77" s="348" t="s">
        <v>66</v>
      </c>
      <c r="B77" s="348" t="s">
        <v>668</v>
      </c>
      <c r="C77" s="1294" t="s">
        <v>674</v>
      </c>
      <c r="D77" s="475">
        <v>217837306</v>
      </c>
      <c r="E77" s="475">
        <v>229387139.12407723</v>
      </c>
    </row>
    <row r="78" spans="1:6">
      <c r="A78" s="341" t="s">
        <v>66</v>
      </c>
      <c r="B78" s="341" t="s">
        <v>669</v>
      </c>
      <c r="C78" s="341" t="s">
        <v>675</v>
      </c>
      <c r="D78" s="1295">
        <v>23257068</v>
      </c>
      <c r="E78" s="1295">
        <v>24059922.493268732</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4760445.0188903017</v>
      </c>
      <c r="C83" s="475">
        <v>4760445.0188903017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553</v>
      </c>
      <c r="B89" s="334">
        <v>0</v>
      </c>
    </row>
    <row r="90" spans="1:6">
      <c r="A90" s="348" t="s">
        <v>554</v>
      </c>
      <c r="B90" s="1296">
        <v>15169.121137191971</v>
      </c>
    </row>
    <row r="91" spans="1:6">
      <c r="A91" s="348" t="s">
        <v>68</v>
      </c>
      <c r="B91" s="334">
        <v>13923.613489070098</v>
      </c>
    </row>
    <row r="92" spans="1:6">
      <c r="A92" s="341" t="s">
        <v>69</v>
      </c>
      <c r="B92" s="342">
        <v>10937.139718535062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12607</v>
      </c>
    </row>
    <row r="98" spans="1:6">
      <c r="A98" s="348" t="s">
        <v>72</v>
      </c>
      <c r="B98" s="334">
        <v>2</v>
      </c>
    </row>
    <row r="99" spans="1:6">
      <c r="A99" s="348" t="s">
        <v>73</v>
      </c>
      <c r="B99" s="334">
        <v>137</v>
      </c>
    </row>
    <row r="100" spans="1:6">
      <c r="A100" s="348" t="s">
        <v>74</v>
      </c>
      <c r="B100" s="334">
        <v>1808</v>
      </c>
    </row>
    <row r="101" spans="1:6">
      <c r="A101" s="348" t="s">
        <v>75</v>
      </c>
      <c r="B101" s="334">
        <v>132</v>
      </c>
    </row>
    <row r="102" spans="1:6">
      <c r="A102" s="348" t="s">
        <v>76</v>
      </c>
      <c r="B102" s="334">
        <v>416</v>
      </c>
    </row>
    <row r="103" spans="1:6">
      <c r="A103" s="348" t="s">
        <v>77</v>
      </c>
      <c r="B103" s="334">
        <v>298</v>
      </c>
    </row>
    <row r="104" spans="1:6">
      <c r="A104" s="348" t="s">
        <v>78</v>
      </c>
      <c r="B104" s="334">
        <v>12509</v>
      </c>
    </row>
    <row r="105" spans="1:6">
      <c r="A105" s="341" t="s">
        <v>79</v>
      </c>
      <c r="B105" s="341">
        <v>11</v>
      </c>
      <c r="C105" s="342"/>
      <c r="D105" s="342"/>
      <c r="E105" s="342"/>
      <c r="F105" s="342"/>
    </row>
    <row r="106" spans="1:6">
      <c r="A106" s="343"/>
    </row>
    <row r="107" spans="1:6" ht="15.75" thickBot="1">
      <c r="A107" s="343"/>
    </row>
    <row r="108" spans="1:6" ht="20.25" thickBot="1">
      <c r="A108" s="336" t="s">
        <v>650</v>
      </c>
      <c r="B108" s="337" t="s">
        <v>394</v>
      </c>
      <c r="C108" s="337" t="s">
        <v>888</v>
      </c>
      <c r="D108" s="337"/>
      <c r="E108" s="337"/>
      <c r="F108" s="344"/>
    </row>
    <row r="109" spans="1:6" ht="16.5" thickTop="1" thickBot="1">
      <c r="A109" s="345" t="s">
        <v>4</v>
      </c>
      <c r="B109" s="346" t="s">
        <v>5</v>
      </c>
      <c r="C109" s="346"/>
      <c r="D109" s="346"/>
      <c r="E109" s="346"/>
      <c r="F109" s="347"/>
    </row>
    <row r="110" spans="1:6">
      <c r="A110" s="348" t="s">
        <v>651</v>
      </c>
      <c r="B110" s="334">
        <v>0</v>
      </c>
    </row>
    <row r="111" spans="1:6">
      <c r="A111" s="1297" t="s">
        <v>652</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72</v>
      </c>
      <c r="C123" s="334">
        <v>142</v>
      </c>
    </row>
    <row r="124" spans="1:6">
      <c r="A124" s="341" t="s">
        <v>89</v>
      </c>
      <c r="B124" s="334">
        <v>3</v>
      </c>
      <c r="C124" s="334">
        <v>5</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501</v>
      </c>
    </row>
    <row r="130" spans="1:6">
      <c r="A130" s="348" t="s">
        <v>295</v>
      </c>
      <c r="B130" s="334">
        <v>7</v>
      </c>
    </row>
    <row r="131" spans="1:6">
      <c r="A131" s="348" t="s">
        <v>296</v>
      </c>
      <c r="B131" s="334">
        <v>9</v>
      </c>
    </row>
    <row r="132" spans="1:6">
      <c r="A132" s="341" t="s">
        <v>297</v>
      </c>
      <c r="B132" s="342">
        <v>84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707</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707</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708</v>
      </c>
      <c r="B44" s="532"/>
      <c r="E44" s="661"/>
      <c r="F44" s="661"/>
    </row>
    <row r="45" spans="1:14">
      <c r="A45" s="44"/>
      <c r="B45" s="532"/>
      <c r="E45" s="661"/>
      <c r="F45" s="661"/>
    </row>
    <row r="46" spans="1:14" ht="18">
      <c r="A46" s="137" t="s">
        <v>190</v>
      </c>
      <c r="B46" s="533" t="s">
        <v>580</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631</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709</v>
      </c>
    </row>
    <row r="5" spans="1:3" ht="15.75" thickBot="1">
      <c r="A5" s="933" t="s">
        <v>630</v>
      </c>
      <c r="B5" s="936">
        <v>673536</v>
      </c>
      <c r="C5" s="937" t="s">
        <v>687</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663</v>
      </c>
      <c r="B6" s="439" t="s">
        <v>691</v>
      </c>
      <c r="C6" s="440" t="s">
        <v>358</v>
      </c>
    </row>
    <row r="7" spans="1:3" s="334" customFormat="1">
      <c r="A7" s="923" t="s">
        <v>692</v>
      </c>
      <c r="B7" s="441" t="s">
        <v>607</v>
      </c>
      <c r="C7" s="442" t="s">
        <v>606</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407081.3691793505</v>
      </c>
      <c r="C3" s="43" t="s">
        <v>170</v>
      </c>
      <c r="D3" s="43"/>
      <c r="E3" s="154"/>
      <c r="F3" s="43"/>
      <c r="G3" s="43"/>
      <c r="H3" s="43"/>
      <c r="I3" s="43"/>
      <c r="J3" s="43"/>
      <c r="K3" s="96"/>
    </row>
    <row r="4" spans="1:11">
      <c r="A4" s="383" t="s">
        <v>171</v>
      </c>
      <c r="B4" s="49">
        <f>IF(ISERROR('SEAP template'!B78+'SEAP template'!C78),0,'SEAP template'!B78+'SEAP template'!C78)</f>
        <v>43516.02434479713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774</v>
      </c>
      <c r="G6" s="43" t="s">
        <v>788</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534.38505882352968</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0.1986883517423392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763.40722689075653</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3212.3571428571431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686</v>
      </c>
      <c r="B1" s="889" t="s">
        <v>308</v>
      </c>
      <c r="C1" s="889" t="s">
        <v>312</v>
      </c>
      <c r="D1" s="889" t="s">
        <v>313</v>
      </c>
      <c r="E1" s="889" t="s">
        <v>314</v>
      </c>
      <c r="F1" s="889" t="s">
        <v>315</v>
      </c>
      <c r="H1" s="932" t="s">
        <v>715</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684</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684</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684</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684</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668</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668</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668</v>
      </c>
      <c r="C9" s="316" t="s">
        <v>64</v>
      </c>
      <c r="D9" s="316" t="s">
        <v>653</v>
      </c>
      <c r="E9" s="316" t="s">
        <v>653</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668</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668</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668</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668</v>
      </c>
      <c r="C13" s="316" t="s">
        <v>64</v>
      </c>
      <c r="D13" s="316" t="s">
        <v>714</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668</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668</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668</v>
      </c>
      <c r="C16" s="316" t="s">
        <v>65</v>
      </c>
      <c r="D16" s="316" t="s">
        <v>653</v>
      </c>
      <c r="E16" s="316" t="s">
        <v>653</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668</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668</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668</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668</v>
      </c>
      <c r="C20" s="316" t="s">
        <v>65</v>
      </c>
      <c r="D20" s="316" t="s">
        <v>714</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668</v>
      </c>
      <c r="C21" s="316" t="s">
        <v>685</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668</v>
      </c>
      <c r="C22" s="316" t="s">
        <v>685</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668</v>
      </c>
      <c r="C23" s="316" t="s">
        <v>685</v>
      </c>
      <c r="D23" s="316" t="s">
        <v>653</v>
      </c>
      <c r="E23" s="316" t="s">
        <v>653</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668</v>
      </c>
      <c r="C24" s="316" t="s">
        <v>685</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668</v>
      </c>
      <c r="C25" s="316" t="s">
        <v>685</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668</v>
      </c>
      <c r="C26" s="316" t="s">
        <v>685</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668</v>
      </c>
      <c r="C27" s="316" t="s">
        <v>685</v>
      </c>
      <c r="D27" s="316" t="s">
        <v>714</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669</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669</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669</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669</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669</v>
      </c>
      <c r="C32" s="316" t="s">
        <v>685</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669</v>
      </c>
      <c r="C33" s="316" t="s">
        <v>685</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661</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5279.5950000000003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5279.5950000000003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0.1986883517423392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1048.9940284170955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113374.897</v>
      </c>
      <c r="C5" s="17">
        <f>IF(ISERROR('Eigen informatie GS &amp; warmtenet'!B57),0,'Eigen informatie GS &amp; warmtenet'!B57)</f>
        <v>0</v>
      </c>
      <c r="D5" s="30">
        <f>(SUM(HH_hh_gas_kWh,HH_rest_gas_kWh)/1000)*0.902</f>
        <v>291992.96220600005</v>
      </c>
      <c r="E5" s="17">
        <f>B46*B57</f>
        <v>12526.18699993426</v>
      </c>
      <c r="F5" s="17">
        <f>B51*B62</f>
        <v>75820.94170979278</v>
      </c>
      <c r="G5" s="18"/>
      <c r="H5" s="17"/>
      <c r="I5" s="17"/>
      <c r="J5" s="17">
        <f>B50*B61+C50*C61</f>
        <v>0</v>
      </c>
      <c r="K5" s="17"/>
      <c r="L5" s="17"/>
      <c r="M5" s="17"/>
      <c r="N5" s="17">
        <f>B48*B59+C48*C59</f>
        <v>34276.832446165958</v>
      </c>
      <c r="O5" s="17">
        <f>B69*B70*B71</f>
        <v>1013.04</v>
      </c>
      <c r="P5" s="17">
        <f>B77*B78*B79/1000-B77*B78*B79/1000/B80</f>
        <v>3031.6</v>
      </c>
    </row>
    <row r="6" spans="1:16">
      <c r="A6" s="16" t="s">
        <v>626</v>
      </c>
      <c r="B6" s="788">
        <f>kWh_PV_kleiner_dan_10kW</f>
        <v>13923.613489070098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127298.51048907009</v>
      </c>
      <c r="C8" s="21">
        <f>C5</f>
        <v>0</v>
      </c>
      <c r="D8" s="21">
        <f>D5</f>
        <v>291992.96220600005</v>
      </c>
      <c r="E8" s="21">
        <f>E5</f>
        <v>12526.18699993426</v>
      </c>
      <c r="F8" s="21">
        <f>F5</f>
        <v>75820.94170979278</v>
      </c>
      <c r="G8" s="21"/>
      <c r="H8" s="21"/>
      <c r="I8" s="21"/>
      <c r="J8" s="21">
        <f>J5</f>
        <v>0</v>
      </c>
      <c r="K8" s="21"/>
      <c r="L8" s="21">
        <f>L5</f>
        <v>0</v>
      </c>
      <c r="M8" s="21">
        <f>M5</f>
        <v>0</v>
      </c>
      <c r="N8" s="21">
        <f>N5</f>
        <v>34276.832446165958</v>
      </c>
      <c r="O8" s="21">
        <f>O5</f>
        <v>1013.04</v>
      </c>
      <c r="P8" s="21">
        <f>P5</f>
        <v>3031.6</v>
      </c>
    </row>
    <row r="9" spans="1:16">
      <c r="B9" s="19"/>
      <c r="C9" s="19"/>
      <c r="D9" s="258"/>
      <c r="E9" s="19"/>
      <c r="F9" s="19"/>
      <c r="G9" s="19"/>
      <c r="H9" s="19"/>
      <c r="I9" s="19"/>
      <c r="J9" s="19"/>
      <c r="K9" s="19"/>
      <c r="L9" s="19"/>
      <c r="M9" s="19"/>
      <c r="N9" s="19"/>
      <c r="O9" s="19"/>
      <c r="P9" s="19"/>
    </row>
    <row r="10" spans="1:16">
      <c r="A10" s="24" t="s">
        <v>214</v>
      </c>
      <c r="B10" s="25">
        <f ca="1">'EF ele_warmte'!B12</f>
        <v>0.1986883517423392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25292.731228328215</v>
      </c>
      <c r="C12" s="23">
        <f ca="1">C10*C8</f>
        <v>0</v>
      </c>
      <c r="D12" s="23">
        <f>D8*D10</f>
        <v>58982.578365612018</v>
      </c>
      <c r="E12" s="23">
        <f>E10*E8</f>
        <v>2843.4444489850771</v>
      </c>
      <c r="F12" s="23">
        <f>F10*F8</f>
        <v>20244.191436514673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12607</v>
      </c>
      <c r="C18" s="166" t="s">
        <v>111</v>
      </c>
      <c r="D18" s="228"/>
      <c r="E18" s="15"/>
    </row>
    <row r="19" spans="1:7">
      <c r="A19" s="171" t="s">
        <v>72</v>
      </c>
      <c r="B19" s="37">
        <f>aantalw2001_ander</f>
        <v>2</v>
      </c>
      <c r="C19" s="166" t="s">
        <v>111</v>
      </c>
      <c r="D19" s="229"/>
      <c r="E19" s="15"/>
    </row>
    <row r="20" spans="1:7">
      <c r="A20" s="171" t="s">
        <v>73</v>
      </c>
      <c r="B20" s="37">
        <f>aantalw2001_propaan</f>
        <v>137</v>
      </c>
      <c r="C20" s="167">
        <f>IF(ISERROR(B20/SUM($B$20,$B$21,$B$22)*100),0,B20/SUM($B$20,$B$21,$B$22)*100)</f>
        <v>6.5960519980741452</v>
      </c>
      <c r="D20" s="229"/>
      <c r="E20" s="15"/>
    </row>
    <row r="21" spans="1:7">
      <c r="A21" s="171" t="s">
        <v>74</v>
      </c>
      <c r="B21" s="37">
        <f>aantalw2001_elektriciteit</f>
        <v>1808</v>
      </c>
      <c r="C21" s="167">
        <f>IF(ISERROR(B21/SUM($B$20,$B$21,$B$22)*100),0,B21/SUM($B$20,$B$21,$B$22)*100)</f>
        <v>87.048627828598939</v>
      </c>
      <c r="D21" s="229"/>
      <c r="E21" s="15"/>
    </row>
    <row r="22" spans="1:7">
      <c r="A22" s="171" t="s">
        <v>75</v>
      </c>
      <c r="B22" s="37">
        <f>aantalw2001_hout</f>
        <v>132</v>
      </c>
      <c r="C22" s="167">
        <f>IF(ISERROR(B22/SUM($B$20,$B$21,$B$22)*100),0,B22/SUM($B$20,$B$21,$B$22)*100)</f>
        <v>6.3553201733269145</v>
      </c>
      <c r="D22" s="229"/>
      <c r="E22" s="15"/>
    </row>
    <row r="23" spans="1:7">
      <c r="A23" s="171" t="s">
        <v>76</v>
      </c>
      <c r="B23" s="37">
        <f>aantalw2001_niet_gespec</f>
        <v>416</v>
      </c>
      <c r="C23" s="166" t="s">
        <v>111</v>
      </c>
      <c r="D23" s="228"/>
      <c r="E23" s="15"/>
    </row>
    <row r="24" spans="1:7">
      <c r="A24" s="171" t="s">
        <v>77</v>
      </c>
      <c r="B24" s="37">
        <f>aantalw2001_steenkool</f>
        <v>298</v>
      </c>
      <c r="C24" s="166" t="s">
        <v>111</v>
      </c>
      <c r="D24" s="229"/>
      <c r="E24" s="15"/>
    </row>
    <row r="25" spans="1:7">
      <c r="A25" s="171" t="s">
        <v>78</v>
      </c>
      <c r="B25" s="37">
        <f>aantalw2001_stookolie</f>
        <v>12509</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700</v>
      </c>
      <c r="B28" s="37">
        <f>aantalHuishoudens2011</f>
        <v>34715</v>
      </c>
      <c r="C28" s="36"/>
      <c r="D28" s="228"/>
    </row>
    <row r="29" spans="1:7" s="15" customFormat="1">
      <c r="A29" s="230" t="s">
        <v>701</v>
      </c>
      <c r="B29" s="37">
        <f>SUM(HH_hh_gas_aantal,HH_rest_gas_aantal)</f>
        <v>23045</v>
      </c>
      <c r="C29" s="36"/>
      <c r="D29" s="228"/>
    </row>
    <row r="30" spans="1:7" s="15" customFormat="1">
      <c r="A30" s="231"/>
      <c r="B30" s="29"/>
      <c r="C30" s="36"/>
      <c r="D30" s="232"/>
    </row>
    <row r="31" spans="1:7">
      <c r="A31" s="172" t="s">
        <v>699</v>
      </c>
      <c r="B31" s="168" t="s">
        <v>216</v>
      </c>
      <c r="C31" s="165" t="s">
        <v>217</v>
      </c>
      <c r="D31" s="174"/>
      <c r="G31" s="15"/>
    </row>
    <row r="32" spans="1:7">
      <c r="A32" s="171" t="s">
        <v>71</v>
      </c>
      <c r="B32" s="37">
        <f>B29</f>
        <v>23045</v>
      </c>
      <c r="C32" s="167">
        <f>IF(ISERROR(B32/SUM($B$32,$B$34,$B$35,$B$36,$B$38,$B$39)*100),0,B32/SUM($B$32,$B$34,$B$35,$B$36,$B$38,$B$39)*100)</f>
        <v>66.68885287649033</v>
      </c>
      <c r="D32" s="233"/>
      <c r="G32" s="15"/>
    </row>
    <row r="33" spans="1:7">
      <c r="A33" s="171" t="s">
        <v>72</v>
      </c>
      <c r="B33" s="34" t="s">
        <v>111</v>
      </c>
      <c r="C33" s="167"/>
      <c r="D33" s="233"/>
      <c r="G33" s="15"/>
    </row>
    <row r="34" spans="1:7">
      <c r="A34" s="171" t="s">
        <v>73</v>
      </c>
      <c r="B34" s="33">
        <f>IF((($B$28-$B$32-$B$39-$B$77-$B$38)*C20/100)&lt;0,0,($B$28-$B$32-$B$39-$B$77-$B$38)*C20/100)</f>
        <v>553.81771786230138</v>
      </c>
      <c r="C34" s="167">
        <f>IF(ISERROR(B34/SUM($B$32,$B$34,$B$35,$B$36,$B$38,$B$39)*100),0,B34/SUM($B$32,$B$34,$B$35,$B$36,$B$38,$B$39)*100)</f>
        <v>1.6026673164205967</v>
      </c>
      <c r="D34" s="233"/>
      <c r="G34" s="15"/>
    </row>
    <row r="35" spans="1:7">
      <c r="A35" s="171" t="s">
        <v>74</v>
      </c>
      <c r="B35" s="33">
        <f>IF((($B$28-$B$32-$B$39-$B$77-$B$38)*C21/100)&lt;0,0,($B$28-$B$32-$B$39-$B$77-$B$38)*C21/100)</f>
        <v>7308.776889744825</v>
      </c>
      <c r="C35" s="167">
        <f>IF(ISERROR(B35/SUM($B$32,$B$34,$B$35,$B$36,$B$38,$B$39)*100),0,B35/SUM($B$32,$B$34,$B$35,$B$36,$B$38,$B$39)*100)</f>
        <v>21.150529256119992</v>
      </c>
      <c r="D35" s="233"/>
      <c r="G35" s="15"/>
    </row>
    <row r="36" spans="1:7">
      <c r="A36" s="171" t="s">
        <v>75</v>
      </c>
      <c r="B36" s="33">
        <f>IF((($B$28-$B$32-$B$39-$B$77-$B$38)*C22/100)&lt;0,0,($B$28-$B$32-$B$39-$B$77-$B$38)*C22/100)</f>
        <v>533.60539239287436</v>
      </c>
      <c r="C36" s="167">
        <f>IF(ISERROR(B36/SUM($B$32,$B$34,$B$35,$B$36,$B$38,$B$39)*100),0,B36/SUM($B$32,$B$34,$B$35,$B$36,$B$38,$B$39)*100)</f>
        <v>1.5441758085220347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3114.7999999999993</v>
      </c>
      <c r="C39" s="167">
        <f>IF(ISERROR(B39/SUM($B$32,$B$34,$B$35,$B$36,$B$38,$B$39)*100),0,B39/SUM($B$32,$B$34,$B$35,$B$36,$B$38,$B$39)*100)</f>
        <v>9.0137747424470405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697</v>
      </c>
      <c r="C43" s="169" t="s">
        <v>698</v>
      </c>
      <c r="D43" s="174"/>
    </row>
    <row r="44" spans="1:7">
      <c r="A44" s="171" t="s">
        <v>71</v>
      </c>
      <c r="B44" s="33">
        <f t="shared" ref="B44:B52" si="0">B32</f>
        <v>23045</v>
      </c>
      <c r="C44" s="34" t="s">
        <v>111</v>
      </c>
      <c r="D44" s="174"/>
    </row>
    <row r="45" spans="1:7">
      <c r="A45" s="171" t="s">
        <v>72</v>
      </c>
      <c r="B45" s="33" t="str">
        <f t="shared" si="0"/>
        <v>-</v>
      </c>
      <c r="C45" s="34" t="s">
        <v>111</v>
      </c>
      <c r="D45" s="174"/>
    </row>
    <row r="46" spans="1:7">
      <c r="A46" s="171" t="s">
        <v>73</v>
      </c>
      <c r="B46" s="33">
        <f t="shared" si="0"/>
        <v>553.81771786230138</v>
      </c>
      <c r="C46" s="34" t="s">
        <v>111</v>
      </c>
      <c r="D46" s="174"/>
    </row>
    <row r="47" spans="1:7">
      <c r="A47" s="171" t="s">
        <v>74</v>
      </c>
      <c r="B47" s="33">
        <f t="shared" si="0"/>
        <v>7308.776889744825</v>
      </c>
      <c r="C47" s="34" t="s">
        <v>111</v>
      </c>
      <c r="D47" s="174"/>
    </row>
    <row r="48" spans="1:7">
      <c r="A48" s="171" t="s">
        <v>75</v>
      </c>
      <c r="B48" s="33">
        <f t="shared" si="0"/>
        <v>533.60539239287436</v>
      </c>
      <c r="C48" s="33">
        <f>B48*10</f>
        <v>5336.0539239287436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3114.7999999999993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695</v>
      </c>
      <c r="C54" s="165" t="s">
        <v>696</v>
      </c>
      <c r="D54" s="301" t="s">
        <v>694</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648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195444.011</v>
      </c>
      <c r="C5" s="17">
        <f>IF(ISERROR('Eigen informatie GS &amp; warmtenet'!B58),0,'Eigen informatie GS &amp; warmtenet'!B58)</f>
        <v>0</v>
      </c>
      <c r="D5" s="30">
        <f>SUM(D6:D12)</f>
        <v>212511.87289200004</v>
      </c>
      <c r="E5" s="17">
        <f>SUM(E6:E12)</f>
        <v>3613.591350568277</v>
      </c>
      <c r="F5" s="17">
        <f>SUM(F6:F12)</f>
        <v>49467.519524098396</v>
      </c>
      <c r="G5" s="18"/>
      <c r="H5" s="17"/>
      <c r="I5" s="17"/>
      <c r="J5" s="17">
        <f>SUM(J6:J12)</f>
        <v>0</v>
      </c>
      <c r="K5" s="17"/>
      <c r="L5" s="17"/>
      <c r="M5" s="17"/>
      <c r="N5" s="17">
        <f>SUM(N6:N12)</f>
        <v>13529.887528112191</v>
      </c>
      <c r="O5" s="17">
        <f>B38*B39*B40</f>
        <v>10.943333333333335</v>
      </c>
      <c r="P5" s="17">
        <f>B46*B47*B48/1000-B46*B47*B48/1000/B49</f>
        <v>190.66666666666669</v>
      </c>
      <c r="R5" s="32"/>
    </row>
    <row r="6" spans="1:18">
      <c r="A6" s="32" t="s">
        <v>54</v>
      </c>
      <c r="B6" s="37">
        <f>B26</f>
        <v>70242.737999999998</v>
      </c>
      <c r="C6" s="33"/>
      <c r="D6" s="37">
        <f>IF(ISERROR(TER_kantoor_gas_kWh/1000),0,TER_kantoor_gas_kWh/1000)*0.902</f>
        <v>84375.679564000005</v>
      </c>
      <c r="E6" s="33">
        <f>$C$26*'E Balans VL '!I12/100/3.6*1000000</f>
        <v>919.56396692652436</v>
      </c>
      <c r="F6" s="33">
        <f>$C$26*('E Balans VL '!L12+'E Balans VL '!N12)/100/3.6*1000000</f>
        <v>17911.172328659992</v>
      </c>
      <c r="G6" s="34"/>
      <c r="H6" s="33"/>
      <c r="I6" s="33"/>
      <c r="J6" s="33">
        <f>$C$26*('E Balans VL '!D12+'E Balans VL '!E12)/100/3.6*1000000</f>
        <v>0</v>
      </c>
      <c r="K6" s="33"/>
      <c r="L6" s="33"/>
      <c r="M6" s="33"/>
      <c r="N6" s="33">
        <f>$C$26*'E Balans VL '!Y12/100/3.6*1000000</f>
        <v>70.479276657816627</v>
      </c>
      <c r="O6" s="33"/>
      <c r="P6" s="33"/>
      <c r="R6" s="32"/>
    </row>
    <row r="7" spans="1:18">
      <c r="A7" s="32" t="s">
        <v>53</v>
      </c>
      <c r="B7" s="37">
        <f t="shared" ref="B7:B12" si="0">B27</f>
        <v>17417.932000000001</v>
      </c>
      <c r="C7" s="33"/>
      <c r="D7" s="37">
        <f>IF(ISERROR(TER_horeca_gas_kWh/1000),0,TER_horeca_gas_kWh/1000)*0.902</f>
        <v>18384.868876</v>
      </c>
      <c r="E7" s="33">
        <f>$C$27*'E Balans VL '!I9/100/3.6*1000000</f>
        <v>576.42759947382717</v>
      </c>
      <c r="F7" s="33">
        <f>$C$27*('E Balans VL '!L9+'E Balans VL '!N9)/100/3.6*1000000</f>
        <v>7489.6440063988284</v>
      </c>
      <c r="G7" s="34"/>
      <c r="H7" s="33"/>
      <c r="I7" s="33"/>
      <c r="J7" s="33">
        <f>$C$27*('E Balans VL '!D9+'E Balans VL '!E9)/100/3.6*1000000</f>
        <v>0</v>
      </c>
      <c r="K7" s="33"/>
      <c r="L7" s="33"/>
      <c r="M7" s="33"/>
      <c r="N7" s="33">
        <f>$C$27*'E Balans VL '!Y9/100/3.6*1000000</f>
        <v>4.1927491685300735</v>
      </c>
      <c r="O7" s="33"/>
      <c r="P7" s="33"/>
      <c r="R7" s="32"/>
    </row>
    <row r="8" spans="1:18">
      <c r="A8" s="6" t="s">
        <v>52</v>
      </c>
      <c r="B8" s="37">
        <f t="shared" si="0"/>
        <v>65744.900999999998</v>
      </c>
      <c r="C8" s="33"/>
      <c r="D8" s="37">
        <f>IF(ISERROR(TER_handel_gas_kWh/1000),0,TER_handel_gas_kWh/1000)*0.902</f>
        <v>33096.730611999999</v>
      </c>
      <c r="E8" s="33">
        <f>$C$28*'E Balans VL '!I13/100/3.6*1000000</f>
        <v>2075.0095307785186</v>
      </c>
      <c r="F8" s="33">
        <f>$C$28*('E Balans VL '!L13+'E Balans VL '!N13)/100/3.6*1000000</f>
        <v>12893.732781930481</v>
      </c>
      <c r="G8" s="34"/>
      <c r="H8" s="33"/>
      <c r="I8" s="33"/>
      <c r="J8" s="33">
        <f>$C$28*('E Balans VL '!D13+'E Balans VL '!E13)/100/3.6*1000000</f>
        <v>0</v>
      </c>
      <c r="K8" s="33"/>
      <c r="L8" s="33"/>
      <c r="M8" s="33"/>
      <c r="N8" s="33">
        <f>$C$28*'E Balans VL '!Y13/100/3.6*1000000</f>
        <v>78.026433271170319</v>
      </c>
      <c r="O8" s="33"/>
      <c r="P8" s="33"/>
      <c r="R8" s="32"/>
    </row>
    <row r="9" spans="1:18">
      <c r="A9" s="32" t="s">
        <v>51</v>
      </c>
      <c r="B9" s="37">
        <f t="shared" si="0"/>
        <v>16621.673999999999</v>
      </c>
      <c r="C9" s="33"/>
      <c r="D9" s="37">
        <f>IF(ISERROR(TER_gezond_gas_kWh/1000),0,TER_gezond_gas_kWh/1000)*0.902</f>
        <v>31337.748530000001</v>
      </c>
      <c r="E9" s="33">
        <f>$C$29*'E Balans VL '!I10/100/3.6*1000000</f>
        <v>2.1280605282837546</v>
      </c>
      <c r="F9" s="33">
        <f>$C$29*('E Balans VL '!L10+'E Balans VL '!N10)/100/3.6*1000000</f>
        <v>3462.9913724032863</v>
      </c>
      <c r="G9" s="34"/>
      <c r="H9" s="33"/>
      <c r="I9" s="33"/>
      <c r="J9" s="33">
        <f>$C$29*('E Balans VL '!D10+'E Balans VL '!E10)/100/3.6*1000000</f>
        <v>0</v>
      </c>
      <c r="K9" s="33"/>
      <c r="L9" s="33"/>
      <c r="M9" s="33"/>
      <c r="N9" s="33">
        <f>$C$29*'E Balans VL '!Y10/100/3.6*1000000</f>
        <v>195.22941756598524</v>
      </c>
      <c r="O9" s="33"/>
      <c r="P9" s="33"/>
      <c r="R9" s="32"/>
    </row>
    <row r="10" spans="1:18">
      <c r="A10" s="32" t="s">
        <v>50</v>
      </c>
      <c r="B10" s="37">
        <f t="shared" si="0"/>
        <v>16706.355</v>
      </c>
      <c r="C10" s="33"/>
      <c r="D10" s="37">
        <f>IF(ISERROR(TER_ander_gas_kWh/1000),0,TER_ander_gas_kWh/1000)*0.902</f>
        <v>18146.835586000001</v>
      </c>
      <c r="E10" s="33">
        <f>$C$30*'E Balans VL '!I14/100/3.6*1000000</f>
        <v>25.122429160204415</v>
      </c>
      <c r="F10" s="33">
        <f>$C$30*('E Balans VL '!L14+'E Balans VL '!N14)/100/3.6*1000000</f>
        <v>3688.2246613794441</v>
      </c>
      <c r="G10" s="34"/>
      <c r="H10" s="33"/>
      <c r="I10" s="33"/>
      <c r="J10" s="33">
        <f>$C$30*('E Balans VL '!D14+'E Balans VL '!E14)/100/3.6*1000000</f>
        <v>0</v>
      </c>
      <c r="K10" s="33"/>
      <c r="L10" s="33"/>
      <c r="M10" s="33"/>
      <c r="N10" s="33">
        <f>$C$30*'E Balans VL '!Y14/100/3.6*1000000</f>
        <v>13165.732035301344</v>
      </c>
      <c r="O10" s="33"/>
      <c r="P10" s="33"/>
      <c r="R10" s="32"/>
    </row>
    <row r="11" spans="1:18">
      <c r="A11" s="32" t="s">
        <v>55</v>
      </c>
      <c r="B11" s="37">
        <f t="shared" si="0"/>
        <v>8710.4110000000001</v>
      </c>
      <c r="C11" s="33"/>
      <c r="D11" s="37">
        <f>IF(ISERROR(TER_onderwijs_gas_kWh/1000),0,TER_onderwijs_gas_kWh/1000)*0.902</f>
        <v>27170.009724</v>
      </c>
      <c r="E11" s="33">
        <f>$C$31*'E Balans VL '!I11/100/3.6*1000000</f>
        <v>15.339763700918693</v>
      </c>
      <c r="F11" s="33">
        <f>$C$31*('E Balans VL '!L11+'E Balans VL '!N11)/100/3.6*1000000</f>
        <v>4021.7543733263619</v>
      </c>
      <c r="G11" s="34"/>
      <c r="H11" s="33"/>
      <c r="I11" s="33"/>
      <c r="J11" s="33">
        <f>$C$31*('E Balans VL '!D11+'E Balans VL '!E11)/100/3.6*1000000</f>
        <v>0</v>
      </c>
      <c r="K11" s="33"/>
      <c r="L11" s="33"/>
      <c r="M11" s="33"/>
      <c r="N11" s="33">
        <f>$C$31*'E Balans VL '!Y11/100/3.6*1000000</f>
        <v>16.2276161473462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3261.15</v>
      </c>
      <c r="C13" s="247">
        <f ca="1">'lokale energieproductie'!O91+'lokale energieproductie'!O60</f>
        <v>2890.9285714285716</v>
      </c>
      <c r="D13" s="310">
        <f ca="1">('lokale energieproductie'!P60+'lokale energieproductie'!P91)*(-1)</f>
        <v>-5781.857142857144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-3535.7142857142858</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198705.16099999999</v>
      </c>
      <c r="C16" s="21">
        <f t="shared" ca="1" si="1"/>
        <v>2890.9285714285716</v>
      </c>
      <c r="D16" s="21">
        <f t="shared" ca="1" si="1"/>
        <v>206730.01574914291</v>
      </c>
      <c r="E16" s="21">
        <f t="shared" si="1"/>
        <v>3613.591350568277</v>
      </c>
      <c r="F16" s="21">
        <f t="shared" ca="1" si="1"/>
        <v>49467.519524098396</v>
      </c>
      <c r="G16" s="21">
        <f t="shared" si="1"/>
        <v>0</v>
      </c>
      <c r="H16" s="21">
        <f t="shared" si="1"/>
        <v>0</v>
      </c>
      <c r="I16" s="21">
        <f t="shared" si="1"/>
        <v>0</v>
      </c>
      <c r="J16" s="21">
        <f t="shared" si="1"/>
        <v>0</v>
      </c>
      <c r="K16" s="21">
        <f t="shared" si="1"/>
        <v>0</v>
      </c>
      <c r="L16" s="21">
        <f t="shared" ca="1" si="1"/>
        <v>0</v>
      </c>
      <c r="M16" s="21">
        <f t="shared" si="1"/>
        <v>0</v>
      </c>
      <c r="N16" s="21">
        <f t="shared" ca="1" si="1"/>
        <v>9994.1732423979047</v>
      </c>
      <c r="O16" s="21">
        <f>O5</f>
        <v>10.943333333333335</v>
      </c>
      <c r="P16" s="21">
        <f>P5</f>
        <v>190.66666666666669</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0.1986883517423392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39480.400921786138</v>
      </c>
      <c r="C20" s="23">
        <f t="shared" ref="C20:P20" ca="1" si="2">C16*C18</f>
        <v>687.02067226890779</v>
      </c>
      <c r="D20" s="23">
        <f t="shared" ca="1" si="2"/>
        <v>41759.463181326872</v>
      </c>
      <c r="E20" s="23">
        <f t="shared" si="2"/>
        <v>820.28523657899893</v>
      </c>
      <c r="F20" s="23">
        <f t="shared" ca="1" si="2"/>
        <v>13207.827712934273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70242.737999999998</v>
      </c>
      <c r="C26" s="39">
        <f>IF(ISERROR(B26*3.6/1000000/'E Balans VL '!Z12*100),0,B26*3.6/1000000/'E Balans VL '!Z12*100)</f>
        <v>1.5046540174182432</v>
      </c>
      <c r="D26" s="237" t="s">
        <v>662</v>
      </c>
      <c r="F26" s="6"/>
    </row>
    <row r="27" spans="1:18">
      <c r="A27" s="231" t="s">
        <v>53</v>
      </c>
      <c r="B27" s="33">
        <f>IF(ISERROR(TER_horeca_ele_kWh/1000),0,TER_horeca_ele_kWh/1000)</f>
        <v>17417.932000000001</v>
      </c>
      <c r="C27" s="39">
        <f>IF(ISERROR(B27*3.6/1000000/'E Balans VL '!Z9*100),0,B27*3.6/1000000/'E Balans VL '!Z9*100)</f>
        <v>1.3977284988863516</v>
      </c>
      <c r="D27" s="237" t="s">
        <v>662</v>
      </c>
      <c r="F27" s="6"/>
    </row>
    <row r="28" spans="1:18">
      <c r="A28" s="171" t="s">
        <v>52</v>
      </c>
      <c r="B28" s="33">
        <f>IF(ISERROR(TER_handel_ele_kWh/1000),0,TER_handel_ele_kWh/1000)</f>
        <v>65744.900999999998</v>
      </c>
      <c r="C28" s="39">
        <f>IF(ISERROR(B28*3.6/1000000/'E Balans VL '!Z13*100),0,B28*3.6/1000000/'E Balans VL '!Z13*100)</f>
        <v>1.9390974817890698</v>
      </c>
      <c r="D28" s="237" t="s">
        <v>662</v>
      </c>
      <c r="F28" s="6"/>
    </row>
    <row r="29" spans="1:18">
      <c r="A29" s="231" t="s">
        <v>51</v>
      </c>
      <c r="B29" s="33">
        <f>IF(ISERROR(TER_gezond_ele_kWh/1000),0,TER_gezond_ele_kWh/1000)</f>
        <v>16621.673999999999</v>
      </c>
      <c r="C29" s="39">
        <f>IF(ISERROR(B29*3.6/1000000/'E Balans VL '!Z10*100),0,B29*3.6/1000000/'E Balans VL '!Z10*100)</f>
        <v>1.7747491394085553</v>
      </c>
      <c r="D29" s="237" t="s">
        <v>662</v>
      </c>
      <c r="F29" s="6"/>
    </row>
    <row r="30" spans="1:18">
      <c r="A30" s="231" t="s">
        <v>50</v>
      </c>
      <c r="B30" s="33">
        <f>IF(ISERROR(TER_ander_ele_kWh/1000),0,TER_ander_ele_kWh/1000)</f>
        <v>16706.355</v>
      </c>
      <c r="C30" s="39">
        <f>IF(ISERROR(B30*3.6/1000000/'E Balans VL '!Z14*100),0,B30*3.6/1000000/'E Balans VL '!Z14*100)</f>
        <v>1.2618965963598696</v>
      </c>
      <c r="D30" s="237" t="s">
        <v>662</v>
      </c>
      <c r="F30" s="6"/>
    </row>
    <row r="31" spans="1:18">
      <c r="A31" s="231" t="s">
        <v>55</v>
      </c>
      <c r="B31" s="33">
        <f>IF(ISERROR(TER_onderwijs_ele_kWh/1000),0,TER_onderwijs_ele_kWh/1000)</f>
        <v>8710.4110000000001</v>
      </c>
      <c r="C31" s="39">
        <f>IF(ISERROR(B31*3.6/1000000/'E Balans VL '!Z11*100),0,B31*3.6/1000000/'E Balans VL '!Z11*100)</f>
        <v>1.7589227568828494</v>
      </c>
      <c r="D31" s="237" t="s">
        <v>662</v>
      </c>
    </row>
    <row r="32" spans="1:18">
      <c r="A32" s="231" t="s">
        <v>260</v>
      </c>
      <c r="B32" s="33">
        <f>IF(ISERROR(TER_rest_ele_kWh/1000),0,TER_rest_ele_kWh/1000)</f>
        <v>0</v>
      </c>
      <c r="C32" s="39">
        <f>IF(ISERROR(B32*3.6/1000000/'E Balans VL '!Z8*100),0,B32*3.6/1000000/'E Balans VL '!Z8*100)</f>
        <v>0</v>
      </c>
      <c r="D32" s="237" t="s">
        <v>662</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67740.398000000001</v>
      </c>
      <c r="C5" s="17">
        <f>IF(ISERROR('Eigen informatie GS &amp; warmtenet'!B59),0,'Eigen informatie GS &amp; warmtenet'!B59)</f>
        <v>0</v>
      </c>
      <c r="D5" s="30">
        <f>SUM(D6:D15)</f>
        <v>114038.32930600001</v>
      </c>
      <c r="E5" s="17">
        <f>SUM(E6:E15)</f>
        <v>9085.8821211277336</v>
      </c>
      <c r="F5" s="17">
        <f>SUM(F6:F15)</f>
        <v>34704.3665165001</v>
      </c>
      <c r="G5" s="18"/>
      <c r="H5" s="17"/>
      <c r="I5" s="17"/>
      <c r="J5" s="17">
        <f>SUM(J6:J15)</f>
        <v>263.71991711281726</v>
      </c>
      <c r="K5" s="17"/>
      <c r="L5" s="17"/>
      <c r="M5" s="17"/>
      <c r="N5" s="17">
        <f>SUM(N6:N15)</f>
        <v>21039.969886877156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3575.4369999999999</v>
      </c>
      <c r="C8" s="33"/>
      <c r="D8" s="37">
        <f>IF( ISERROR(IND_metaal_Gas_kWH/1000),0,IND_metaal_Gas_kWH/1000)*0.902</f>
        <v>4160.9692960000002</v>
      </c>
      <c r="E8" s="33">
        <f>C30*'E Balans VL '!I18/100/3.6*1000000</f>
        <v>128.65503969014924</v>
      </c>
      <c r="F8" s="33">
        <f>C30*'E Balans VL '!L18/100/3.6*1000000+C30*'E Balans VL '!N18/100/3.6*1000000</f>
        <v>1561.2774347024701</v>
      </c>
      <c r="G8" s="34"/>
      <c r="H8" s="33"/>
      <c r="I8" s="33"/>
      <c r="J8" s="40">
        <f>C30*'E Balans VL '!D18/100/3.6*1000000+C30*'E Balans VL '!E18/100/3.6*1000000</f>
        <v>0</v>
      </c>
      <c r="K8" s="33"/>
      <c r="L8" s="33"/>
      <c r="M8" s="33"/>
      <c r="N8" s="33">
        <f>C30*'E Balans VL '!Y18/100/3.6*1000000</f>
        <v>179.19847267310135</v>
      </c>
      <c r="O8" s="33"/>
      <c r="P8" s="33"/>
      <c r="R8" s="32"/>
    </row>
    <row r="9" spans="1:18">
      <c r="A9" s="6" t="s">
        <v>33</v>
      </c>
      <c r="B9" s="37">
        <f t="shared" si="0"/>
        <v>32690.371999999999</v>
      </c>
      <c r="C9" s="33"/>
      <c r="D9" s="37">
        <f>IF( ISERROR(IND_andere_gas_kWh/1000),0,IND_andere_gas_kWh/1000)*0.902</f>
        <v>23802.975416000001</v>
      </c>
      <c r="E9" s="33">
        <f>C31*'E Balans VL '!I19/100/3.6*1000000</f>
        <v>8341.8432940169423</v>
      </c>
      <c r="F9" s="33">
        <f>C31*'E Balans VL '!L19/100/3.6*1000000+C31*'E Balans VL '!N19/100/3.6*1000000</f>
        <v>28143.953188116488</v>
      </c>
      <c r="G9" s="34"/>
      <c r="H9" s="33"/>
      <c r="I9" s="33"/>
      <c r="J9" s="40">
        <f>C31*'E Balans VL '!D19/100/3.6*1000000+C31*'E Balans VL '!E19/100/3.6*1000000</f>
        <v>0</v>
      </c>
      <c r="K9" s="33"/>
      <c r="L9" s="33"/>
      <c r="M9" s="33"/>
      <c r="N9" s="33">
        <f>C31*'E Balans VL '!Y19/100/3.6*1000000</f>
        <v>10223.39885271883</v>
      </c>
      <c r="O9" s="33"/>
      <c r="P9" s="33"/>
      <c r="R9" s="32"/>
    </row>
    <row r="10" spans="1:18">
      <c r="A10" s="6" t="s">
        <v>41</v>
      </c>
      <c r="B10" s="37">
        <f t="shared" si="0"/>
        <v>10446.679</v>
      </c>
      <c r="C10" s="33"/>
      <c r="D10" s="37">
        <f>IF( ISERROR(IND_voed_gas_kWh/1000),0,IND_voed_gas_kWh/1000)*0.902</f>
        <v>10554.713312</v>
      </c>
      <c r="E10" s="33">
        <f>C32*'E Balans VL '!I20/100/3.6*1000000</f>
        <v>265.56892464577169</v>
      </c>
      <c r="F10" s="33">
        <f>C32*'E Balans VL '!L20/100/3.6*1000000+C32*'E Balans VL '!N20/100/3.6*1000000</f>
        <v>2363.9266395242016</v>
      </c>
      <c r="G10" s="34"/>
      <c r="H10" s="33"/>
      <c r="I10" s="33"/>
      <c r="J10" s="40">
        <f>C32*'E Balans VL '!D20/100/3.6*1000000+C32*'E Balans VL '!E20/100/3.6*1000000</f>
        <v>0</v>
      </c>
      <c r="K10" s="33"/>
      <c r="L10" s="33"/>
      <c r="M10" s="33"/>
      <c r="N10" s="33">
        <f>C32*'E Balans VL '!Y20/100/3.6*1000000</f>
        <v>3917.7877933723425</v>
      </c>
      <c r="O10" s="33"/>
      <c r="P10" s="33"/>
      <c r="R10" s="32"/>
    </row>
    <row r="11" spans="1:18">
      <c r="A11" s="6" t="s">
        <v>40</v>
      </c>
      <c r="B11" s="37">
        <f t="shared" si="0"/>
        <v>292.36799999999999</v>
      </c>
      <c r="C11" s="33"/>
      <c r="D11" s="37">
        <f>IF( ISERROR(IND_textiel_gas_kWh/1000),0,IND_textiel_gas_kWh/1000)*0.902</f>
        <v>297.92789400000004</v>
      </c>
      <c r="E11" s="33">
        <f>C33*'E Balans VL '!I21/100/3.6*1000000</f>
        <v>0.80262878443586294</v>
      </c>
      <c r="F11" s="33">
        <f>C33*'E Balans VL '!L21/100/3.6*1000000+C33*'E Balans VL '!N21/100/3.6*1000000</f>
        <v>15.500132905541331</v>
      </c>
      <c r="G11" s="34"/>
      <c r="H11" s="33"/>
      <c r="I11" s="33"/>
      <c r="J11" s="40">
        <f>C33*'E Balans VL '!D21/100/3.6*1000000+C33*'E Balans VL '!E21/100/3.6*1000000</f>
        <v>0</v>
      </c>
      <c r="K11" s="33"/>
      <c r="L11" s="33"/>
      <c r="M11" s="33"/>
      <c r="N11" s="33">
        <f>C33*'E Balans VL '!Y21/100/3.6*1000000</f>
        <v>0.5876112981813737</v>
      </c>
      <c r="O11" s="33"/>
      <c r="P11" s="33"/>
      <c r="R11" s="32"/>
    </row>
    <row r="12" spans="1:18">
      <c r="A12" s="6" t="s">
        <v>37</v>
      </c>
      <c r="B12" s="37">
        <f t="shared" si="0"/>
        <v>15313.097</v>
      </c>
      <c r="C12" s="33"/>
      <c r="D12" s="37">
        <f>IF( ISERROR(IND_min_gas_kWh/1000),0,IND_min_gas_kWh/1000)*0.902</f>
        <v>71325.806947999998</v>
      </c>
      <c r="E12" s="33">
        <f>C34*'E Balans VL '!I22/100/3.6*1000000</f>
        <v>325.36493322611858</v>
      </c>
      <c r="F12" s="33">
        <f>C34*'E Balans VL '!L22/100/3.6*1000000+C34*'E Balans VL '!N22/100/3.6*1000000</f>
        <v>2498.4622752727441</v>
      </c>
      <c r="G12" s="34"/>
      <c r="H12" s="33"/>
      <c r="I12" s="33"/>
      <c r="J12" s="40">
        <f>C34*'E Balans VL '!D22/100/3.6*1000000+C34*'E Balans VL '!E22/100/3.6*1000000</f>
        <v>17.841187031051589</v>
      </c>
      <c r="K12" s="33"/>
      <c r="L12" s="33"/>
      <c r="M12" s="33"/>
      <c r="N12" s="33">
        <f>C34*'E Balans VL '!Y22/100/3.6*1000000</f>
        <v>0</v>
      </c>
      <c r="O12" s="33"/>
      <c r="P12" s="33"/>
      <c r="R12" s="32"/>
    </row>
    <row r="13" spans="1:18">
      <c r="A13" s="6" t="s">
        <v>39</v>
      </c>
      <c r="B13" s="37">
        <f t="shared" si="0"/>
        <v>3664.1950000000002</v>
      </c>
      <c r="C13" s="33"/>
      <c r="D13" s="37">
        <f>IF( ISERROR(IND_papier_gas_kWh/1000),0,IND_papier_gas_kWh/1000)*0.902</f>
        <v>3130.0356120000001</v>
      </c>
      <c r="E13" s="33">
        <f>C35*'E Balans VL '!I23/100/3.6*1000000</f>
        <v>15.714666375512031</v>
      </c>
      <c r="F13" s="33">
        <f>C35*'E Balans VL '!L23/100/3.6*1000000+C35*'E Balans VL '!N23/100/3.6*1000000</f>
        <v>92.092593287278319</v>
      </c>
      <c r="G13" s="34"/>
      <c r="H13" s="33"/>
      <c r="I13" s="33"/>
      <c r="J13" s="40">
        <f>C35*'E Balans VL '!D23/100/3.6*1000000+C35*'E Balans VL '!E23/100/3.6*1000000</f>
        <v>245.29775796714603</v>
      </c>
      <c r="K13" s="33"/>
      <c r="L13" s="33"/>
      <c r="M13" s="33"/>
      <c r="N13" s="33">
        <f>C35*'E Balans VL '!Y23/100/3.6*1000000</f>
        <v>6669.7062788161666</v>
      </c>
      <c r="O13" s="33"/>
      <c r="P13" s="33"/>
      <c r="R13" s="32"/>
    </row>
    <row r="14" spans="1:18">
      <c r="A14" s="6" t="s">
        <v>34</v>
      </c>
      <c r="B14" s="37">
        <f t="shared" si="0"/>
        <v>1686.588</v>
      </c>
      <c r="C14" s="33"/>
      <c r="D14" s="37">
        <f>IF( ISERROR(IND_chemie_gas_kWh/1000),0,IND_chemie_gas_kWh/1000)*0.902</f>
        <v>739.05911200000003</v>
      </c>
      <c r="E14" s="33">
        <f>C36*'E Balans VL '!I24/100/3.6*1000000</f>
        <v>4.0433305482169661</v>
      </c>
      <c r="F14" s="33">
        <f>C36*'E Balans VL '!L24/100/3.6*1000000+C36*'E Balans VL '!N24/100/3.6*1000000</f>
        <v>13.535250213338196</v>
      </c>
      <c r="G14" s="34"/>
      <c r="H14" s="33"/>
      <c r="I14" s="33"/>
      <c r="J14" s="40">
        <f>C36*'E Balans VL '!D24/100/3.6*1000000+C36*'E Balans VL '!E24/100/3.6*1000000</f>
        <v>0</v>
      </c>
      <c r="K14" s="33"/>
      <c r="L14" s="33"/>
      <c r="M14" s="33"/>
      <c r="N14" s="33">
        <f>C36*'E Balans VL '!Y24/100/3.6*1000000</f>
        <v>34.860466414475525</v>
      </c>
      <c r="O14" s="33"/>
      <c r="P14" s="33"/>
      <c r="R14" s="32"/>
    </row>
    <row r="15" spans="1:18">
      <c r="A15" s="6" t="s">
        <v>270</v>
      </c>
      <c r="B15" s="37">
        <f t="shared" si="0"/>
        <v>71.662000000000006</v>
      </c>
      <c r="C15" s="33"/>
      <c r="D15" s="37">
        <f>IF( ISERROR(IND_rest_gas_kWh/1000),0,IND_rest_gas_kWh/1000)*0.902</f>
        <v>26.841716000000002</v>
      </c>
      <c r="E15" s="33">
        <f>C37*'E Balans VL '!I15/100/3.6*1000000</f>
        <v>3.8893038405879996</v>
      </c>
      <c r="F15" s="33">
        <f>C37*'E Balans VL '!L15/100/3.6*1000000+C37*'E Balans VL '!N15/100/3.6*1000000</f>
        <v>15.61900247803988</v>
      </c>
      <c r="G15" s="34"/>
      <c r="H15" s="33"/>
      <c r="I15" s="33"/>
      <c r="J15" s="40">
        <f>C37*'E Balans VL '!D15/100/3.6*1000000+C37*'E Balans VL '!E15/100/3.6*1000000</f>
        <v>0.58097211461963982</v>
      </c>
      <c r="K15" s="33"/>
      <c r="L15" s="33"/>
      <c r="M15" s="33"/>
      <c r="N15" s="33">
        <f>C37*'E Balans VL '!Y15/100/3.6*1000000</f>
        <v>14.430411584058545</v>
      </c>
      <c r="O15" s="33"/>
      <c r="P15" s="33"/>
      <c r="R15" s="32"/>
    </row>
    <row r="16" spans="1:18">
      <c r="A16" s="16" t="s">
        <v>491</v>
      </c>
      <c r="B16" s="247">
        <f>'lokale energieproductie'!N90+'lokale energieproductie'!N59</f>
        <v>225</v>
      </c>
      <c r="C16" s="247">
        <f>'lokale energieproductie'!O90+'lokale energieproductie'!O59</f>
        <v>321.42857142857144</v>
      </c>
      <c r="D16" s="310">
        <f>('lokale energieproductie'!P59+'lokale energieproductie'!P90)*(-1)</f>
        <v>-642.85714285714289</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67965.398000000001</v>
      </c>
      <c r="C18" s="21">
        <f>C5+C16</f>
        <v>321.42857142857144</v>
      </c>
      <c r="D18" s="21">
        <f>MAX((D5+D16),0)</f>
        <v>113395.47216314287</v>
      </c>
      <c r="E18" s="21">
        <f>MAX((E5+E16),0)</f>
        <v>9085.8821211277336</v>
      </c>
      <c r="F18" s="21">
        <f>MAX((F5+F16),0)</f>
        <v>34704.3665165001</v>
      </c>
      <c r="G18" s="21"/>
      <c r="H18" s="21"/>
      <c r="I18" s="21"/>
      <c r="J18" s="21">
        <f>MAX((J5+J16),0)</f>
        <v>263.71991711281726</v>
      </c>
      <c r="K18" s="21"/>
      <c r="L18" s="21">
        <f>MAX((L5+L16),0)</f>
        <v>0</v>
      </c>
      <c r="M18" s="21"/>
      <c r="N18" s="21">
        <f>MAX((N5+N16),0)</f>
        <v>21039.969886877156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0.1986883517423392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13503.932904132078</v>
      </c>
      <c r="C22" s="23">
        <f ca="1">C18*C20</f>
        <v>76.386554621848759</v>
      </c>
      <c r="D22" s="23">
        <f>D18*D20</f>
        <v>22905.885376954862</v>
      </c>
      <c r="E22" s="23">
        <f>E18*E20</f>
        <v>2062.4952414959957</v>
      </c>
      <c r="F22" s="23">
        <f>F18*F20</f>
        <v>9266.0658599055278</v>
      </c>
      <c r="G22" s="23"/>
      <c r="H22" s="23"/>
      <c r="I22" s="23"/>
      <c r="J22" s="23">
        <f>J18*J20</f>
        <v>93.356850657937301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662</v>
      </c>
    </row>
    <row r="29" spans="1:18">
      <c r="A29" s="171" t="s">
        <v>38</v>
      </c>
      <c r="B29" s="37">
        <f>IF( ISERROR(IND_nonf_ele_kWh/1000),0,IND_nonf_ele_kWh/1000)</f>
        <v>0</v>
      </c>
      <c r="C29" s="39">
        <f>IF(ISERROR(B29*3.6/1000000/'E Balans VL '!Z17*100),0,B29*3.6/1000000/'E Balans VL '!Z17*100)</f>
        <v>0</v>
      </c>
      <c r="D29" s="237" t="s">
        <v>662</v>
      </c>
    </row>
    <row r="30" spans="1:18">
      <c r="A30" s="171" t="s">
        <v>36</v>
      </c>
      <c r="B30" s="37">
        <f>IF( ISERROR(IND_metaal_ele_kWh/1000),0,IND_metaal_ele_kWh/1000)</f>
        <v>3575.4369999999999</v>
      </c>
      <c r="C30" s="39">
        <f>IF(ISERROR(B30*3.6/1000000/'E Balans VL '!Z18*100),0,B30*3.6/1000000/'E Balans VL '!Z18*100)</f>
        <v>0.75755844495101332</v>
      </c>
      <c r="D30" s="237" t="s">
        <v>662</v>
      </c>
    </row>
    <row r="31" spans="1:18">
      <c r="A31" s="6" t="s">
        <v>33</v>
      </c>
      <c r="B31" s="37">
        <f>IF( ISERROR(IND_ander_ele_kWh/1000),0,IND_ander_ele_kWh/1000)</f>
        <v>32690.371999999999</v>
      </c>
      <c r="C31" s="39">
        <f>IF(ISERROR(B31*3.6/1000000/'E Balans VL '!Z19*100),0,B31*3.6/1000000/'E Balans VL '!Z19*100)</f>
        <v>1.3760119863679898</v>
      </c>
      <c r="D31" s="237" t="s">
        <v>662</v>
      </c>
    </row>
    <row r="32" spans="1:18">
      <c r="A32" s="171" t="s">
        <v>41</v>
      </c>
      <c r="B32" s="37">
        <f>IF( ISERROR(IND_voed_ele_kWh/1000),0,IND_voed_ele_kWh/1000)</f>
        <v>10446.679</v>
      </c>
      <c r="C32" s="39">
        <f>IF(ISERROR(B32*3.6/1000000/'E Balans VL '!Z20*100),0,B32*3.6/1000000/'E Balans VL '!Z20*100)</f>
        <v>1.7452359229937542</v>
      </c>
      <c r="D32" s="237" t="s">
        <v>662</v>
      </c>
    </row>
    <row r="33" spans="1:5">
      <c r="A33" s="171" t="s">
        <v>40</v>
      </c>
      <c r="B33" s="37">
        <f>IF( ISERROR(IND_textiel_ele_kWh/1000),0,IND_textiel_ele_kWh/1000)</f>
        <v>292.36799999999999</v>
      </c>
      <c r="C33" s="39">
        <f>IF(ISERROR(B33*3.6/1000000/'E Balans VL '!Z21*100),0,B33*3.6/1000000/'E Balans VL '!Z21*100)</f>
        <v>1.7069318756176434E-2</v>
      </c>
      <c r="D33" s="237" t="s">
        <v>662</v>
      </c>
    </row>
    <row r="34" spans="1:5">
      <c r="A34" s="171" t="s">
        <v>37</v>
      </c>
      <c r="B34" s="37">
        <f>IF( ISERROR(IND_min_ele_kWh/1000),0,IND_min_ele_kWh/1000)</f>
        <v>15313.097</v>
      </c>
      <c r="C34" s="39">
        <f>IF(ISERROR(B34*3.6/1000000/'E Balans VL '!Z22*100),0,B34*3.6/1000000/'E Balans VL '!Z22*100)</f>
        <v>1.9410176280382145</v>
      </c>
      <c r="D34" s="237" t="s">
        <v>662</v>
      </c>
    </row>
    <row r="35" spans="1:5">
      <c r="A35" s="171" t="s">
        <v>39</v>
      </c>
      <c r="B35" s="37">
        <f>IF( ISERROR(IND_papier_ele_kWh/1000),0,IND_papier_ele_kWh/1000)</f>
        <v>3664.1950000000002</v>
      </c>
      <c r="C35" s="39">
        <f>IF(ISERROR(B35*3.6/1000000/'E Balans VL '!Z22*100),0,B35*3.6/1000000/'E Balans VL '!Z22*100)</f>
        <v>0.46445647719527183</v>
      </c>
      <c r="D35" s="237" t="s">
        <v>662</v>
      </c>
    </row>
    <row r="36" spans="1:5">
      <c r="A36" s="171" t="s">
        <v>34</v>
      </c>
      <c r="B36" s="37">
        <f>IF( ISERROR(IND_chemie_ele_kWh/1000),0,IND_chemie_ele_kWh/1000)</f>
        <v>1686.588</v>
      </c>
      <c r="C36" s="39">
        <f>IF(ISERROR(B36*3.6/1000000/'E Balans VL '!Z24*100),0,B36*3.6/1000000/'E Balans VL '!Z24*100)</f>
        <v>5.4780432628614428E-2</v>
      </c>
      <c r="D36" s="237" t="s">
        <v>662</v>
      </c>
    </row>
    <row r="37" spans="1:5">
      <c r="A37" s="171" t="s">
        <v>270</v>
      </c>
      <c r="B37" s="37">
        <f>IF( ISERROR(IND_rest_ele_kWh/1000),0,IND_rest_ele_kWh/1000)</f>
        <v>71.662000000000006</v>
      </c>
      <c r="C37" s="39">
        <f>IF(ISERROR(B37*3.6/1000000/'E Balans VL '!Z15*100),0,B37*3.6/1000000/'E Balans VL '!Z15*100)</f>
        <v>5.7855507479823132E-4</v>
      </c>
      <c r="D37" s="237" t="s">
        <v>662</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1822.9190000000001</v>
      </c>
      <c r="C5" s="17">
        <f>'Eigen informatie GS &amp; warmtenet'!B60</f>
        <v>0</v>
      </c>
      <c r="D5" s="30">
        <f>IF(ISERROR(SUM(LB_lb_gas_kWh,LB_rest_gas_kWh)/1000),0,SUM(LB_lb_gas_kWh,LB_rest_gas_kWh)/1000)*0.902</f>
        <v>1703.7012080000002</v>
      </c>
      <c r="E5" s="17">
        <f>B17*'E Balans VL '!I25/3.6*1000000/100</f>
        <v>47.006081810250777</v>
      </c>
      <c r="F5" s="17">
        <f>B17*('E Balans VL '!L25/3.6*1000000+'E Balans VL '!N25/3.6*1000000)/100</f>
        <v>6663.116103059604</v>
      </c>
      <c r="G5" s="18"/>
      <c r="H5" s="17"/>
      <c r="I5" s="17"/>
      <c r="J5" s="17">
        <f>('E Balans VL '!D25+'E Balans VL '!E25)/3.6*1000000*landbouw!B17/100</f>
        <v>262.43327690387315</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1822.9190000000001</v>
      </c>
      <c r="C8" s="21">
        <f>C5+C6</f>
        <v>0</v>
      </c>
      <c r="D8" s="21">
        <f>MAX((D5+D6),0)</f>
        <v>1703.7012080000002</v>
      </c>
      <c r="E8" s="21">
        <f>MAX((E5+E6),0)</f>
        <v>47.006081810250777</v>
      </c>
      <c r="F8" s="21">
        <f>MAX((F5+F6),0)</f>
        <v>6663.116103059604</v>
      </c>
      <c r="G8" s="21"/>
      <c r="H8" s="21"/>
      <c r="I8" s="21"/>
      <c r="J8" s="21">
        <f>MAX((J5+J6),0)</f>
        <v>262.43327690387315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0.1986883517423392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362.19277146979323</v>
      </c>
      <c r="C12" s="23">
        <f ca="1">C8*C10</f>
        <v>0</v>
      </c>
      <c r="D12" s="23">
        <f>D8*D10</f>
        <v>344.14764401600007</v>
      </c>
      <c r="E12" s="23">
        <f>E8*E10</f>
        <v>10.670380570926927</v>
      </c>
      <c r="F12" s="23">
        <f>F8*F10</f>
        <v>1779.0519995169143</v>
      </c>
      <c r="G12" s="23"/>
      <c r="H12" s="23"/>
      <c r="I12" s="23"/>
      <c r="J12" s="23">
        <f>J8*J10</f>
        <v>92.901380023971086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0.25704365374470556</v>
      </c>
      <c r="C17" s="237" t="s">
        <v>694</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233.94942881903538</v>
      </c>
      <c r="C26" s="247">
        <f>B26*'GWP N2O_CH4'!B5</f>
        <v>4912.9380051997432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71.823520955554415</v>
      </c>
      <c r="C27" s="247">
        <f>B27*'GWP N2O_CH4'!B5</f>
        <v>1508.2939400666428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6.1946283917487692</v>
      </c>
      <c r="C28" s="247">
        <f>B28*'GWP N2O_CH4'!B4</f>
        <v>1920.3348014421185</v>
      </c>
      <c r="D28" s="50"/>
    </row>
    <row r="29" spans="1:4">
      <c r="A29" s="41" t="s">
        <v>277</v>
      </c>
      <c r="B29" s="247">
        <f>B34*'ha_N2O bodem landbouw'!B4</f>
        <v>20.54410068748917</v>
      </c>
      <c r="C29" s="247">
        <f>B29*'GWP N2O_CH4'!B4</f>
        <v>6368.6712131216427</v>
      </c>
      <c r="D29" s="50"/>
    </row>
    <row r="31" spans="1:4">
      <c r="A31" s="193" t="s">
        <v>498</v>
      </c>
      <c r="B31" s="203"/>
      <c r="C31" s="225"/>
    </row>
    <row r="32" spans="1:4">
      <c r="A32" s="236"/>
      <c r="B32" s="32"/>
      <c r="C32" s="237"/>
    </row>
    <row r="33" spans="1:5">
      <c r="A33" s="238"/>
      <c r="B33" s="224" t="s">
        <v>629</v>
      </c>
      <c r="C33" s="239" t="s">
        <v>182</v>
      </c>
    </row>
    <row r="34" spans="1:5">
      <c r="A34" s="257" t="s">
        <v>112</v>
      </c>
      <c r="B34" s="35">
        <f>IF(ISERROR(aantalCultuurgronden/'ha_N2O bodem landbouw'!B5),0,aantalCultuurgronden/'ha_N2O bodem landbouw'!B5)</f>
        <v>4.6235390535917902E-3</v>
      </c>
      <c r="C34" s="924" t="s">
        <v>658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6.1825208500950618E-4</v>
      </c>
      <c r="C5" s="463" t="s">
        <v>211</v>
      </c>
      <c r="D5" s="448">
        <f>SUM(D6:D11)</f>
        <v>1.3908916857691858E-3</v>
      </c>
      <c r="E5" s="448">
        <f>SUM(E6:E11)</f>
        <v>5.7450505800806665E-3</v>
      </c>
      <c r="F5" s="461" t="s">
        <v>211</v>
      </c>
      <c r="G5" s="448">
        <f>SUM(G6:G11)</f>
        <v>1.7936994037594869</v>
      </c>
      <c r="H5" s="448">
        <f>SUM(H6:H11)</f>
        <v>0.37831079105476195</v>
      </c>
      <c r="I5" s="463" t="s">
        <v>211</v>
      </c>
      <c r="J5" s="463" t="s">
        <v>211</v>
      </c>
      <c r="K5" s="463" t="s">
        <v>211</v>
      </c>
      <c r="L5" s="463" t="s">
        <v>211</v>
      </c>
      <c r="M5" s="448">
        <f>SUM(M6:M11)</f>
        <v>6.7846105346724514E-2</v>
      </c>
      <c r="N5" s="463" t="s">
        <v>211</v>
      </c>
      <c r="O5" s="463" t="s">
        <v>211</v>
      </c>
      <c r="P5" s="464" t="s">
        <v>211</v>
      </c>
    </row>
    <row r="6" spans="1:18">
      <c r="A6" s="261" t="s">
        <v>670</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3.3958814975993914E-4</v>
      </c>
      <c r="C6" s="449"/>
      <c r="D6" s="892">
        <f>vkm_2011_GW_PW*SUMIFS(TableVerdeelsleutelVkm[CNG],TableVerdeelsleutelVkm[Voertuigtype],"Lichte voertuigen")*SUMIFS(TableECFTransport[EnergieConsumptieFactor (PJ per km)],TableECFTransport[Index],CONCATENATE($A6,"_CNG_CNG"))</f>
        <v>6.7476760198052711E-4</v>
      </c>
      <c r="E6" s="892">
        <f>vkm_2011_GW_PW*SUMIFS(TableVerdeelsleutelVkm[LPG],TableVerdeelsleutelVkm[Voertuigtype],"Lichte voertuigen")*SUMIFS(TableECFTransport[EnergieConsumptieFactor (PJ per km)],TableECFTransport[Index],CONCATENATE($A6,"_LPG_LPG"))</f>
        <v>2.6554523998458248E-3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0.63137546679849321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0.18267988979064548</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2.5366716621024674E-2</v>
      </c>
      <c r="N6" s="449"/>
      <c r="O6" s="449"/>
      <c r="P6" s="450"/>
    </row>
    <row r="7" spans="1:18">
      <c r="A7" s="261" t="s">
        <v>671</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0.27417656733199264</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8.8570742291176145E-5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8.6388841256275963E-3</v>
      </c>
      <c r="N7" s="449"/>
      <c r="O7" s="449"/>
      <c r="P7" s="450"/>
      <c r="R7" s="888"/>
    </row>
    <row r="8" spans="1:18">
      <c r="A8" s="261" t="s">
        <v>672</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9.4894886549697861E-5</v>
      </c>
      <c r="C8" s="449"/>
      <c r="D8" s="451">
        <f>vkm_2011_NGW_PW*SUMIFS(TableVerdeelsleutelVkm[CNG],TableVerdeelsleutelVkm[Voertuigtype],"Lichte voertuigen")*SUMIFS(TableECFTransport[EnergieConsumptieFactor (PJ per km)],TableECFTransport[Index],CONCATENATE($A8,"_CNG_CNG"))</f>
        <v>3.3386708293644857E-4</v>
      </c>
      <c r="E8" s="451">
        <f>vkm_2011_NGW_PW*SUMIFS(TableVerdeelsleutelVkm[LPG],TableVerdeelsleutelVkm[Voertuigtype],"Lichte voertuigen")*SUMIFS(TableECFTransport[EnergieConsumptieFactor (PJ per km)],TableECFTransport[Index],CONCATENATE($A8,"_LPG_LPG"))</f>
        <v>1.2151130372085616E-3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0.26978925233139506</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8.7644998197052598E-2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1.1126788744512978E-2</v>
      </c>
      <c r="N8" s="449"/>
      <c r="O8" s="449"/>
      <c r="P8" s="450"/>
      <c r="R8" s="888"/>
    </row>
    <row r="9" spans="1:18">
      <c r="A9" s="261" t="s">
        <v>673</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6.2416475817347822E-3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1.9068762598073917E-6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1.9666148257092744E-4</v>
      </c>
      <c r="N9" s="449"/>
      <c r="O9" s="449"/>
      <c r="P9" s="450"/>
      <c r="R9" s="888"/>
    </row>
    <row r="10" spans="1:18">
      <c r="A10" s="261" t="s">
        <v>674</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1.8376904869986922E-4</v>
      </c>
      <c r="C10" s="449"/>
      <c r="D10" s="451">
        <f>vkm_2011_SW_PW*SUMIFS(TableVerdeelsleutelVkm[CNG],TableVerdeelsleutelVkm[Voertuigtype],"Lichte voertuigen")*SUMIFS(TableECFTransport[EnergieConsumptieFactor (PJ per km)],TableECFTransport[Index],CONCATENATE($A10,"_CNG_CNG"))</f>
        <v>3.8225700085221028E-4</v>
      </c>
      <c r="E10" s="451">
        <f>vkm_2011_SW_PW*SUMIFS(TableVerdeelsleutelVkm[LPG],TableVerdeelsleutelVkm[Voertuigtype],"Lichte voertuigen")*SUMIFS(TableECFTransport[EnergieConsumptieFactor (PJ per km)],TableECFTransport[Index],CONCATENATE($A10,"_LPG_LPG"))</f>
        <v>1.87448514302628E-3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0.39924381333147774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0.10782133331317569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1.5809602962503277E-2</v>
      </c>
      <c r="N10" s="449"/>
      <c r="O10" s="449"/>
      <c r="P10" s="450"/>
      <c r="R10" s="888"/>
    </row>
    <row r="11" spans="1:18">
      <c r="A11" s="4" t="s">
        <v>675</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0.21287265638439334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7.4092135337255313E-5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6.7074514104850571E-3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171.7366902804184</v>
      </c>
      <c r="C14" s="21"/>
      <c r="D14" s="21">
        <f t="shared" ref="D14:M14" si="0">((D5)*10^9/3600)+D12</f>
        <v>386.35880160255164</v>
      </c>
      <c r="E14" s="21">
        <f t="shared" si="0"/>
        <v>1595.8473833557407</v>
      </c>
      <c r="F14" s="21"/>
      <c r="G14" s="21">
        <f t="shared" si="0"/>
        <v>498249.83437763527</v>
      </c>
      <c r="H14" s="21">
        <f t="shared" si="0"/>
        <v>105086.33084854498</v>
      </c>
      <c r="I14" s="21"/>
      <c r="J14" s="21"/>
      <c r="K14" s="21"/>
      <c r="L14" s="21"/>
      <c r="M14" s="21">
        <f t="shared" si="0"/>
        <v>18846.140374090141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0.1986883517423392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34.122079925500934</v>
      </c>
      <c r="C18" s="23"/>
      <c r="D18" s="23">
        <f t="shared" ref="D18:M18" si="1">D14*D16</f>
        <v>78.044477923715434</v>
      </c>
      <c r="E18" s="23">
        <f t="shared" si="1"/>
        <v>362.25735602175314</v>
      </c>
      <c r="F18" s="23"/>
      <c r="G18" s="23">
        <f t="shared" si="1"/>
        <v>133032.70577882862</v>
      </c>
      <c r="H18" s="23">
        <f t="shared" si="1"/>
        <v>26166.496381287699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676</v>
      </c>
      <c r="D23" s="929" t="s">
        <v>677</v>
      </c>
      <c r="E23" s="929" t="s">
        <v>678</v>
      </c>
      <c r="F23" s="929" t="s">
        <v>653</v>
      </c>
      <c r="G23" s="929" t="s">
        <v>679</v>
      </c>
      <c r="H23" s="929" t="s">
        <v>680</v>
      </c>
      <c r="I23" s="929" t="s">
        <v>119</v>
      </c>
      <c r="J23" s="929" t="s">
        <v>681</v>
      </c>
      <c r="K23" s="929" t="s">
        <v>682</v>
      </c>
      <c r="L23" s="930" t="s">
        <v>683</v>
      </c>
      <c r="M23" s="129" t="s">
        <v>182</v>
      </c>
      <c r="N23" s="268" t="s">
        <v>316</v>
      </c>
    </row>
    <row r="24" spans="1:18">
      <c r="A24" s="32" t="s">
        <v>668</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716</v>
      </c>
      <c r="N24" s="891">
        <f>SUM(B24:K24)</f>
        <v>1.0009924786749953</v>
      </c>
      <c r="O24" s="888" t="s">
        <v>654</v>
      </c>
    </row>
    <row r="25" spans="1:18">
      <c r="A25" s="32" t="s">
        <v>669</v>
      </c>
      <c r="B25" s="890" t="s">
        <v>717</v>
      </c>
      <c r="C25" s="914">
        <v>0.99949792595839149</v>
      </c>
      <c r="D25" s="890"/>
      <c r="E25" s="890"/>
      <c r="F25" s="914" t="s">
        <v>717</v>
      </c>
      <c r="G25" s="890" t="s">
        <v>717</v>
      </c>
      <c r="H25" s="890"/>
      <c r="I25" s="890" t="s">
        <v>717</v>
      </c>
      <c r="J25" s="890">
        <v>5.0207404160854336E-4</v>
      </c>
      <c r="K25" s="890" t="s">
        <v>717</v>
      </c>
      <c r="M25" s="269" t="s">
        <v>716</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757</v>
      </c>
      <c r="F31" s="53"/>
      <c r="G31" s="43"/>
      <c r="H31" s="43"/>
      <c r="I31" s="43"/>
      <c r="J31" s="43"/>
      <c r="K31" s="43"/>
      <c r="L31" s="174"/>
    </row>
    <row r="32" spans="1:18">
      <c r="A32" s="278" t="s">
        <v>321</v>
      </c>
      <c r="B32" s="279"/>
      <c r="C32" s="280"/>
      <c r="D32" s="279">
        <v>3.73E-2</v>
      </c>
      <c r="E32" s="926" t="s">
        <v>757</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719</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757</v>
      </c>
      <c r="F38" s="282"/>
      <c r="G38" s="58"/>
      <c r="H38" s="58"/>
      <c r="I38" s="58"/>
      <c r="J38" s="58"/>
      <c r="K38" s="58"/>
      <c r="L38" s="284"/>
    </row>
    <row r="39" spans="1:16">
      <c r="A39" s="278" t="s">
        <v>326</v>
      </c>
      <c r="B39" s="279"/>
      <c r="C39" s="280"/>
      <c r="D39" s="279">
        <v>2.8799999999999999E-2</v>
      </c>
      <c r="E39" s="926" t="s">
        <v>757</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719</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6.188707289582681E-2</v>
      </c>
      <c r="H50" s="321">
        <f t="shared" si="2"/>
        <v>0</v>
      </c>
      <c r="I50" s="321">
        <f t="shared" si="2"/>
        <v>0</v>
      </c>
      <c r="J50" s="321">
        <f t="shared" si="2"/>
        <v>0</v>
      </c>
      <c r="K50" s="321">
        <f t="shared" si="2"/>
        <v>0</v>
      </c>
      <c r="L50" s="321">
        <f t="shared" si="2"/>
        <v>0</v>
      </c>
      <c r="M50" s="321">
        <f t="shared" si="2"/>
        <v>1.9195985485775781E-3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6.188707289582681E-2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1.9195985485775781E-3</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17190.853582174113</v>
      </c>
      <c r="H54" s="21">
        <f t="shared" si="3"/>
        <v>0</v>
      </c>
      <c r="I54" s="21">
        <f t="shared" si="3"/>
        <v>0</v>
      </c>
      <c r="J54" s="21">
        <f t="shared" si="3"/>
        <v>0</v>
      </c>
      <c r="K54" s="21">
        <f t="shared" si="3"/>
        <v>0</v>
      </c>
      <c r="L54" s="21">
        <f t="shared" si="3"/>
        <v>0</v>
      </c>
      <c r="M54" s="21">
        <f t="shared" si="3"/>
        <v>533.22181904932722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0.1986883517423392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4589.9579064404888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564</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718</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565</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203984.75599999999</v>
      </c>
      <c r="D10" s="1012">
        <f ca="1">tertiair!C16</f>
        <v>2890.9285714285716</v>
      </c>
      <c r="E10" s="1012">
        <f ca="1">tertiair!D16</f>
        <v>206730.01574914291</v>
      </c>
      <c r="F10" s="1012">
        <f>tertiair!E16</f>
        <v>3613.591350568277</v>
      </c>
      <c r="G10" s="1012">
        <f ca="1">tertiair!F16</f>
        <v>49467.519524098396</v>
      </c>
      <c r="H10" s="1012">
        <f>tertiair!G16</f>
        <v>0</v>
      </c>
      <c r="I10" s="1012">
        <f>tertiair!H16</f>
        <v>0</v>
      </c>
      <c r="J10" s="1012">
        <f>tertiair!I16</f>
        <v>0</v>
      </c>
      <c r="K10" s="1012">
        <f>tertiair!J16</f>
        <v>0</v>
      </c>
      <c r="L10" s="1012">
        <f>tertiair!K16</f>
        <v>0</v>
      </c>
      <c r="M10" s="1012">
        <f ca="1">tertiair!L16</f>
        <v>0</v>
      </c>
      <c r="N10" s="1012">
        <f>tertiair!M16</f>
        <v>0</v>
      </c>
      <c r="O10" s="1012">
        <f ca="1">tertiair!N16</f>
        <v>9994.1732423979047</v>
      </c>
      <c r="P10" s="1012">
        <f>tertiair!O16</f>
        <v>10.943333333333335</v>
      </c>
      <c r="Q10" s="1013">
        <f>tertiair!P16</f>
        <v>190.66666666666669</v>
      </c>
      <c r="R10" s="700">
        <f ca="1">SUM(C10:Q10)</f>
        <v>476882.59443763609</v>
      </c>
      <c r="S10" s="67"/>
    </row>
    <row r="11" spans="1:19" s="473" customFormat="1">
      <c r="A11" s="809" t="s">
        <v>225</v>
      </c>
      <c r="B11" s="814"/>
      <c r="C11" s="1012">
        <f>huishoudens!B8</f>
        <v>127298.51048907009</v>
      </c>
      <c r="D11" s="1012">
        <f>huishoudens!C8</f>
        <v>0</v>
      </c>
      <c r="E11" s="1012">
        <f>huishoudens!D8</f>
        <v>291992.96220600005</v>
      </c>
      <c r="F11" s="1012">
        <f>huishoudens!E8</f>
        <v>12526.18699993426</v>
      </c>
      <c r="G11" s="1012">
        <f>huishoudens!F8</f>
        <v>75820.94170979278</v>
      </c>
      <c r="H11" s="1012">
        <f>huishoudens!G8</f>
        <v>0</v>
      </c>
      <c r="I11" s="1012">
        <f>huishoudens!H8</f>
        <v>0</v>
      </c>
      <c r="J11" s="1012">
        <f>huishoudens!I8</f>
        <v>0</v>
      </c>
      <c r="K11" s="1012">
        <f>huishoudens!J8</f>
        <v>0</v>
      </c>
      <c r="L11" s="1012">
        <f>huishoudens!K8</f>
        <v>0</v>
      </c>
      <c r="M11" s="1012">
        <f>huishoudens!L8</f>
        <v>0</v>
      </c>
      <c r="N11" s="1012">
        <f>huishoudens!M8</f>
        <v>0</v>
      </c>
      <c r="O11" s="1012">
        <f>huishoudens!N8</f>
        <v>34276.832446165958</v>
      </c>
      <c r="P11" s="1012">
        <f>huishoudens!O8</f>
        <v>1013.04</v>
      </c>
      <c r="Q11" s="1013">
        <f>huishoudens!P8</f>
        <v>3031.6</v>
      </c>
      <c r="R11" s="700">
        <f>SUM(C11:Q11)</f>
        <v>545960.07385096315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643</v>
      </c>
      <c r="B13" s="818" t="s">
        <v>641</v>
      </c>
      <c r="C13" s="1012">
        <f>industrie!B18</f>
        <v>67965.398000000001</v>
      </c>
      <c r="D13" s="1012">
        <f>industrie!C18</f>
        <v>321.42857142857144</v>
      </c>
      <c r="E13" s="1012">
        <f>industrie!D18</f>
        <v>113395.47216314287</v>
      </c>
      <c r="F13" s="1012">
        <f>industrie!E18</f>
        <v>9085.8821211277336</v>
      </c>
      <c r="G13" s="1012">
        <f>industrie!F18</f>
        <v>34704.3665165001</v>
      </c>
      <c r="H13" s="1012">
        <f>industrie!G18</f>
        <v>0</v>
      </c>
      <c r="I13" s="1012">
        <f>industrie!H18</f>
        <v>0</v>
      </c>
      <c r="J13" s="1012">
        <f>industrie!I18</f>
        <v>0</v>
      </c>
      <c r="K13" s="1012">
        <f>industrie!J18</f>
        <v>263.71991711281726</v>
      </c>
      <c r="L13" s="1012">
        <f>industrie!K18</f>
        <v>0</v>
      </c>
      <c r="M13" s="1012">
        <f>industrie!L18</f>
        <v>0</v>
      </c>
      <c r="N13" s="1012">
        <f>industrie!M18</f>
        <v>0</v>
      </c>
      <c r="O13" s="1012">
        <f>industrie!N18</f>
        <v>21039.969886877156</v>
      </c>
      <c r="P13" s="1012">
        <f>industrie!O18</f>
        <v>0</v>
      </c>
      <c r="Q13" s="1013">
        <f>industrie!P18</f>
        <v>0</v>
      </c>
      <c r="R13" s="700">
        <f>SUM(C13:Q13)</f>
        <v>246776.23717618926</v>
      </c>
      <c r="S13" s="67"/>
    </row>
    <row r="14" spans="1:19" s="473" customFormat="1">
      <c r="A14" s="809"/>
      <c r="B14" s="818" t="s">
        <v>642</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848</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399248.66448907007</v>
      </c>
      <c r="D16" s="732">
        <f t="shared" ref="D16:R16" ca="1" si="0">SUM(D9:D15)</f>
        <v>3212.3571428571431</v>
      </c>
      <c r="E16" s="732">
        <f t="shared" ca="1" si="0"/>
        <v>612118.45011828584</v>
      </c>
      <c r="F16" s="732">
        <f t="shared" si="0"/>
        <v>25225.660471630268</v>
      </c>
      <c r="G16" s="732">
        <f t="shared" ca="1" si="0"/>
        <v>159992.82775039127</v>
      </c>
      <c r="H16" s="732">
        <f t="shared" si="0"/>
        <v>0</v>
      </c>
      <c r="I16" s="732">
        <f t="shared" si="0"/>
        <v>0</v>
      </c>
      <c r="J16" s="732">
        <f t="shared" si="0"/>
        <v>0</v>
      </c>
      <c r="K16" s="732">
        <f t="shared" si="0"/>
        <v>263.71991711281726</v>
      </c>
      <c r="L16" s="732">
        <f t="shared" si="0"/>
        <v>0</v>
      </c>
      <c r="M16" s="732">
        <f t="shared" ca="1" si="0"/>
        <v>0</v>
      </c>
      <c r="N16" s="732">
        <f t="shared" si="0"/>
        <v>0</v>
      </c>
      <c r="O16" s="732">
        <f t="shared" ca="1" si="0"/>
        <v>65310.975575441014</v>
      </c>
      <c r="P16" s="732">
        <f t="shared" si="0"/>
        <v>1023.9833333333333</v>
      </c>
      <c r="Q16" s="732">
        <f t="shared" si="0"/>
        <v>3222.2666666666664</v>
      </c>
      <c r="R16" s="732">
        <f t="shared" ca="1" si="0"/>
        <v>1269618.9054647884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17190.853582174113</v>
      </c>
      <c r="I19" s="1012">
        <f>transport!H54</f>
        <v>0</v>
      </c>
      <c r="J19" s="1012">
        <f>transport!I54</f>
        <v>0</v>
      </c>
      <c r="K19" s="1012">
        <f>transport!J54</f>
        <v>0</v>
      </c>
      <c r="L19" s="1012">
        <f>transport!K54</f>
        <v>0</v>
      </c>
      <c r="M19" s="1012">
        <f>transport!L54</f>
        <v>0</v>
      </c>
      <c r="N19" s="1012">
        <f>transport!M54</f>
        <v>533.22181904932722</v>
      </c>
      <c r="O19" s="1012">
        <f>transport!N54</f>
        <v>0</v>
      </c>
      <c r="P19" s="1012">
        <f>transport!O54</f>
        <v>0</v>
      </c>
      <c r="Q19" s="1013">
        <f>transport!P54</f>
        <v>0</v>
      </c>
      <c r="R19" s="700">
        <f>SUM(C19:Q19)</f>
        <v>17724.075401223439</v>
      </c>
      <c r="S19" s="67"/>
    </row>
    <row r="20" spans="1:19" s="473" customFormat="1">
      <c r="A20" s="809" t="s">
        <v>307</v>
      </c>
      <c r="B20" s="814"/>
      <c r="C20" s="1012">
        <f>transport!B14</f>
        <v>171.7366902804184</v>
      </c>
      <c r="D20" s="1012">
        <f>transport!C14</f>
        <v>0</v>
      </c>
      <c r="E20" s="1012">
        <f>transport!D14</f>
        <v>386.35880160255164</v>
      </c>
      <c r="F20" s="1012">
        <f>transport!E14</f>
        <v>1595.8473833557407</v>
      </c>
      <c r="G20" s="1012">
        <f>transport!F14</f>
        <v>0</v>
      </c>
      <c r="H20" s="1012">
        <f>transport!G14</f>
        <v>498249.83437763527</v>
      </c>
      <c r="I20" s="1012">
        <f>transport!H14</f>
        <v>105086.33084854498</v>
      </c>
      <c r="J20" s="1012">
        <f>transport!I14</f>
        <v>0</v>
      </c>
      <c r="K20" s="1012">
        <f>transport!J14</f>
        <v>0</v>
      </c>
      <c r="L20" s="1012">
        <f>transport!K14</f>
        <v>0</v>
      </c>
      <c r="M20" s="1012">
        <f>transport!L14</f>
        <v>0</v>
      </c>
      <c r="N20" s="1012">
        <f>transport!M14</f>
        <v>18846.140374090141</v>
      </c>
      <c r="O20" s="1012">
        <f>transport!N14</f>
        <v>0</v>
      </c>
      <c r="P20" s="1012">
        <f>transport!O14</f>
        <v>0</v>
      </c>
      <c r="Q20" s="1013">
        <f>transport!P14</f>
        <v>0</v>
      </c>
      <c r="R20" s="700">
        <f>SUM(C20:Q20)</f>
        <v>624336.24847550911</v>
      </c>
      <c r="S20" s="67"/>
    </row>
    <row r="21" spans="1:19" s="473" customFormat="1" ht="15" thickBot="1">
      <c r="A21" s="831" t="s">
        <v>849</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171.7366902804184</v>
      </c>
      <c r="D22" s="812">
        <f t="shared" ref="D22:R22" si="1">SUM(D18:D21)</f>
        <v>0</v>
      </c>
      <c r="E22" s="812">
        <f t="shared" si="1"/>
        <v>386.35880160255164</v>
      </c>
      <c r="F22" s="812">
        <f t="shared" si="1"/>
        <v>1595.8473833557407</v>
      </c>
      <c r="G22" s="812">
        <f t="shared" si="1"/>
        <v>0</v>
      </c>
      <c r="H22" s="812">
        <f t="shared" si="1"/>
        <v>515440.68795980938</v>
      </c>
      <c r="I22" s="812">
        <f t="shared" si="1"/>
        <v>105086.33084854498</v>
      </c>
      <c r="J22" s="812">
        <f t="shared" si="1"/>
        <v>0</v>
      </c>
      <c r="K22" s="812">
        <f t="shared" si="1"/>
        <v>0</v>
      </c>
      <c r="L22" s="812">
        <f t="shared" si="1"/>
        <v>0</v>
      </c>
      <c r="M22" s="812">
        <f t="shared" si="1"/>
        <v>0</v>
      </c>
      <c r="N22" s="812">
        <f t="shared" si="1"/>
        <v>19379.362193139466</v>
      </c>
      <c r="O22" s="812">
        <f t="shared" si="1"/>
        <v>0</v>
      </c>
      <c r="P22" s="812">
        <f t="shared" si="1"/>
        <v>0</v>
      </c>
      <c r="Q22" s="812">
        <f t="shared" si="1"/>
        <v>0</v>
      </c>
      <c r="R22" s="812">
        <f t="shared" si="1"/>
        <v>642060.32387673249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638</v>
      </c>
      <c r="B24" s="814"/>
      <c r="C24" s="1012">
        <f>+landbouw!B8</f>
        <v>1822.9190000000001</v>
      </c>
      <c r="D24" s="1012">
        <f>+landbouw!C8</f>
        <v>0</v>
      </c>
      <c r="E24" s="1012">
        <f>+landbouw!D8</f>
        <v>1703.7012080000002</v>
      </c>
      <c r="F24" s="1012">
        <f>+landbouw!E8</f>
        <v>47.006081810250777</v>
      </c>
      <c r="G24" s="1012">
        <f>+landbouw!F8</f>
        <v>6663.116103059604</v>
      </c>
      <c r="H24" s="1012">
        <f>+landbouw!G8</f>
        <v>0</v>
      </c>
      <c r="I24" s="1012">
        <f>+landbouw!H8</f>
        <v>0</v>
      </c>
      <c r="J24" s="1012">
        <f>+landbouw!I8</f>
        <v>0</v>
      </c>
      <c r="K24" s="1012">
        <f>+landbouw!J8</f>
        <v>262.43327690387315</v>
      </c>
      <c r="L24" s="1012">
        <f>+landbouw!K8</f>
        <v>0</v>
      </c>
      <c r="M24" s="1012">
        <f>+landbouw!L8</f>
        <v>0</v>
      </c>
      <c r="N24" s="1012">
        <f>+landbouw!M8</f>
        <v>0</v>
      </c>
      <c r="O24" s="1012">
        <f>+landbouw!N8</f>
        <v>0</v>
      </c>
      <c r="P24" s="1012">
        <f>+landbouw!O8</f>
        <v>0</v>
      </c>
      <c r="Q24" s="1013">
        <f>+landbouw!P8</f>
        <v>0</v>
      </c>
      <c r="R24" s="700">
        <f>SUM(C24:Q24)</f>
        <v>10499.175669773729</v>
      </c>
      <c r="S24" s="67"/>
    </row>
    <row r="25" spans="1:19" s="473" customFormat="1" ht="15" thickBot="1">
      <c r="A25" s="831" t="s">
        <v>850</v>
      </c>
      <c r="B25" s="1015"/>
      <c r="C25" s="1016">
        <f>IF(Onbekend_ele_kWh="---",0,Onbekend_ele_kWh)/1000+IF(REST_rest_ele_kWh="---",0,REST_rest_ele_kWh)/1000</f>
        <v>5838.049</v>
      </c>
      <c r="D25" s="1016"/>
      <c r="E25" s="1016">
        <f>IF(onbekend_gas_kWh="---",0,onbekend_gas_kWh)/1000+IF(REST_rest_gas_kWh="---",0,REST_rest_gas_kWh)/1000</f>
        <v>14210.207</v>
      </c>
      <c r="F25" s="1016"/>
      <c r="G25" s="1016"/>
      <c r="H25" s="1016"/>
      <c r="I25" s="1016"/>
      <c r="J25" s="1016"/>
      <c r="K25" s="1016"/>
      <c r="L25" s="1016"/>
      <c r="M25" s="1016"/>
      <c r="N25" s="1016"/>
      <c r="O25" s="1016"/>
      <c r="P25" s="1016"/>
      <c r="Q25" s="1017"/>
      <c r="R25" s="700">
        <f>SUM(C25:Q25)</f>
        <v>20048.256000000001</v>
      </c>
      <c r="S25" s="67"/>
    </row>
    <row r="26" spans="1:19" s="473" customFormat="1" ht="15.75" thickBot="1">
      <c r="A26" s="705" t="s">
        <v>851</v>
      </c>
      <c r="B26" s="817"/>
      <c r="C26" s="812">
        <f>SUM(C24:C25)</f>
        <v>7660.9679999999998</v>
      </c>
      <c r="D26" s="812">
        <f t="shared" ref="D26:R26" si="2">SUM(D24:D25)</f>
        <v>0</v>
      </c>
      <c r="E26" s="812">
        <f t="shared" si="2"/>
        <v>15913.908208000001</v>
      </c>
      <c r="F26" s="812">
        <f t="shared" si="2"/>
        <v>47.006081810250777</v>
      </c>
      <c r="G26" s="812">
        <f t="shared" si="2"/>
        <v>6663.116103059604</v>
      </c>
      <c r="H26" s="812">
        <f t="shared" si="2"/>
        <v>0</v>
      </c>
      <c r="I26" s="812">
        <f t="shared" si="2"/>
        <v>0</v>
      </c>
      <c r="J26" s="812">
        <f t="shared" si="2"/>
        <v>0</v>
      </c>
      <c r="K26" s="812">
        <f t="shared" si="2"/>
        <v>262.43327690387315</v>
      </c>
      <c r="L26" s="812">
        <f t="shared" si="2"/>
        <v>0</v>
      </c>
      <c r="M26" s="812">
        <f t="shared" si="2"/>
        <v>0</v>
      </c>
      <c r="N26" s="812">
        <f t="shared" si="2"/>
        <v>0</v>
      </c>
      <c r="O26" s="812">
        <f t="shared" si="2"/>
        <v>0</v>
      </c>
      <c r="P26" s="812">
        <f t="shared" si="2"/>
        <v>0</v>
      </c>
      <c r="Q26" s="812">
        <f t="shared" si="2"/>
        <v>0</v>
      </c>
      <c r="R26" s="812">
        <f t="shared" si="2"/>
        <v>30547.43166977373</v>
      </c>
      <c r="S26" s="67"/>
    </row>
    <row r="27" spans="1:19" s="473" customFormat="1" ht="17.25" thickTop="1" thickBot="1">
      <c r="A27" s="706" t="s">
        <v>116</v>
      </c>
      <c r="B27" s="805"/>
      <c r="C27" s="707">
        <f ca="1">C22+C16+C26</f>
        <v>407081.3691793505</v>
      </c>
      <c r="D27" s="707">
        <f t="shared" ref="D27:R27" ca="1" si="3">D22+D16+D26</f>
        <v>3212.3571428571431</v>
      </c>
      <c r="E27" s="707">
        <f t="shared" ca="1" si="3"/>
        <v>628418.71712788835</v>
      </c>
      <c r="F27" s="707">
        <f t="shared" si="3"/>
        <v>26868.513936796258</v>
      </c>
      <c r="G27" s="707">
        <f t="shared" ca="1" si="3"/>
        <v>166655.94385345088</v>
      </c>
      <c r="H27" s="707">
        <f t="shared" si="3"/>
        <v>515440.68795980938</v>
      </c>
      <c r="I27" s="707">
        <f t="shared" si="3"/>
        <v>105086.33084854498</v>
      </c>
      <c r="J27" s="707">
        <f t="shared" si="3"/>
        <v>0</v>
      </c>
      <c r="K27" s="707">
        <f t="shared" si="3"/>
        <v>526.15319401669035</v>
      </c>
      <c r="L27" s="707">
        <f t="shared" si="3"/>
        <v>0</v>
      </c>
      <c r="M27" s="707">
        <f t="shared" ca="1" si="3"/>
        <v>0</v>
      </c>
      <c r="N27" s="707">
        <f t="shared" si="3"/>
        <v>19379.362193139466</v>
      </c>
      <c r="O27" s="707">
        <f t="shared" ca="1" si="3"/>
        <v>65310.975575441014</v>
      </c>
      <c r="P27" s="707">
        <f t="shared" si="3"/>
        <v>1023.9833333333333</v>
      </c>
      <c r="Q27" s="707">
        <f t="shared" si="3"/>
        <v>3222.2666666666664</v>
      </c>
      <c r="R27" s="707">
        <f t="shared" ca="1" si="3"/>
        <v>1942226.6610112947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40529.394950203234</v>
      </c>
      <c r="D40" s="1012">
        <f ca="1">tertiair!C20</f>
        <v>687.02067226890779</v>
      </c>
      <c r="E40" s="1012">
        <f ca="1">tertiair!D20</f>
        <v>41759.463181326872</v>
      </c>
      <c r="F40" s="1012">
        <f>tertiair!E20</f>
        <v>820.28523657899893</v>
      </c>
      <c r="G40" s="1012">
        <f ca="1">tertiair!F20</f>
        <v>13207.827712934273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97003.991753312293</v>
      </c>
    </row>
    <row r="41" spans="1:18">
      <c r="A41" s="822" t="s">
        <v>225</v>
      </c>
      <c r="B41" s="829"/>
      <c r="C41" s="1012">
        <f ca="1">huishoudens!B12</f>
        <v>25292.731228328215</v>
      </c>
      <c r="D41" s="1012">
        <f ca="1">huishoudens!C12</f>
        <v>0</v>
      </c>
      <c r="E41" s="1012">
        <f>huishoudens!D12</f>
        <v>58982.578365612018</v>
      </c>
      <c r="F41" s="1012">
        <f>huishoudens!E12</f>
        <v>2843.4444489850771</v>
      </c>
      <c r="G41" s="1012">
        <f>huishoudens!F12</f>
        <v>20244.191436514673</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107362.94547943998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644</v>
      </c>
      <c r="B43" s="837" t="s">
        <v>641</v>
      </c>
      <c r="C43" s="1012">
        <f ca="1">industrie!B22</f>
        <v>13503.932904132078</v>
      </c>
      <c r="D43" s="1012">
        <f ca="1">industrie!C22</f>
        <v>76.386554621848759</v>
      </c>
      <c r="E43" s="1012">
        <f>industrie!D22</f>
        <v>22905.885376954862</v>
      </c>
      <c r="F43" s="1012">
        <f>industrie!E22</f>
        <v>2062.4952414959957</v>
      </c>
      <c r="G43" s="1012">
        <f>industrie!F22</f>
        <v>9266.0658599055278</v>
      </c>
      <c r="H43" s="1012">
        <f>industrie!G22</f>
        <v>0</v>
      </c>
      <c r="I43" s="1012">
        <f>industrie!H22</f>
        <v>0</v>
      </c>
      <c r="J43" s="1012">
        <f>industrie!I22</f>
        <v>0</v>
      </c>
      <c r="K43" s="1012">
        <f>industrie!J22</f>
        <v>93.356850657937301</v>
      </c>
      <c r="L43" s="1012">
        <f>industrie!K22</f>
        <v>0</v>
      </c>
      <c r="M43" s="1012">
        <f>industrie!L22</f>
        <v>0</v>
      </c>
      <c r="N43" s="1012">
        <f>industrie!M22</f>
        <v>0</v>
      </c>
      <c r="O43" s="1012">
        <f>industrie!N22</f>
        <v>0</v>
      </c>
      <c r="P43" s="1012">
        <f>industrie!O22</f>
        <v>0</v>
      </c>
      <c r="Q43" s="774">
        <f>industrie!P22</f>
        <v>0</v>
      </c>
      <c r="R43" s="849">
        <f t="shared" ca="1" si="4"/>
        <v>47908.122787768261</v>
      </c>
    </row>
    <row r="44" spans="1:18">
      <c r="A44" s="822"/>
      <c r="B44" s="829" t="s">
        <v>642</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848</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79326.059082663516</v>
      </c>
      <c r="D46" s="732">
        <f t="shared" ref="D46:Q46" ca="1" si="5">SUM(D39:D45)</f>
        <v>763.40722689075653</v>
      </c>
      <c r="E46" s="732">
        <f t="shared" ca="1" si="5"/>
        <v>123647.92692389374</v>
      </c>
      <c r="F46" s="732">
        <f t="shared" si="5"/>
        <v>5726.2249270600714</v>
      </c>
      <c r="G46" s="732">
        <f t="shared" ca="1" si="5"/>
        <v>42718.085009354472</v>
      </c>
      <c r="H46" s="732">
        <f t="shared" si="5"/>
        <v>0</v>
      </c>
      <c r="I46" s="732">
        <f t="shared" si="5"/>
        <v>0</v>
      </c>
      <c r="J46" s="732">
        <f t="shared" si="5"/>
        <v>0</v>
      </c>
      <c r="K46" s="732">
        <f t="shared" si="5"/>
        <v>93.356850657937301</v>
      </c>
      <c r="L46" s="732">
        <f t="shared" si="5"/>
        <v>0</v>
      </c>
      <c r="M46" s="732">
        <f t="shared" ca="1" si="5"/>
        <v>0</v>
      </c>
      <c r="N46" s="732">
        <f t="shared" si="5"/>
        <v>0</v>
      </c>
      <c r="O46" s="732">
        <f t="shared" ca="1" si="5"/>
        <v>0</v>
      </c>
      <c r="P46" s="732">
        <f t="shared" si="5"/>
        <v>0</v>
      </c>
      <c r="Q46" s="732">
        <f t="shared" si="5"/>
        <v>0</v>
      </c>
      <c r="R46" s="732">
        <f ca="1">SUM(R39:R45)</f>
        <v>252275.06002052053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4589.9579064404888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4589.9579064404888</v>
      </c>
    </row>
    <row r="50" spans="1:18">
      <c r="A50" s="825" t="s">
        <v>307</v>
      </c>
      <c r="B50" s="835"/>
      <c r="C50" s="703">
        <f ca="1">transport!B18</f>
        <v>34.122079925500934</v>
      </c>
      <c r="D50" s="703">
        <f>transport!C18</f>
        <v>0</v>
      </c>
      <c r="E50" s="703">
        <f>transport!D18</f>
        <v>78.044477923715434</v>
      </c>
      <c r="F50" s="703">
        <f>transport!E18</f>
        <v>362.25735602175314</v>
      </c>
      <c r="G50" s="703">
        <f>transport!F18</f>
        <v>0</v>
      </c>
      <c r="H50" s="703">
        <f>transport!G18</f>
        <v>133032.70577882862</v>
      </c>
      <c r="I50" s="703">
        <f>transport!H18</f>
        <v>26166.496381287699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159673.62607398728</v>
      </c>
    </row>
    <row r="51" spans="1:18" ht="15" thickBot="1">
      <c r="A51" s="822" t="s">
        <v>849</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34.122079925500934</v>
      </c>
      <c r="D52" s="732">
        <f t="shared" ref="D52:Q52" ca="1" si="6">SUM(D48:D51)</f>
        <v>0</v>
      </c>
      <c r="E52" s="732">
        <f t="shared" si="6"/>
        <v>78.044477923715434</v>
      </c>
      <c r="F52" s="732">
        <f t="shared" si="6"/>
        <v>362.25735602175314</v>
      </c>
      <c r="G52" s="732">
        <f t="shared" si="6"/>
        <v>0</v>
      </c>
      <c r="H52" s="732">
        <f t="shared" si="6"/>
        <v>137622.6636852691</v>
      </c>
      <c r="I52" s="732">
        <f t="shared" si="6"/>
        <v>26166.496381287699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164263.58398042776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638</v>
      </c>
      <c r="B54" s="835"/>
      <c r="C54" s="703">
        <f ca="1">+landbouw!B12</f>
        <v>362.19277146979323</v>
      </c>
      <c r="D54" s="703">
        <f ca="1">+landbouw!C12</f>
        <v>0</v>
      </c>
      <c r="E54" s="703">
        <f>+landbouw!D12</f>
        <v>344.14764401600007</v>
      </c>
      <c r="F54" s="703">
        <f>+landbouw!E12</f>
        <v>10.670380570926927</v>
      </c>
      <c r="G54" s="703">
        <f>+landbouw!F12</f>
        <v>1779.0519995169143</v>
      </c>
      <c r="H54" s="703">
        <f>+landbouw!G12</f>
        <v>0</v>
      </c>
      <c r="I54" s="703">
        <f>+landbouw!H12</f>
        <v>0</v>
      </c>
      <c r="J54" s="703">
        <f>+landbouw!I12</f>
        <v>0</v>
      </c>
      <c r="K54" s="703">
        <f>+landbouw!J12</f>
        <v>92.901380023971086</v>
      </c>
      <c r="L54" s="703">
        <f>+landbouw!K12</f>
        <v>0</v>
      </c>
      <c r="M54" s="703">
        <f>+landbouw!L12</f>
        <v>0</v>
      </c>
      <c r="N54" s="703">
        <f>+landbouw!M12</f>
        <v>0</v>
      </c>
      <c r="O54" s="703">
        <f>+landbouw!N12</f>
        <v>0</v>
      </c>
      <c r="P54" s="703">
        <f>+landbouw!O12</f>
        <v>0</v>
      </c>
      <c r="Q54" s="704">
        <f>+landbouw!P12</f>
        <v>0</v>
      </c>
      <c r="R54" s="731">
        <f ca="1">SUM(C54:Q54)</f>
        <v>2588.9641755976054</v>
      </c>
    </row>
    <row r="55" spans="1:18" ht="15" thickBot="1">
      <c r="A55" s="825" t="s">
        <v>850</v>
      </c>
      <c r="B55" s="835"/>
      <c r="C55" s="703">
        <f ca="1">C25*'EF ele_warmte'!B12</f>
        <v>1159.9523332010117</v>
      </c>
      <c r="D55" s="703"/>
      <c r="E55" s="703">
        <f>E25*EF_CO2_aardgas</f>
        <v>2870.4618140000002</v>
      </c>
      <c r="F55" s="703"/>
      <c r="G55" s="703"/>
      <c r="H55" s="703"/>
      <c r="I55" s="703"/>
      <c r="J55" s="703"/>
      <c r="K55" s="703"/>
      <c r="L55" s="703"/>
      <c r="M55" s="703"/>
      <c r="N55" s="703"/>
      <c r="O55" s="703"/>
      <c r="P55" s="703"/>
      <c r="Q55" s="704"/>
      <c r="R55" s="731">
        <f ca="1">SUM(C55:Q55)</f>
        <v>4030.4141472010119</v>
      </c>
    </row>
    <row r="56" spans="1:18" ht="15.75" thickBot="1">
      <c r="A56" s="823" t="s">
        <v>851</v>
      </c>
      <c r="B56" s="836"/>
      <c r="C56" s="732">
        <f ca="1">SUM(C54:C55)</f>
        <v>1522.1451046708048</v>
      </c>
      <c r="D56" s="732">
        <f t="shared" ref="D56:Q56" ca="1" si="7">SUM(D54:D55)</f>
        <v>0</v>
      </c>
      <c r="E56" s="732">
        <f t="shared" si="7"/>
        <v>3214.6094580160002</v>
      </c>
      <c r="F56" s="732">
        <f t="shared" si="7"/>
        <v>10.670380570926927</v>
      </c>
      <c r="G56" s="732">
        <f t="shared" si="7"/>
        <v>1779.0519995169143</v>
      </c>
      <c r="H56" s="732">
        <f t="shared" si="7"/>
        <v>0</v>
      </c>
      <c r="I56" s="732">
        <f t="shared" si="7"/>
        <v>0</v>
      </c>
      <c r="J56" s="732">
        <f t="shared" si="7"/>
        <v>0</v>
      </c>
      <c r="K56" s="732">
        <f t="shared" si="7"/>
        <v>92.901380023971086</v>
      </c>
      <c r="L56" s="732">
        <f t="shared" si="7"/>
        <v>0</v>
      </c>
      <c r="M56" s="732">
        <f t="shared" si="7"/>
        <v>0</v>
      </c>
      <c r="N56" s="732">
        <f t="shared" si="7"/>
        <v>0</v>
      </c>
      <c r="O56" s="732">
        <f t="shared" si="7"/>
        <v>0</v>
      </c>
      <c r="P56" s="732">
        <f t="shared" si="7"/>
        <v>0</v>
      </c>
      <c r="Q56" s="733">
        <f t="shared" si="7"/>
        <v>0</v>
      </c>
      <c r="R56" s="734">
        <f ca="1">SUM(R54:R55)</f>
        <v>6619.3783227986169</v>
      </c>
    </row>
    <row r="57" spans="1:18" ht="15.75">
      <c r="A57" s="804" t="s">
        <v>639</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80882.326267259821</v>
      </c>
      <c r="D61" s="740">
        <f t="shared" ref="D61:Q61" ca="1" si="8">D46+D52+D56</f>
        <v>763.40722689075653</v>
      </c>
      <c r="E61" s="740">
        <f t="shared" ca="1" si="8"/>
        <v>126940.58085983346</v>
      </c>
      <c r="F61" s="740">
        <f t="shared" si="8"/>
        <v>6099.1526636527515</v>
      </c>
      <c r="G61" s="740">
        <f t="shared" ca="1" si="8"/>
        <v>44497.137008871388</v>
      </c>
      <c r="H61" s="740">
        <f t="shared" si="8"/>
        <v>137622.6636852691</v>
      </c>
      <c r="I61" s="740">
        <f t="shared" si="8"/>
        <v>26166.496381287699</v>
      </c>
      <c r="J61" s="740">
        <f t="shared" si="8"/>
        <v>0</v>
      </c>
      <c r="K61" s="740">
        <f t="shared" si="8"/>
        <v>186.2582306819084</v>
      </c>
      <c r="L61" s="740">
        <f t="shared" si="8"/>
        <v>0</v>
      </c>
      <c r="M61" s="740">
        <f t="shared" ca="1" si="8"/>
        <v>0</v>
      </c>
      <c r="N61" s="740">
        <f t="shared" si="8"/>
        <v>0</v>
      </c>
      <c r="O61" s="740">
        <f t="shared" ca="1" si="8"/>
        <v>0</v>
      </c>
      <c r="P61" s="740">
        <f t="shared" si="8"/>
        <v>0</v>
      </c>
      <c r="Q61" s="740">
        <f t="shared" si="8"/>
        <v>0</v>
      </c>
      <c r="R61" s="740">
        <f ca="1">R46+R52+R56</f>
        <v>423158.02232374693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0.19868835174233918</v>
      </c>
      <c r="D63" s="781">
        <f t="shared" ca="1" si="9"/>
        <v>0.23764705882352946</v>
      </c>
      <c r="E63" s="1023">
        <f t="shared" ca="1" si="9"/>
        <v>0.20200000000000001</v>
      </c>
      <c r="F63" s="781">
        <f t="shared" si="9"/>
        <v>0.22700000000000004</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647</v>
      </c>
      <c r="Q69" s="1129" t="s">
        <v>646</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645</v>
      </c>
      <c r="C71" s="1000" t="s">
        <v>852</v>
      </c>
      <c r="D71" s="1026" t="s">
        <v>199</v>
      </c>
      <c r="E71" s="1027" t="s">
        <v>200</v>
      </c>
      <c r="F71" s="995" t="s">
        <v>201</v>
      </c>
      <c r="G71" s="992" t="s">
        <v>203</v>
      </c>
      <c r="H71" s="1028" t="s">
        <v>204</v>
      </c>
      <c r="I71" s="996"/>
      <c r="J71" s="996"/>
      <c r="K71" s="996"/>
      <c r="L71" s="996"/>
      <c r="M71" s="993"/>
      <c r="N71" s="996"/>
      <c r="O71" s="1001"/>
      <c r="P71" s="1029"/>
      <c r="Q71" s="1003" t="s">
        <v>648</v>
      </c>
      <c r="R71" s="1001" t="s">
        <v>649</v>
      </c>
    </row>
    <row r="72" spans="1:18" ht="15.75" thickTop="1">
      <c r="A72" s="750" t="s">
        <v>249</v>
      </c>
      <c r="B72" s="843">
        <f>'lokale energieproductie'!B4</f>
        <v>15169.121137191971</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24860.753207605158</v>
      </c>
      <c r="C74" s="1120"/>
      <c r="D74" s="1120"/>
      <c r="E74" s="1098"/>
      <c r="F74" s="1098"/>
      <c r="G74" s="1114"/>
      <c r="H74" s="1117"/>
      <c r="I74" s="1120"/>
      <c r="J74" s="999"/>
      <c r="K74" s="1098"/>
      <c r="L74" s="1098"/>
      <c r="M74" s="1098"/>
      <c r="N74" s="1098"/>
      <c r="O74" s="1101"/>
      <c r="P74" s="852">
        <v>0</v>
      </c>
      <c r="Q74" s="858"/>
      <c r="R74" s="852">
        <v>0</v>
      </c>
    </row>
    <row r="75" spans="1:18" ht="15.75" thickBot="1">
      <c r="A75" s="751" t="s">
        <v>853</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2248.65</v>
      </c>
      <c r="D76" s="1033">
        <f>'lokale energieproductie'!C8</f>
        <v>2645.4705882352951</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534.38505882352968</v>
      </c>
      <c r="R76" s="852">
        <v>0</v>
      </c>
    </row>
    <row r="77" spans="1:18" ht="30.75" thickBot="1">
      <c r="A77" s="753" t="s">
        <v>353</v>
      </c>
      <c r="B77" s="750">
        <f>'lokale energieproductie'!B9*IFERROR(SUM(I77:O77)/SUM(D77:O77),0)</f>
        <v>1237.5</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3535.7142857142858</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41267.374344797128</v>
      </c>
      <c r="C78" s="755">
        <f>SUM(C72:C77)</f>
        <v>2248.65</v>
      </c>
      <c r="D78" s="756">
        <f t="shared" ref="D78:H78" si="10">SUM(D76:D77)</f>
        <v>2645.4705882352951</v>
      </c>
      <c r="E78" s="756">
        <f t="shared" si="10"/>
        <v>0</v>
      </c>
      <c r="F78" s="756">
        <f t="shared" si="10"/>
        <v>0</v>
      </c>
      <c r="G78" s="756">
        <f t="shared" si="10"/>
        <v>0</v>
      </c>
      <c r="H78" s="756">
        <f t="shared" si="10"/>
        <v>0</v>
      </c>
      <c r="I78" s="756">
        <f>SUM(I76:I77)</f>
        <v>0</v>
      </c>
      <c r="J78" s="756">
        <f>SUM(J76:J77)</f>
        <v>3535.7142857142858</v>
      </c>
      <c r="K78" s="756">
        <f t="shared" ref="K78:L78" si="11">SUM(K76:K77)</f>
        <v>0</v>
      </c>
      <c r="L78" s="756">
        <f t="shared" si="11"/>
        <v>0</v>
      </c>
      <c r="M78" s="756">
        <f>SUM(M76:M77)</f>
        <v>0</v>
      </c>
      <c r="N78" s="756">
        <f>SUM(N76:N77)</f>
        <v>0</v>
      </c>
      <c r="O78" s="860">
        <f>SUM(O76:O77)</f>
        <v>0</v>
      </c>
      <c r="P78" s="757">
        <v>0</v>
      </c>
      <c r="Q78" s="757">
        <f>SUM(Q76:Q77)</f>
        <v>534.38505882352968</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647</v>
      </c>
      <c r="Q84" s="1082" t="s">
        <v>646</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645</v>
      </c>
      <c r="C86" s="844" t="s">
        <v>852</v>
      </c>
      <c r="D86" s="1003" t="s">
        <v>199</v>
      </c>
      <c r="E86" s="996" t="s">
        <v>200</v>
      </c>
      <c r="F86" s="994" t="s">
        <v>201</v>
      </c>
      <c r="G86" s="996" t="s">
        <v>203</v>
      </c>
      <c r="H86" s="764" t="s">
        <v>204</v>
      </c>
      <c r="I86" s="1088"/>
      <c r="J86" s="1090"/>
      <c r="K86" s="1092"/>
      <c r="L86" s="1092"/>
      <c r="M86" s="1094"/>
      <c r="N86" s="1092"/>
      <c r="O86" s="1096"/>
      <c r="P86" s="1029"/>
      <c r="Q86" s="1003" t="s">
        <v>648</v>
      </c>
      <c r="R86" s="1001" t="s">
        <v>649</v>
      </c>
    </row>
    <row r="87" spans="1:19" ht="15.75" thickTop="1">
      <c r="A87" s="765" t="s">
        <v>252</v>
      </c>
      <c r="B87" s="766">
        <f>'lokale energieproductie'!B17*IFERROR(SUM(I87:O87)/SUM(D87:O87),0)</f>
        <v>0</v>
      </c>
      <c r="C87" s="766">
        <f>'lokale energieproductie'!B17*IFERROR(SUM(D87:H87)/SUM(D87:O87),0)</f>
        <v>3212.3571428571431</v>
      </c>
      <c r="D87" s="777">
        <f>'lokale energieproductie'!C17</f>
        <v>3779.2436974789925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763.40722689075653</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3212.3571428571431</v>
      </c>
      <c r="D90" s="755">
        <f t="shared" ref="D90:H90" si="12">SUM(D87:D89)</f>
        <v>3779.2436974789925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763.40722689075653</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855</v>
      </c>
      <c r="N2" s="1262" t="s">
        <v>856</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15169.121137191971</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24860.753207605158</v>
      </c>
      <c r="C6" s="1265"/>
      <c r="D6" s="1268"/>
      <c r="E6" s="1268"/>
      <c r="F6" s="1271"/>
      <c r="G6" s="1274"/>
      <c r="H6" s="1277"/>
      <c r="I6" s="1268"/>
      <c r="J6" s="1268"/>
      <c r="K6" s="1268"/>
      <c r="L6" s="1268"/>
      <c r="M6" s="1268"/>
      <c r="N6" s="1040"/>
      <c r="O6" s="568"/>
      <c r="P6" s="1258"/>
      <c r="Q6" s="1259"/>
      <c r="S6" s="1007"/>
      <c r="T6" s="1237"/>
      <c r="U6" s="1237"/>
    </row>
    <row r="7" spans="1:21" s="559" customFormat="1">
      <c r="A7" s="567" t="s">
        <v>853</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2248.65</v>
      </c>
      <c r="C8" s="570">
        <f>B101</f>
        <v>2645.4705882352951</v>
      </c>
      <c r="D8" s="1043"/>
      <c r="E8" s="1043">
        <f>E101</f>
        <v>0</v>
      </c>
      <c r="F8" s="1044"/>
      <c r="G8" s="571"/>
      <c r="H8" s="1043">
        <f>I101</f>
        <v>0</v>
      </c>
      <c r="I8" s="1043">
        <f>G101+F101</f>
        <v>0</v>
      </c>
      <c r="J8" s="1043">
        <f>H101+D101+C101</f>
        <v>0</v>
      </c>
      <c r="K8" s="1043"/>
      <c r="L8" s="1043"/>
      <c r="M8" s="1043"/>
      <c r="N8" s="572"/>
      <c r="O8" s="573">
        <f>C8*$C$12+D8*$D$12+E8*$E$12+F8*$F$12+G8*$G$12+H8*$H$12+I8*$I$12+J8*$J$12</f>
        <v>534.38505882352968</v>
      </c>
      <c r="P8" s="1258"/>
      <c r="Q8" s="1259"/>
      <c r="S8" s="1007"/>
      <c r="T8" s="1237"/>
      <c r="U8" s="1237"/>
    </row>
    <row r="9" spans="1:21" s="559" customFormat="1" ht="17.45" customHeight="1" thickBot="1">
      <c r="A9" s="574" t="s">
        <v>248</v>
      </c>
      <c r="B9" s="575">
        <f>N89+'Eigen informatie GS &amp; warmtenet'!B12</f>
        <v>1237.5</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43516.02434479713</v>
      </c>
      <c r="C10" s="583">
        <f t="shared" ref="C10:L10" si="0">SUM(C8:C9)</f>
        <v>2645.4705882352951</v>
      </c>
      <c r="D10" s="583">
        <f t="shared" si="0"/>
        <v>0</v>
      </c>
      <c r="E10" s="583">
        <f t="shared" si="0"/>
        <v>0</v>
      </c>
      <c r="F10" s="583">
        <f t="shared" si="0"/>
        <v>0</v>
      </c>
      <c r="G10" s="583">
        <f t="shared" si="0"/>
        <v>0</v>
      </c>
      <c r="H10" s="583">
        <f t="shared" si="0"/>
        <v>0</v>
      </c>
      <c r="I10" s="583">
        <f t="shared" si="0"/>
        <v>0</v>
      </c>
      <c r="J10" s="583">
        <f t="shared" si="0"/>
        <v>3535.7142857142858</v>
      </c>
      <c r="K10" s="583">
        <f t="shared" si="0"/>
        <v>0</v>
      </c>
      <c r="L10" s="583">
        <f t="shared" si="0"/>
        <v>0</v>
      </c>
      <c r="M10" s="1046"/>
      <c r="N10" s="1046"/>
      <c r="O10" s="584">
        <f>SUM(O4:O9)</f>
        <v>534.38505882352968</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855</v>
      </c>
      <c r="N15" s="1262" t="s">
        <v>856</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3212.3571428571431</v>
      </c>
      <c r="C17" s="595">
        <f>B102</f>
        <v>3779.2436974789925</v>
      </c>
      <c r="D17" s="596"/>
      <c r="E17" s="596">
        <f>E102</f>
        <v>0</v>
      </c>
      <c r="F17" s="1049"/>
      <c r="G17" s="597"/>
      <c r="H17" s="595">
        <f>I102</f>
        <v>0</v>
      </c>
      <c r="I17" s="596">
        <f>G102+F102</f>
        <v>0</v>
      </c>
      <c r="J17" s="596">
        <f>H102+D102+C102</f>
        <v>0</v>
      </c>
      <c r="K17" s="596"/>
      <c r="L17" s="596"/>
      <c r="M17" s="596"/>
      <c r="N17" s="1050"/>
      <c r="O17" s="598">
        <f>C17*$C$22+E17*$E$22+H17*$H$22+I17*$I$22+J17*$J$22+D17*$D$22+F17*$F$22+G17*$G$22+K17*$K$22+L17*$L$22</f>
        <v>763.40722689075653</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3212.3571428571431</v>
      </c>
      <c r="C20" s="582">
        <f>SUM(C17:C19)</f>
        <v>3779.2436974789925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763.40722689075653</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71022</v>
      </c>
      <c r="C28" s="796">
        <v>3500</v>
      </c>
      <c r="D28" s="653" t="s">
        <v>890</v>
      </c>
      <c r="E28" s="652" t="s">
        <v>891</v>
      </c>
      <c r="F28" s="652" t="s">
        <v>892</v>
      </c>
      <c r="G28" s="652" t="s">
        <v>893</v>
      </c>
      <c r="H28" s="652" t="s">
        <v>894</v>
      </c>
      <c r="I28" s="652" t="s">
        <v>891</v>
      </c>
      <c r="J28" s="795">
        <v>39365</v>
      </c>
      <c r="K28" s="795">
        <v>39471</v>
      </c>
      <c r="L28" s="652" t="s">
        <v>895</v>
      </c>
      <c r="M28" s="652">
        <v>220</v>
      </c>
      <c r="N28" s="652">
        <v>990</v>
      </c>
      <c r="O28" s="652">
        <v>1414.2857142857142</v>
      </c>
      <c r="P28" s="652">
        <v>2828.5714285714289</v>
      </c>
      <c r="Q28" s="652">
        <v>0</v>
      </c>
      <c r="R28" s="652">
        <v>0</v>
      </c>
      <c r="S28" s="652">
        <v>0</v>
      </c>
      <c r="T28" s="652">
        <v>0</v>
      </c>
      <c r="U28" s="652">
        <v>0</v>
      </c>
      <c r="V28" s="652">
        <v>0</v>
      </c>
      <c r="W28" s="652">
        <v>0</v>
      </c>
      <c r="X28" s="652">
        <v>1500</v>
      </c>
      <c r="Y28" s="652" t="s">
        <v>51</v>
      </c>
      <c r="Z28" s="654" t="s">
        <v>156</v>
      </c>
    </row>
    <row r="29" spans="1:26" s="606" customFormat="1" ht="63.75">
      <c r="A29" s="605"/>
      <c r="B29" s="796">
        <v>71022</v>
      </c>
      <c r="C29" s="796">
        <v>3500</v>
      </c>
      <c r="D29" s="653" t="s">
        <v>896</v>
      </c>
      <c r="E29" s="652" t="s">
        <v>897</v>
      </c>
      <c r="F29" s="652" t="s">
        <v>898</v>
      </c>
      <c r="G29" s="652" t="s">
        <v>893</v>
      </c>
      <c r="H29" s="652" t="s">
        <v>894</v>
      </c>
      <c r="I29" s="652" t="s">
        <v>897</v>
      </c>
      <c r="J29" s="795">
        <v>39310</v>
      </c>
      <c r="K29" s="795">
        <v>39508</v>
      </c>
      <c r="L29" s="652" t="s">
        <v>895</v>
      </c>
      <c r="M29" s="652">
        <v>4.7</v>
      </c>
      <c r="N29" s="652">
        <v>21.150000000000002</v>
      </c>
      <c r="O29" s="652">
        <v>30.214285714285719</v>
      </c>
      <c r="P29" s="652">
        <v>60.428571428571438</v>
      </c>
      <c r="Q29" s="652">
        <v>0</v>
      </c>
      <c r="R29" s="652">
        <v>0</v>
      </c>
      <c r="S29" s="652">
        <v>0</v>
      </c>
      <c r="T29" s="652">
        <v>0</v>
      </c>
      <c r="U29" s="652">
        <v>0</v>
      </c>
      <c r="V29" s="652">
        <v>0</v>
      </c>
      <c r="W29" s="652">
        <v>0</v>
      </c>
      <c r="X29" s="652">
        <v>1600</v>
      </c>
      <c r="Y29" s="652" t="s">
        <v>50</v>
      </c>
      <c r="Z29" s="654" t="s">
        <v>156</v>
      </c>
    </row>
    <row r="30" spans="1:26" s="606" customFormat="1" ht="38.25">
      <c r="A30" s="605"/>
      <c r="B30" s="796">
        <v>71022</v>
      </c>
      <c r="C30" s="796">
        <v>3511</v>
      </c>
      <c r="D30" s="653" t="s">
        <v>899</v>
      </c>
      <c r="E30" s="652" t="s">
        <v>900</v>
      </c>
      <c r="F30" s="652" t="s">
        <v>901</v>
      </c>
      <c r="G30" s="652" t="s">
        <v>893</v>
      </c>
      <c r="H30" s="652" t="s">
        <v>894</v>
      </c>
      <c r="I30" s="652" t="s">
        <v>900</v>
      </c>
      <c r="J30" s="795">
        <v>40424</v>
      </c>
      <c r="K30" s="795">
        <v>40725</v>
      </c>
      <c r="L30" s="652" t="s">
        <v>895</v>
      </c>
      <c r="M30" s="652">
        <v>50</v>
      </c>
      <c r="N30" s="652">
        <v>225</v>
      </c>
      <c r="O30" s="652">
        <v>321.42857142857144</v>
      </c>
      <c r="P30" s="652">
        <v>642.85714285714289</v>
      </c>
      <c r="Q30" s="652">
        <v>0</v>
      </c>
      <c r="R30" s="652">
        <v>0</v>
      </c>
      <c r="S30" s="652">
        <v>0</v>
      </c>
      <c r="T30" s="652">
        <v>0</v>
      </c>
      <c r="U30" s="652">
        <v>0</v>
      </c>
      <c r="V30" s="652">
        <v>0</v>
      </c>
      <c r="W30" s="652">
        <v>0</v>
      </c>
      <c r="X30" s="652">
        <v>800</v>
      </c>
      <c r="Y30" s="652" t="s">
        <v>36</v>
      </c>
      <c r="Z30" s="654" t="s">
        <v>389</v>
      </c>
    </row>
    <row r="31" spans="1:26" s="606" customFormat="1" ht="51">
      <c r="A31" s="605"/>
      <c r="B31" s="796">
        <v>71022</v>
      </c>
      <c r="C31" s="796">
        <v>3500</v>
      </c>
      <c r="D31" s="653" t="s">
        <v>902</v>
      </c>
      <c r="E31" s="652" t="s">
        <v>903</v>
      </c>
      <c r="F31" s="652" t="s">
        <v>904</v>
      </c>
      <c r="G31" s="652" t="s">
        <v>893</v>
      </c>
      <c r="H31" s="652" t="s">
        <v>894</v>
      </c>
      <c r="I31" s="652" t="s">
        <v>903</v>
      </c>
      <c r="J31" s="795">
        <v>40904</v>
      </c>
      <c r="K31" s="795">
        <v>40904</v>
      </c>
      <c r="L31" s="652" t="s">
        <v>895</v>
      </c>
      <c r="M31" s="652">
        <v>220</v>
      </c>
      <c r="N31" s="652">
        <v>990</v>
      </c>
      <c r="O31" s="652">
        <v>1414.2857142857142</v>
      </c>
      <c r="P31" s="652">
        <v>2828.5714285714289</v>
      </c>
      <c r="Q31" s="652">
        <v>0</v>
      </c>
      <c r="R31" s="652">
        <v>0</v>
      </c>
      <c r="S31" s="652">
        <v>0</v>
      </c>
      <c r="T31" s="652">
        <v>0</v>
      </c>
      <c r="U31" s="652">
        <v>0</v>
      </c>
      <c r="V31" s="652">
        <v>0</v>
      </c>
      <c r="W31" s="652">
        <v>0</v>
      </c>
      <c r="X31" s="652">
        <v>1500</v>
      </c>
      <c r="Y31" s="652" t="s">
        <v>51</v>
      </c>
      <c r="Z31" s="654" t="s">
        <v>156</v>
      </c>
    </row>
    <row r="32" spans="1:26" s="606" customFormat="1" ht="25.5">
      <c r="A32" s="605"/>
      <c r="B32" s="796">
        <v>71022</v>
      </c>
      <c r="C32" s="796">
        <v>3511</v>
      </c>
      <c r="D32" s="653" t="s">
        <v>905</v>
      </c>
      <c r="E32" s="652" t="s">
        <v>906</v>
      </c>
      <c r="F32" s="652" t="s">
        <v>907</v>
      </c>
      <c r="G32" s="652" t="s">
        <v>893</v>
      </c>
      <c r="H32" s="652" t="s">
        <v>894</v>
      </c>
      <c r="I32" s="652" t="s">
        <v>908</v>
      </c>
      <c r="J32" s="795">
        <v>41907</v>
      </c>
      <c r="K32" s="795">
        <v>41907</v>
      </c>
      <c r="L32" s="652" t="s">
        <v>895</v>
      </c>
      <c r="M32" s="652">
        <v>5</v>
      </c>
      <c r="N32" s="652">
        <v>22.5</v>
      </c>
      <c r="O32" s="652">
        <v>32.142857142857146</v>
      </c>
      <c r="P32" s="652">
        <v>64.285714285714292</v>
      </c>
      <c r="Q32" s="652">
        <v>0</v>
      </c>
      <c r="R32" s="652">
        <v>0</v>
      </c>
      <c r="S32" s="652">
        <v>0</v>
      </c>
      <c r="T32" s="652">
        <v>0</v>
      </c>
      <c r="U32" s="652">
        <v>0</v>
      </c>
      <c r="V32" s="652">
        <v>0</v>
      </c>
      <c r="W32" s="652">
        <v>0</v>
      </c>
      <c r="X32" s="652">
        <v>1300</v>
      </c>
      <c r="Y32" s="652" t="s">
        <v>54</v>
      </c>
      <c r="Z32" s="654" t="s">
        <v>156</v>
      </c>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499.7</v>
      </c>
      <c r="N58" s="610">
        <f>SUM(N28:N57)</f>
        <v>2248.65</v>
      </c>
      <c r="O58" s="610">
        <f t="shared" ref="O58:W58" si="2">SUM(O28:O57)</f>
        <v>3212.3571428571431</v>
      </c>
      <c r="P58" s="610">
        <f t="shared" si="2"/>
        <v>6424.7142857142871</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50</v>
      </c>
      <c r="N59" s="610">
        <f t="shared" si="3"/>
        <v>225</v>
      </c>
      <c r="O59" s="610">
        <f t="shared" si="3"/>
        <v>321.42857142857144</v>
      </c>
      <c r="P59" s="610">
        <f t="shared" si="3"/>
        <v>642.85714285714289</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449.7</v>
      </c>
      <c r="N60" s="610">
        <f ca="1">SUMIF($Z$28:AD57,"tertiair",N28:N57)</f>
        <v>2023.65</v>
      </c>
      <c r="O60" s="610">
        <f ca="1">SUMIF($Z$28:AE57,"tertiair",O28:O57)</f>
        <v>2890.9285714285716</v>
      </c>
      <c r="P60" s="610">
        <f ca="1">SUMIF($Z$28:AF57,"tertiair",P28:P57)</f>
        <v>5781.857142857144</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71022</v>
      </c>
      <c r="C64" s="796">
        <v>3511</v>
      </c>
      <c r="D64" s="655" t="s">
        <v>909</v>
      </c>
      <c r="E64" s="655" t="s">
        <v>910</v>
      </c>
      <c r="F64" s="655" t="s">
        <v>911</v>
      </c>
      <c r="G64" s="655" t="s">
        <v>912</v>
      </c>
      <c r="H64" s="655" t="s">
        <v>913</v>
      </c>
      <c r="I64" s="655" t="s">
        <v>914</v>
      </c>
      <c r="J64" s="795">
        <v>32143</v>
      </c>
      <c r="K64" s="795">
        <v>37316</v>
      </c>
      <c r="L64" s="655" t="s">
        <v>895</v>
      </c>
      <c r="M64" s="655">
        <v>275</v>
      </c>
      <c r="N64" s="655">
        <v>1237.5</v>
      </c>
      <c r="O64" s="655">
        <v>0</v>
      </c>
      <c r="P64" s="655">
        <v>0</v>
      </c>
      <c r="Q64" s="655">
        <v>3535.7142857142858</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275</v>
      </c>
      <c r="N89" s="610">
        <f t="shared" ref="N89:W89" si="5">SUM(N64:N88)</f>
        <v>1237.5</v>
      </c>
      <c r="O89" s="610">
        <f t="shared" si="5"/>
        <v>0</v>
      </c>
      <c r="P89" s="610">
        <f t="shared" si="5"/>
        <v>0</v>
      </c>
      <c r="Q89" s="610">
        <f t="shared" si="5"/>
        <v>3535.7142857142858</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275</v>
      </c>
      <c r="N91" s="610">
        <f t="shared" si="7"/>
        <v>1237.5</v>
      </c>
      <c r="O91" s="610">
        <f t="shared" si="7"/>
        <v>0</v>
      </c>
      <c r="P91" s="610">
        <f t="shared" si="7"/>
        <v>0</v>
      </c>
      <c r="Q91" s="610">
        <f t="shared" si="7"/>
        <v>3535.7142857142858</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2645.4705882352951</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3779.2436974789925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665</v>
      </c>
      <c r="B2" s="376" t="s">
        <v>726</v>
      </c>
      <c r="C2" s="373" t="s">
        <v>193</v>
      </c>
      <c r="D2" s="373" t="s">
        <v>750</v>
      </c>
      <c r="E2" s="374"/>
      <c r="F2" s="899" t="s">
        <v>755</v>
      </c>
      <c r="G2" s="899" t="s">
        <v>754</v>
      </c>
      <c r="H2" s="899" t="s">
        <v>756</v>
      </c>
    </row>
    <row r="3" spans="1:8" s="11" customFormat="1">
      <c r="A3" s="373" t="s">
        <v>757</v>
      </c>
      <c r="B3" s="934" t="s">
        <v>760</v>
      </c>
      <c r="C3" s="373" t="s">
        <v>759</v>
      </c>
      <c r="D3" s="373" t="s">
        <v>761</v>
      </c>
      <c r="E3" s="374"/>
      <c r="F3" s="371" t="s">
        <v>764</v>
      </c>
      <c r="G3" s="371" t="s">
        <v>772</v>
      </c>
      <c r="H3" s="372" t="s">
        <v>773</v>
      </c>
    </row>
    <row r="4" spans="1:8" s="11" customFormat="1">
      <c r="A4" s="373" t="s">
        <v>719</v>
      </c>
      <c r="B4" s="934" t="s">
        <v>726</v>
      </c>
      <c r="C4" s="373" t="s">
        <v>193</v>
      </c>
      <c r="D4" s="935" t="s">
        <v>758</v>
      </c>
      <c r="E4" s="374"/>
      <c r="F4" s="899" t="s">
        <v>755</v>
      </c>
      <c r="G4" s="899" t="s">
        <v>754</v>
      </c>
      <c r="H4" s="899" t="s">
        <v>756</v>
      </c>
    </row>
    <row r="5" spans="1:8" s="11" customFormat="1">
      <c r="A5" s="373" t="s">
        <v>407</v>
      </c>
      <c r="B5" s="800" t="s">
        <v>727</v>
      </c>
      <c r="C5" s="373" t="s">
        <v>407</v>
      </c>
      <c r="D5" s="373" t="s">
        <v>767</v>
      </c>
      <c r="E5" s="374"/>
      <c r="F5" s="899" t="s">
        <v>751</v>
      </c>
      <c r="G5" s="899" t="s">
        <v>752</v>
      </c>
      <c r="H5" s="899" t="s">
        <v>753</v>
      </c>
    </row>
    <row r="6" spans="1:8">
      <c r="A6" s="368" t="s">
        <v>400</v>
      </c>
      <c r="B6" s="895" t="s">
        <v>728</v>
      </c>
      <c r="C6" s="368" t="s">
        <v>400</v>
      </c>
      <c r="D6" s="368" t="s">
        <v>768</v>
      </c>
      <c r="E6" s="370"/>
      <c r="F6" s="371" t="s">
        <v>401</v>
      </c>
      <c r="G6" s="371" t="s">
        <v>402</v>
      </c>
      <c r="H6" s="372" t="s">
        <v>403</v>
      </c>
    </row>
    <row r="7" spans="1:8">
      <c r="A7" s="368" t="s">
        <v>404</v>
      </c>
      <c r="B7" s="369" t="s">
        <v>728</v>
      </c>
      <c r="C7" s="368" t="s">
        <v>404</v>
      </c>
      <c r="D7" s="368" t="s">
        <v>769</v>
      </c>
      <c r="E7" s="370"/>
      <c r="F7" s="371" t="s">
        <v>734</v>
      </c>
      <c r="G7" s="371" t="s">
        <v>736</v>
      </c>
      <c r="H7" s="372" t="s">
        <v>735</v>
      </c>
    </row>
    <row r="8" spans="1:8">
      <c r="A8" s="373" t="s">
        <v>432</v>
      </c>
      <c r="B8" s="376" t="s">
        <v>433</v>
      </c>
      <c r="C8" s="373" t="s">
        <v>435</v>
      </c>
      <c r="D8" s="373" t="s">
        <v>431</v>
      </c>
      <c r="E8" s="370" t="s">
        <v>434</v>
      </c>
      <c r="F8" s="371"/>
      <c r="G8" s="371"/>
      <c r="H8" s="372"/>
    </row>
    <row r="9" spans="1:8" s="888" customFormat="1">
      <c r="A9" s="373" t="s">
        <v>762</v>
      </c>
      <c r="B9" s="800">
        <v>2015</v>
      </c>
      <c r="C9" s="373" t="s">
        <v>407</v>
      </c>
      <c r="D9" s="373" t="s">
        <v>770</v>
      </c>
      <c r="E9" s="370" t="s">
        <v>763</v>
      </c>
      <c r="F9" s="371"/>
      <c r="G9" s="371"/>
      <c r="H9" s="372"/>
    </row>
    <row r="10" spans="1:8" s="888" customFormat="1">
      <c r="A10" s="373" t="s">
        <v>785</v>
      </c>
      <c r="B10" s="800">
        <v>2017</v>
      </c>
      <c r="C10" s="373" t="s">
        <v>787</v>
      </c>
      <c r="D10" s="373" t="s">
        <v>786</v>
      </c>
      <c r="E10" s="375" t="s">
        <v>775</v>
      </c>
      <c r="F10" s="371"/>
      <c r="G10" s="371"/>
      <c r="H10" s="372"/>
    </row>
    <row r="11" spans="1:8" s="11" customFormat="1">
      <c r="A11" s="373" t="s">
        <v>632</v>
      </c>
      <c r="B11" s="934" t="str">
        <f>"juni 2016"</f>
        <v>juni 2016</v>
      </c>
      <c r="C11" s="373" t="s">
        <v>633</v>
      </c>
      <c r="D11" s="373" t="s">
        <v>634</v>
      </c>
      <c r="E11" s="374"/>
      <c r="F11" s="899" t="s">
        <v>737</v>
      </c>
      <c r="G11" s="899" t="s">
        <v>738</v>
      </c>
      <c r="H11" s="372" t="s">
        <v>739</v>
      </c>
    </row>
    <row r="12" spans="1:8">
      <c r="A12" s="368" t="s">
        <v>742</v>
      </c>
      <c r="B12" s="895" t="s">
        <v>727</v>
      </c>
      <c r="C12" s="368" t="s">
        <v>743</v>
      </c>
      <c r="D12" s="368" t="s">
        <v>771</v>
      </c>
      <c r="E12" s="698"/>
      <c r="F12" s="371" t="s">
        <v>746</v>
      </c>
      <c r="G12" s="371" t="s">
        <v>744</v>
      </c>
      <c r="H12" s="372" t="s">
        <v>745</v>
      </c>
    </row>
    <row r="13" spans="1:8" s="888" customFormat="1">
      <c r="A13" s="373" t="s">
        <v>766</v>
      </c>
      <c r="B13" s="800">
        <v>2017</v>
      </c>
      <c r="C13" s="373" t="s">
        <v>426</v>
      </c>
      <c r="D13" s="373" t="s">
        <v>765</v>
      </c>
      <c r="E13" s="370"/>
      <c r="F13" s="371" t="s">
        <v>764</v>
      </c>
      <c r="G13" s="371" t="s">
        <v>772</v>
      </c>
      <c r="H13" s="372" t="s">
        <v>773</v>
      </c>
    </row>
    <row r="14" spans="1:8" s="10" customFormat="1">
      <c r="A14" s="373" t="s">
        <v>409</v>
      </c>
      <c r="B14" s="369" t="s">
        <v>425</v>
      </c>
      <c r="C14" s="368"/>
      <c r="D14" s="377" t="s">
        <v>424</v>
      </c>
      <c r="E14" s="370"/>
      <c r="F14" s="371"/>
      <c r="G14" s="371"/>
      <c r="H14" s="372"/>
    </row>
    <row r="15" spans="1:8">
      <c r="A15" s="368" t="s">
        <v>395</v>
      </c>
      <c r="B15" s="369" t="s">
        <v>664</v>
      </c>
      <c r="C15" s="368" t="s">
        <v>729</v>
      </c>
      <c r="D15" s="368" t="s">
        <v>666</v>
      </c>
      <c r="E15" s="375" t="s">
        <v>396</v>
      </c>
      <c r="F15" s="371" t="s">
        <v>397</v>
      </c>
      <c r="G15" s="371" t="s">
        <v>398</v>
      </c>
      <c r="H15" s="371" t="s">
        <v>399</v>
      </c>
    </row>
    <row r="16" spans="1:8">
      <c r="A16" s="368" t="s">
        <v>408</v>
      </c>
      <c r="B16" s="895" t="s">
        <v>747</v>
      </c>
      <c r="C16" s="368" t="s">
        <v>408</v>
      </c>
      <c r="D16" s="368" t="s">
        <v>422</v>
      </c>
      <c r="E16" s="370"/>
      <c r="F16" s="371" t="s">
        <v>798</v>
      </c>
      <c r="G16" s="371" t="s">
        <v>799</v>
      </c>
      <c r="H16" s="372" t="s">
        <v>800</v>
      </c>
    </row>
    <row r="17" spans="1:8" s="896" customFormat="1">
      <c r="A17" s="900" t="s">
        <v>509</v>
      </c>
      <c r="B17" s="901" t="s">
        <v>380</v>
      </c>
      <c r="C17" s="900" t="s">
        <v>378</v>
      </c>
      <c r="D17" s="902" t="s">
        <v>379</v>
      </c>
      <c r="E17" s="903" t="s">
        <v>381</v>
      </c>
      <c r="F17" s="371" t="s">
        <v>731</v>
      </c>
      <c r="G17" s="371" t="s">
        <v>740</v>
      </c>
      <c r="H17" s="372" t="s">
        <v>741</v>
      </c>
    </row>
    <row r="18" spans="1:8" s="896" customFormat="1">
      <c r="A18" s="900" t="s">
        <v>509</v>
      </c>
      <c r="B18" s="901" t="s">
        <v>792</v>
      </c>
      <c r="C18" s="900" t="s">
        <v>793</v>
      </c>
      <c r="D18" s="902" t="s">
        <v>794</v>
      </c>
      <c r="E18" s="903"/>
      <c r="F18" s="371" t="s">
        <v>731</v>
      </c>
      <c r="G18" s="371" t="s">
        <v>740</v>
      </c>
      <c r="H18" s="372" t="s">
        <v>741</v>
      </c>
    </row>
    <row r="19" spans="1:8" s="11" customFormat="1">
      <c r="A19" s="373" t="s">
        <v>508</v>
      </c>
      <c r="B19" s="800">
        <v>2016</v>
      </c>
      <c r="C19" s="373" t="s">
        <v>426</v>
      </c>
      <c r="D19" s="373" t="s">
        <v>733</v>
      </c>
      <c r="E19" s="374" t="s">
        <v>732</v>
      </c>
      <c r="F19" s="371" t="s">
        <v>731</v>
      </c>
      <c r="G19" s="371" t="s">
        <v>740</v>
      </c>
      <c r="H19" s="372" t="s">
        <v>741</v>
      </c>
    </row>
    <row r="20" spans="1:8">
      <c r="A20" s="373" t="s">
        <v>193</v>
      </c>
      <c r="B20" s="800" t="s">
        <v>726</v>
      </c>
      <c r="C20" s="373" t="s">
        <v>427</v>
      </c>
      <c r="D20" s="373" t="s">
        <v>730</v>
      </c>
      <c r="E20" s="370"/>
      <c r="F20" s="371" t="s">
        <v>428</v>
      </c>
      <c r="G20" s="371" t="s">
        <v>429</v>
      </c>
      <c r="H20" s="372" t="s">
        <v>430</v>
      </c>
    </row>
    <row r="21" spans="1:8" s="888" customFormat="1">
      <c r="A21" s="373" t="s">
        <v>408</v>
      </c>
      <c r="B21" s="800" t="s">
        <v>795</v>
      </c>
      <c r="C21" s="373" t="s">
        <v>408</v>
      </c>
      <c r="D21" s="373" t="s">
        <v>796</v>
      </c>
      <c r="E21" s="370"/>
      <c r="F21" s="371" t="s">
        <v>804</v>
      </c>
      <c r="G21" s="371" t="s">
        <v>805</v>
      </c>
      <c r="H21" s="372" t="s">
        <v>806</v>
      </c>
    </row>
    <row r="22" spans="1:8" s="888" customFormat="1">
      <c r="A22" s="373" t="s">
        <v>408</v>
      </c>
      <c r="B22" s="800" t="s">
        <v>792</v>
      </c>
      <c r="C22" s="373" t="s">
        <v>408</v>
      </c>
      <c r="D22" s="373" t="s">
        <v>797</v>
      </c>
      <c r="E22" s="370"/>
      <c r="F22" s="371" t="s">
        <v>801</v>
      </c>
      <c r="G22" s="371" t="s">
        <v>802</v>
      </c>
      <c r="H22" s="372" t="s">
        <v>803</v>
      </c>
    </row>
    <row r="23" spans="1:8" s="11" customFormat="1">
      <c r="A23" s="373" t="s">
        <v>406</v>
      </c>
      <c r="B23" s="934" t="str">
        <f>"november 2016"</f>
        <v>november 2016</v>
      </c>
      <c r="C23" s="373" t="s">
        <v>406</v>
      </c>
      <c r="D23" s="373" t="s">
        <v>659</v>
      </c>
      <c r="E23" s="374" t="s">
        <v>660</v>
      </c>
      <c r="F23" s="371" t="s">
        <v>807</v>
      </c>
      <c r="G23" s="371" t="s">
        <v>808</v>
      </c>
      <c r="H23" s="372" t="s">
        <v>809</v>
      </c>
    </row>
    <row r="24" spans="1:8" s="11" customFormat="1">
      <c r="A24" s="373" t="s">
        <v>406</v>
      </c>
      <c r="B24" s="934" t="str">
        <f>"november 2016"</f>
        <v>november 2016</v>
      </c>
      <c r="C24" s="373" t="s">
        <v>406</v>
      </c>
      <c r="D24" s="935" t="s">
        <v>637</v>
      </c>
      <c r="E24" s="374" t="s">
        <v>423</v>
      </c>
      <c r="F24" s="371" t="s">
        <v>807</v>
      </c>
      <c r="G24" s="371" t="s">
        <v>808</v>
      </c>
      <c r="H24" s="372" t="s">
        <v>809</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622</v>
      </c>
      <c r="B1" s="904" t="s">
        <v>623</v>
      </c>
      <c r="C1" s="904" t="s">
        <v>625</v>
      </c>
      <c r="D1" s="904" t="s">
        <v>624</v>
      </c>
    </row>
    <row r="2" spans="1:4" s="889" customFormat="1">
      <c r="A2" s="889" t="s">
        <v>693</v>
      </c>
      <c r="B2" s="915">
        <v>42860</v>
      </c>
      <c r="C2" s="889" t="s">
        <v>702</v>
      </c>
      <c r="D2" s="916" t="s">
        <v>703</v>
      </c>
    </row>
    <row r="3" spans="1:4" s="889" customFormat="1">
      <c r="A3" s="889" t="s">
        <v>693</v>
      </c>
      <c r="B3" s="915">
        <v>42860</v>
      </c>
      <c r="C3" s="889" t="s">
        <v>705</v>
      </c>
      <c r="D3" s="916" t="s">
        <v>706</v>
      </c>
    </row>
    <row r="4" spans="1:4" s="889" customFormat="1">
      <c r="A4" s="889" t="s">
        <v>693</v>
      </c>
      <c r="B4" s="915">
        <v>42860</v>
      </c>
      <c r="C4" s="889" t="s">
        <v>711</v>
      </c>
      <c r="D4" s="916" t="s">
        <v>710</v>
      </c>
    </row>
    <row r="5" spans="1:4" s="889" customFormat="1">
      <c r="A5" s="889" t="s">
        <v>693</v>
      </c>
      <c r="B5" s="915">
        <v>42860</v>
      </c>
      <c r="C5" s="889" t="s">
        <v>712</v>
      </c>
      <c r="D5" s="931" t="s">
        <v>713</v>
      </c>
    </row>
    <row r="6" spans="1:4" s="889" customFormat="1">
      <c r="A6" s="889" t="s">
        <v>693</v>
      </c>
      <c r="B6" s="939">
        <v>42877</v>
      </c>
      <c r="C6" s="888" t="s">
        <v>789</v>
      </c>
      <c r="D6" s="940" t="s">
        <v>720</v>
      </c>
    </row>
    <row r="7" spans="1:4" s="889" customFormat="1">
      <c r="A7" s="889" t="s">
        <v>693</v>
      </c>
      <c r="B7" s="939">
        <v>42877</v>
      </c>
      <c r="C7" s="888" t="s">
        <v>790</v>
      </c>
      <c r="D7" s="940" t="s">
        <v>721</v>
      </c>
    </row>
    <row r="8" spans="1:4" s="889" customFormat="1">
      <c r="A8" s="889" t="s">
        <v>693</v>
      </c>
      <c r="B8" s="939">
        <v>42877</v>
      </c>
      <c r="C8" s="888" t="s">
        <v>791</v>
      </c>
      <c r="D8" s="940" t="s">
        <v>722</v>
      </c>
    </row>
    <row r="9" spans="1:4" s="7" customFormat="1">
      <c r="A9" s="889" t="s">
        <v>693</v>
      </c>
      <c r="B9" s="939">
        <v>42877</v>
      </c>
      <c r="C9" s="888" t="s">
        <v>724</v>
      </c>
      <c r="D9" s="940" t="s">
        <v>723</v>
      </c>
    </row>
    <row r="10" spans="1:4" s="7" customFormat="1">
      <c r="A10" s="889" t="s">
        <v>776</v>
      </c>
      <c r="B10" s="915">
        <v>43167</v>
      </c>
      <c r="C10" s="915" t="s">
        <v>777</v>
      </c>
      <c r="D10" s="940" t="s">
        <v>778</v>
      </c>
    </row>
    <row r="11" spans="1:4" s="7" customFormat="1">
      <c r="A11" s="889" t="s">
        <v>776</v>
      </c>
      <c r="B11" s="915">
        <v>43167</v>
      </c>
      <c r="C11" s="915" t="s">
        <v>779</v>
      </c>
      <c r="D11" s="943" t="s">
        <v>780</v>
      </c>
    </row>
    <row r="12" spans="1:4" s="7" customFormat="1">
      <c r="A12" s="889" t="s">
        <v>776</v>
      </c>
      <c r="B12" s="915">
        <v>43167</v>
      </c>
      <c r="C12" s="915" t="s">
        <v>781</v>
      </c>
      <c r="D12" s="943" t="s">
        <v>782</v>
      </c>
    </row>
    <row r="13" spans="1:4" s="7" customFormat="1">
      <c r="A13" s="889" t="s">
        <v>776</v>
      </c>
      <c r="B13" s="915">
        <v>43167</v>
      </c>
      <c r="C13" s="915" t="s">
        <v>783</v>
      </c>
      <c r="D13" s="943" t="s">
        <v>784</v>
      </c>
    </row>
    <row r="14" spans="1:4" s="7" customFormat="1">
      <c r="A14" s="889" t="s">
        <v>776</v>
      </c>
      <c r="B14" s="915">
        <v>43278</v>
      </c>
      <c r="C14" s="915" t="s">
        <v>810</v>
      </c>
      <c r="D14" s="940"/>
    </row>
    <row r="15" spans="1:4" s="7" customFormat="1">
      <c r="A15" s="889" t="s">
        <v>845</v>
      </c>
      <c r="B15" s="915">
        <v>43425</v>
      </c>
      <c r="C15" s="915" t="s">
        <v>846</v>
      </c>
      <c r="D15" s="940"/>
    </row>
    <row r="16" spans="1:4" s="7" customFormat="1">
      <c r="A16" s="889" t="s">
        <v>857</v>
      </c>
      <c r="B16" s="915">
        <v>43573</v>
      </c>
      <c r="C16" s="915" t="s">
        <v>858</v>
      </c>
      <c r="D16" s="943"/>
    </row>
    <row r="17" spans="1:4" s="7" customFormat="1">
      <c r="A17" s="889" t="s">
        <v>881</v>
      </c>
      <c r="B17" s="915">
        <v>43678</v>
      </c>
      <c r="C17" s="915" t="s">
        <v>882</v>
      </c>
      <c r="D17" s="943" t="s">
        <v>883</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555</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127298.51048907009</v>
      </c>
      <c r="C4" s="477">
        <f>huishoudens!C8</f>
        <v>0</v>
      </c>
      <c r="D4" s="477">
        <f>huishoudens!D8</f>
        <v>291992.96220600005</v>
      </c>
      <c r="E4" s="477">
        <f>huishoudens!E8</f>
        <v>12526.18699993426</v>
      </c>
      <c r="F4" s="477">
        <f>huishoudens!F8</f>
        <v>75820.94170979278</v>
      </c>
      <c r="G4" s="477">
        <f>huishoudens!G8</f>
        <v>0</v>
      </c>
      <c r="H4" s="477">
        <f>huishoudens!H8</f>
        <v>0</v>
      </c>
      <c r="I4" s="477">
        <f>huishoudens!I8</f>
        <v>0</v>
      </c>
      <c r="J4" s="477">
        <f>huishoudens!J8</f>
        <v>0</v>
      </c>
      <c r="K4" s="477">
        <f>huishoudens!K8</f>
        <v>0</v>
      </c>
      <c r="L4" s="477">
        <f>huishoudens!L8</f>
        <v>0</v>
      </c>
      <c r="M4" s="477">
        <f>huishoudens!M8</f>
        <v>0</v>
      </c>
      <c r="N4" s="477">
        <f>huishoudens!N8</f>
        <v>34276.832446165958</v>
      </c>
      <c r="O4" s="477">
        <f>huishoudens!O8</f>
        <v>1013.04</v>
      </c>
      <c r="P4" s="478">
        <f>huishoudens!P8</f>
        <v>3031.6</v>
      </c>
      <c r="Q4" s="479">
        <f>SUM(B4:P4)</f>
        <v>545960.07385096315</v>
      </c>
    </row>
    <row r="5" spans="1:17">
      <c r="A5" s="476" t="s">
        <v>156</v>
      </c>
      <c r="B5" s="477">
        <f ca="1">tertiair!B16</f>
        <v>198705.16099999999</v>
      </c>
      <c r="C5" s="477">
        <f ca="1">tertiair!C16</f>
        <v>2890.9285714285716</v>
      </c>
      <c r="D5" s="477">
        <f ca="1">tertiair!D16</f>
        <v>206730.01574914291</v>
      </c>
      <c r="E5" s="477">
        <f>tertiair!E16</f>
        <v>3613.591350568277</v>
      </c>
      <c r="F5" s="477">
        <f ca="1">tertiair!F16</f>
        <v>49467.519524098396</v>
      </c>
      <c r="G5" s="477">
        <f>tertiair!G16</f>
        <v>0</v>
      </c>
      <c r="H5" s="477">
        <f>tertiair!H16</f>
        <v>0</v>
      </c>
      <c r="I5" s="477">
        <f>tertiair!I16</f>
        <v>0</v>
      </c>
      <c r="J5" s="477">
        <f>tertiair!J16</f>
        <v>0</v>
      </c>
      <c r="K5" s="477">
        <f>tertiair!K16</f>
        <v>0</v>
      </c>
      <c r="L5" s="477">
        <f ca="1">tertiair!L16</f>
        <v>0</v>
      </c>
      <c r="M5" s="477">
        <f>tertiair!M16</f>
        <v>0</v>
      </c>
      <c r="N5" s="477">
        <f ca="1">tertiair!N16</f>
        <v>9994.1732423979047</v>
      </c>
      <c r="O5" s="477">
        <f>tertiair!O16</f>
        <v>10.943333333333335</v>
      </c>
      <c r="P5" s="478">
        <f>tertiair!P16</f>
        <v>190.66666666666669</v>
      </c>
      <c r="Q5" s="476">
        <f t="shared" ref="Q5:Q14" ca="1" si="0">SUM(B5:P5)</f>
        <v>471602.99943763606</v>
      </c>
    </row>
    <row r="6" spans="1:17">
      <c r="A6" s="476" t="s">
        <v>194</v>
      </c>
      <c r="B6" s="477">
        <f>'openbare verlichting'!B8</f>
        <v>5279.5950000000003</v>
      </c>
      <c r="C6" s="477"/>
      <c r="D6" s="477"/>
      <c r="E6" s="477"/>
      <c r="F6" s="477"/>
      <c r="G6" s="477"/>
      <c r="H6" s="477"/>
      <c r="I6" s="477"/>
      <c r="J6" s="477"/>
      <c r="K6" s="477"/>
      <c r="L6" s="477"/>
      <c r="M6" s="477"/>
      <c r="N6" s="477"/>
      <c r="O6" s="477"/>
      <c r="P6" s="478"/>
      <c r="Q6" s="476">
        <f t="shared" si="0"/>
        <v>5279.5950000000003</v>
      </c>
    </row>
    <row r="7" spans="1:17">
      <c r="A7" s="476" t="s">
        <v>112</v>
      </c>
      <c r="B7" s="477">
        <f>landbouw!B8</f>
        <v>1822.9190000000001</v>
      </c>
      <c r="C7" s="477">
        <f>landbouw!C8</f>
        <v>0</v>
      </c>
      <c r="D7" s="477">
        <f>landbouw!D8</f>
        <v>1703.7012080000002</v>
      </c>
      <c r="E7" s="477">
        <f>landbouw!E8</f>
        <v>47.006081810250777</v>
      </c>
      <c r="F7" s="477">
        <f>landbouw!F8</f>
        <v>6663.116103059604</v>
      </c>
      <c r="G7" s="477">
        <f>landbouw!G8</f>
        <v>0</v>
      </c>
      <c r="H7" s="477">
        <f>landbouw!H8</f>
        <v>0</v>
      </c>
      <c r="I7" s="477">
        <f>landbouw!I8</f>
        <v>0</v>
      </c>
      <c r="J7" s="477">
        <f>landbouw!J8</f>
        <v>262.43327690387315</v>
      </c>
      <c r="K7" s="477">
        <f>landbouw!K8</f>
        <v>0</v>
      </c>
      <c r="L7" s="477">
        <f>landbouw!L8</f>
        <v>0</v>
      </c>
      <c r="M7" s="477">
        <f>landbouw!M8</f>
        <v>0</v>
      </c>
      <c r="N7" s="477">
        <f>landbouw!N8</f>
        <v>0</v>
      </c>
      <c r="O7" s="477">
        <f>landbouw!O8</f>
        <v>0</v>
      </c>
      <c r="P7" s="478">
        <f>landbouw!P8</f>
        <v>0</v>
      </c>
      <c r="Q7" s="476">
        <f t="shared" si="0"/>
        <v>10499.175669773729</v>
      </c>
    </row>
    <row r="8" spans="1:17">
      <c r="A8" s="476" t="s">
        <v>640</v>
      </c>
      <c r="B8" s="477">
        <f>industrie!B18</f>
        <v>67965.398000000001</v>
      </c>
      <c r="C8" s="477">
        <f>industrie!C18</f>
        <v>321.42857142857144</v>
      </c>
      <c r="D8" s="477">
        <f>industrie!D18</f>
        <v>113395.47216314287</v>
      </c>
      <c r="E8" s="477">
        <f>industrie!E18</f>
        <v>9085.8821211277336</v>
      </c>
      <c r="F8" s="477">
        <f>industrie!F18</f>
        <v>34704.3665165001</v>
      </c>
      <c r="G8" s="477">
        <f>industrie!G18</f>
        <v>0</v>
      </c>
      <c r="H8" s="477">
        <f>industrie!H18</f>
        <v>0</v>
      </c>
      <c r="I8" s="477">
        <f>industrie!I18</f>
        <v>0</v>
      </c>
      <c r="J8" s="477">
        <f>industrie!J18</f>
        <v>263.71991711281726</v>
      </c>
      <c r="K8" s="477">
        <f>industrie!K18</f>
        <v>0</v>
      </c>
      <c r="L8" s="477">
        <f>industrie!L18</f>
        <v>0</v>
      </c>
      <c r="M8" s="477">
        <f>industrie!M18</f>
        <v>0</v>
      </c>
      <c r="N8" s="477">
        <f>industrie!N18</f>
        <v>21039.969886877156</v>
      </c>
      <c r="O8" s="477">
        <f>industrie!O18</f>
        <v>0</v>
      </c>
      <c r="P8" s="478">
        <f>industrie!P18</f>
        <v>0</v>
      </c>
      <c r="Q8" s="476">
        <f t="shared" si="0"/>
        <v>246776.23717618926</v>
      </c>
    </row>
    <row r="9" spans="1:17" s="482" customFormat="1">
      <c r="A9" s="480" t="s">
        <v>566</v>
      </c>
      <c r="B9" s="481">
        <f>transport!B14</f>
        <v>171.7366902804184</v>
      </c>
      <c r="C9" s="481">
        <f>transport!C14</f>
        <v>0</v>
      </c>
      <c r="D9" s="481">
        <f>transport!D14</f>
        <v>386.35880160255164</v>
      </c>
      <c r="E9" s="481">
        <f>transport!E14</f>
        <v>1595.8473833557407</v>
      </c>
      <c r="F9" s="481">
        <f>transport!F14</f>
        <v>0</v>
      </c>
      <c r="G9" s="481">
        <f>transport!G14</f>
        <v>498249.83437763527</v>
      </c>
      <c r="H9" s="481">
        <f>transport!H14</f>
        <v>105086.33084854498</v>
      </c>
      <c r="I9" s="481">
        <f>transport!I14</f>
        <v>0</v>
      </c>
      <c r="J9" s="481">
        <f>transport!J14</f>
        <v>0</v>
      </c>
      <c r="K9" s="481">
        <f>transport!K14</f>
        <v>0</v>
      </c>
      <c r="L9" s="481">
        <f>transport!L14</f>
        <v>0</v>
      </c>
      <c r="M9" s="481">
        <f>transport!M14</f>
        <v>18846.140374090141</v>
      </c>
      <c r="N9" s="481">
        <f>transport!N14</f>
        <v>0</v>
      </c>
      <c r="O9" s="481">
        <f>transport!O14</f>
        <v>0</v>
      </c>
      <c r="P9" s="481">
        <f>transport!P14</f>
        <v>0</v>
      </c>
      <c r="Q9" s="480">
        <f>SUM(B9:P9)</f>
        <v>624336.24847550911</v>
      </c>
    </row>
    <row r="10" spans="1:17">
      <c r="A10" s="476" t="s">
        <v>556</v>
      </c>
      <c r="B10" s="477">
        <f>transport!B54</f>
        <v>0</v>
      </c>
      <c r="C10" s="477">
        <f>transport!C54</f>
        <v>0</v>
      </c>
      <c r="D10" s="477">
        <f>transport!D54</f>
        <v>0</v>
      </c>
      <c r="E10" s="477">
        <f>transport!E54</f>
        <v>0</v>
      </c>
      <c r="F10" s="477">
        <f>transport!F54</f>
        <v>0</v>
      </c>
      <c r="G10" s="477">
        <f>transport!G54</f>
        <v>17190.853582174113</v>
      </c>
      <c r="H10" s="477">
        <f>transport!H54</f>
        <v>0</v>
      </c>
      <c r="I10" s="477">
        <f>transport!I54</f>
        <v>0</v>
      </c>
      <c r="J10" s="477">
        <f>transport!J54</f>
        <v>0</v>
      </c>
      <c r="K10" s="477">
        <f>transport!K54</f>
        <v>0</v>
      </c>
      <c r="L10" s="477">
        <f>transport!L54</f>
        <v>0</v>
      </c>
      <c r="M10" s="477">
        <f>transport!M54</f>
        <v>533.22181904932722</v>
      </c>
      <c r="N10" s="477">
        <f>transport!N54</f>
        <v>0</v>
      </c>
      <c r="O10" s="477">
        <f>transport!O54</f>
        <v>0</v>
      </c>
      <c r="P10" s="478">
        <f>transport!P54</f>
        <v>0</v>
      </c>
      <c r="Q10" s="476">
        <f t="shared" si="0"/>
        <v>17724.075401223439</v>
      </c>
    </row>
    <row r="11" spans="1:17">
      <c r="A11" s="476" t="s">
        <v>557</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558</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559</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854</v>
      </c>
      <c r="B14" s="484">
        <f>'SEAP template'!C25</f>
        <v>5838.049</v>
      </c>
      <c r="C14" s="484"/>
      <c r="D14" s="484">
        <f>'SEAP template'!E25</f>
        <v>14210.207</v>
      </c>
      <c r="E14" s="484"/>
      <c r="F14" s="484"/>
      <c r="G14" s="484"/>
      <c r="H14" s="484"/>
      <c r="I14" s="484"/>
      <c r="J14" s="484"/>
      <c r="K14" s="484"/>
      <c r="L14" s="484"/>
      <c r="M14" s="484"/>
      <c r="N14" s="484"/>
      <c r="O14" s="484"/>
      <c r="P14" s="485"/>
      <c r="Q14" s="476">
        <f t="shared" si="0"/>
        <v>20048.256000000001</v>
      </c>
    </row>
    <row r="15" spans="1:17" s="486" customFormat="1">
      <c r="A15" s="1038" t="s">
        <v>560</v>
      </c>
      <c r="B15" s="978">
        <f ca="1">SUM(B4:B14)</f>
        <v>407081.36917935044</v>
      </c>
      <c r="C15" s="978">
        <f t="shared" ref="C15:Q15" ca="1" si="1">SUM(C4:C14)</f>
        <v>3212.3571428571431</v>
      </c>
      <c r="D15" s="978">
        <f t="shared" ca="1" si="1"/>
        <v>628418.71712788846</v>
      </c>
      <c r="E15" s="978">
        <f t="shared" si="1"/>
        <v>26868.513936796258</v>
      </c>
      <c r="F15" s="978">
        <f t="shared" ca="1" si="1"/>
        <v>166655.94385345088</v>
      </c>
      <c r="G15" s="978">
        <f t="shared" si="1"/>
        <v>515440.68795980938</v>
      </c>
      <c r="H15" s="978">
        <f t="shared" si="1"/>
        <v>105086.33084854498</v>
      </c>
      <c r="I15" s="978">
        <f t="shared" si="1"/>
        <v>0</v>
      </c>
      <c r="J15" s="978">
        <f t="shared" si="1"/>
        <v>526.15319401669035</v>
      </c>
      <c r="K15" s="978">
        <f t="shared" si="1"/>
        <v>0</v>
      </c>
      <c r="L15" s="978">
        <f t="shared" ca="1" si="1"/>
        <v>0</v>
      </c>
      <c r="M15" s="978">
        <f t="shared" si="1"/>
        <v>19379.362193139466</v>
      </c>
      <c r="N15" s="978">
        <f t="shared" ca="1" si="1"/>
        <v>65310.975575441014</v>
      </c>
      <c r="O15" s="978">
        <f t="shared" si="1"/>
        <v>1023.9833333333333</v>
      </c>
      <c r="P15" s="978">
        <f t="shared" si="1"/>
        <v>3222.2666666666664</v>
      </c>
      <c r="Q15" s="978">
        <f t="shared" ca="1" si="1"/>
        <v>1942226.6610112947</v>
      </c>
    </row>
    <row r="17" spans="1:17">
      <c r="A17" s="487" t="s">
        <v>561</v>
      </c>
      <c r="B17" s="786">
        <f ca="1">huishoudens!B10</f>
        <v>0.1986883517423392</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563</v>
      </c>
      <c r="B19" s="1169" t="s">
        <v>562</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25292.731228328215</v>
      </c>
      <c r="C22" s="477">
        <f t="shared" ref="C22:C32" ca="1" si="3">C4*$C$17</f>
        <v>0</v>
      </c>
      <c r="D22" s="477">
        <f t="shared" ref="D22:D32" si="4">D4*$D$17</f>
        <v>58982.578365612018</v>
      </c>
      <c r="E22" s="477">
        <f t="shared" ref="E22:E32" si="5">E4*$E$17</f>
        <v>2843.4444489850771</v>
      </c>
      <c r="F22" s="477">
        <f t="shared" ref="F22:F32" si="6">F4*$F$17</f>
        <v>20244.191436514673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107362.94547943998</v>
      </c>
    </row>
    <row r="23" spans="1:17">
      <c r="A23" s="476" t="s">
        <v>156</v>
      </c>
      <c r="B23" s="477">
        <f t="shared" ca="1" si="2"/>
        <v>39480.400921786138</v>
      </c>
      <c r="C23" s="477">
        <f t="shared" ca="1" si="3"/>
        <v>687.02067226890779</v>
      </c>
      <c r="D23" s="477">
        <f t="shared" ca="1" si="4"/>
        <v>41759.463181326872</v>
      </c>
      <c r="E23" s="477">
        <f t="shared" si="5"/>
        <v>820.28523657899893</v>
      </c>
      <c r="F23" s="477">
        <f t="shared" ca="1" si="6"/>
        <v>13207.827712934273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95954.997724895191</v>
      </c>
    </row>
    <row r="24" spans="1:17">
      <c r="A24" s="476" t="s">
        <v>194</v>
      </c>
      <c r="B24" s="477">
        <f t="shared" ca="1" si="2"/>
        <v>1048.9940284170955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1048.9940284170955</v>
      </c>
    </row>
    <row r="25" spans="1:17">
      <c r="A25" s="476" t="s">
        <v>112</v>
      </c>
      <c r="B25" s="477">
        <f t="shared" ca="1" si="2"/>
        <v>362.19277146979323</v>
      </c>
      <c r="C25" s="477">
        <f t="shared" ca="1" si="3"/>
        <v>0</v>
      </c>
      <c r="D25" s="477">
        <f t="shared" si="4"/>
        <v>344.14764401600007</v>
      </c>
      <c r="E25" s="477">
        <f t="shared" si="5"/>
        <v>10.670380570926927</v>
      </c>
      <c r="F25" s="477">
        <f t="shared" si="6"/>
        <v>1779.0519995169143</v>
      </c>
      <c r="G25" s="477">
        <f t="shared" si="7"/>
        <v>0</v>
      </c>
      <c r="H25" s="477">
        <f t="shared" si="8"/>
        <v>0</v>
      </c>
      <c r="I25" s="477">
        <f t="shared" si="9"/>
        <v>0</v>
      </c>
      <c r="J25" s="477">
        <f t="shared" si="10"/>
        <v>92.901380023971086</v>
      </c>
      <c r="K25" s="477">
        <f t="shared" si="11"/>
        <v>0</v>
      </c>
      <c r="L25" s="477">
        <f t="shared" si="12"/>
        <v>0</v>
      </c>
      <c r="M25" s="477">
        <f t="shared" si="13"/>
        <v>0</v>
      </c>
      <c r="N25" s="477">
        <f t="shared" si="14"/>
        <v>0</v>
      </c>
      <c r="O25" s="477">
        <f t="shared" si="15"/>
        <v>0</v>
      </c>
      <c r="P25" s="478">
        <f t="shared" si="16"/>
        <v>0</v>
      </c>
      <c r="Q25" s="476">
        <f t="shared" ca="1" si="17"/>
        <v>2588.9641755976054</v>
      </c>
    </row>
    <row r="26" spans="1:17">
      <c r="A26" s="476" t="s">
        <v>640</v>
      </c>
      <c r="B26" s="477">
        <f t="shared" ca="1" si="2"/>
        <v>13503.932904132078</v>
      </c>
      <c r="C26" s="477">
        <f t="shared" ca="1" si="3"/>
        <v>76.386554621848759</v>
      </c>
      <c r="D26" s="477">
        <f t="shared" si="4"/>
        <v>22905.885376954862</v>
      </c>
      <c r="E26" s="477">
        <f t="shared" si="5"/>
        <v>2062.4952414959957</v>
      </c>
      <c r="F26" s="477">
        <f t="shared" si="6"/>
        <v>9266.0658599055278</v>
      </c>
      <c r="G26" s="477">
        <f t="shared" si="7"/>
        <v>0</v>
      </c>
      <c r="H26" s="477">
        <f t="shared" si="8"/>
        <v>0</v>
      </c>
      <c r="I26" s="477">
        <f t="shared" si="9"/>
        <v>0</v>
      </c>
      <c r="J26" s="477">
        <f t="shared" si="10"/>
        <v>93.356850657937301</v>
      </c>
      <c r="K26" s="477">
        <f t="shared" si="11"/>
        <v>0</v>
      </c>
      <c r="L26" s="477">
        <f t="shared" si="12"/>
        <v>0</v>
      </c>
      <c r="M26" s="477">
        <f t="shared" si="13"/>
        <v>0</v>
      </c>
      <c r="N26" s="477">
        <f t="shared" si="14"/>
        <v>0</v>
      </c>
      <c r="O26" s="477">
        <f t="shared" si="15"/>
        <v>0</v>
      </c>
      <c r="P26" s="478">
        <f t="shared" si="16"/>
        <v>0</v>
      </c>
      <c r="Q26" s="476">
        <f t="shared" ca="1" si="17"/>
        <v>47908.122787768261</v>
      </c>
    </row>
    <row r="27" spans="1:17" s="482" customFormat="1">
      <c r="A27" s="480" t="s">
        <v>566</v>
      </c>
      <c r="B27" s="780">
        <f t="shared" ca="1" si="2"/>
        <v>34.122079925500934</v>
      </c>
      <c r="C27" s="481">
        <f t="shared" ca="1" si="3"/>
        <v>0</v>
      </c>
      <c r="D27" s="481">
        <f t="shared" si="4"/>
        <v>78.044477923715434</v>
      </c>
      <c r="E27" s="481">
        <f t="shared" si="5"/>
        <v>362.25735602175314</v>
      </c>
      <c r="F27" s="481">
        <f t="shared" si="6"/>
        <v>0</v>
      </c>
      <c r="G27" s="481">
        <f t="shared" si="7"/>
        <v>133032.70577882862</v>
      </c>
      <c r="H27" s="481">
        <f t="shared" si="8"/>
        <v>26166.496381287699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159673.62607398728</v>
      </c>
    </row>
    <row r="28" spans="1:17">
      <c r="A28" s="476" t="s">
        <v>556</v>
      </c>
      <c r="B28" s="477">
        <f t="shared" ca="1" si="2"/>
        <v>0</v>
      </c>
      <c r="C28" s="477">
        <f t="shared" ca="1" si="3"/>
        <v>0</v>
      </c>
      <c r="D28" s="477">
        <f t="shared" si="4"/>
        <v>0</v>
      </c>
      <c r="E28" s="477">
        <f t="shared" si="5"/>
        <v>0</v>
      </c>
      <c r="F28" s="477">
        <f t="shared" si="6"/>
        <v>0</v>
      </c>
      <c r="G28" s="477">
        <f t="shared" si="7"/>
        <v>4589.9579064404888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4589.9579064404888</v>
      </c>
    </row>
    <row r="29" spans="1:17">
      <c r="A29" s="476" t="s">
        <v>557</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558</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559</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854</v>
      </c>
      <c r="B32" s="477">
        <f t="shared" ca="1" si="2"/>
        <v>1159.9523332010117</v>
      </c>
      <c r="C32" s="477">
        <f t="shared" ca="1" si="3"/>
        <v>0</v>
      </c>
      <c r="D32" s="477">
        <f t="shared" si="4"/>
        <v>2870.4618140000002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4030.4141472010119</v>
      </c>
    </row>
    <row r="33" spans="1:17" s="486" customFormat="1">
      <c r="A33" s="1038" t="s">
        <v>560</v>
      </c>
      <c r="B33" s="978">
        <f ca="1">SUM(B22:B32)</f>
        <v>80882.326267259836</v>
      </c>
      <c r="C33" s="978">
        <f t="shared" ref="C33:Q33" ca="1" si="18">SUM(C22:C32)</f>
        <v>763.40722689075653</v>
      </c>
      <c r="D33" s="978">
        <f t="shared" ca="1" si="18"/>
        <v>126940.58085983346</v>
      </c>
      <c r="E33" s="978">
        <f t="shared" si="18"/>
        <v>6099.1526636527524</v>
      </c>
      <c r="F33" s="978">
        <f t="shared" ca="1" si="18"/>
        <v>44497.137008871388</v>
      </c>
      <c r="G33" s="978">
        <f t="shared" si="18"/>
        <v>137622.6636852691</v>
      </c>
      <c r="H33" s="978">
        <f t="shared" si="18"/>
        <v>26166.496381287699</v>
      </c>
      <c r="I33" s="978">
        <f t="shared" si="18"/>
        <v>0</v>
      </c>
      <c r="J33" s="978">
        <f t="shared" si="18"/>
        <v>186.2582306819084</v>
      </c>
      <c r="K33" s="978">
        <f t="shared" si="18"/>
        <v>0</v>
      </c>
      <c r="L33" s="978">
        <f t="shared" ca="1" si="18"/>
        <v>0</v>
      </c>
      <c r="M33" s="978">
        <f t="shared" si="18"/>
        <v>0</v>
      </c>
      <c r="N33" s="978">
        <f t="shared" ca="1" si="18"/>
        <v>0</v>
      </c>
      <c r="O33" s="978">
        <f t="shared" si="18"/>
        <v>0</v>
      </c>
      <c r="P33" s="978">
        <f t="shared" si="18"/>
        <v>0</v>
      </c>
      <c r="Q33" s="978">
        <f t="shared" ca="1" si="18"/>
        <v>423158.02232374693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555</v>
      </c>
      <c r="B1" s="1178" t="s">
        <v>811</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812</v>
      </c>
      <c r="C4" s="949" t="s">
        <v>813</v>
      </c>
      <c r="D4" s="950" t="s">
        <v>814</v>
      </c>
      <c r="E4" s="951" t="s">
        <v>815</v>
      </c>
      <c r="F4" s="951" t="s">
        <v>816</v>
      </c>
      <c r="G4" s="952" t="s">
        <v>819</v>
      </c>
      <c r="H4" s="952" t="s">
        <v>819</v>
      </c>
      <c r="I4" s="952" t="s">
        <v>819</v>
      </c>
      <c r="J4" s="951" t="s">
        <v>818</v>
      </c>
      <c r="K4" s="952" t="s">
        <v>819</v>
      </c>
      <c r="L4" s="952" t="s">
        <v>819</v>
      </c>
      <c r="M4" s="952" t="s">
        <v>819</v>
      </c>
      <c r="N4" s="951" t="s">
        <v>820</v>
      </c>
      <c r="O4" s="953" t="s">
        <v>821</v>
      </c>
      <c r="P4" s="954" t="s">
        <v>822</v>
      </c>
      <c r="Q4" s="955"/>
    </row>
    <row r="5" spans="1:17" ht="124.35" customHeight="1">
      <c r="A5" s="956" t="s">
        <v>156</v>
      </c>
      <c r="B5" s="957" t="s">
        <v>823</v>
      </c>
      <c r="C5" s="958" t="s">
        <v>824</v>
      </c>
      <c r="D5" s="958" t="s">
        <v>825</v>
      </c>
      <c r="E5" s="959" t="s">
        <v>826</v>
      </c>
      <c r="F5" s="959" t="s">
        <v>827</v>
      </c>
      <c r="G5" s="960" t="s">
        <v>819</v>
      </c>
      <c r="H5" s="960" t="s">
        <v>819</v>
      </c>
      <c r="I5" s="960" t="s">
        <v>819</v>
      </c>
      <c r="J5" s="959" t="s">
        <v>828</v>
      </c>
      <c r="K5" s="957" t="s">
        <v>829</v>
      </c>
      <c r="L5" s="960" t="s">
        <v>819</v>
      </c>
      <c r="M5" s="960" t="s">
        <v>819</v>
      </c>
      <c r="N5" s="959" t="s">
        <v>830</v>
      </c>
      <c r="O5" s="961" t="s">
        <v>821</v>
      </c>
      <c r="P5" s="962" t="s">
        <v>822</v>
      </c>
      <c r="Q5" s="963"/>
    </row>
    <row r="6" spans="1:17" ht="124.35" customHeight="1">
      <c r="A6" s="956" t="s">
        <v>194</v>
      </c>
      <c r="B6" s="964" t="s">
        <v>831</v>
      </c>
      <c r="C6" s="965" t="s">
        <v>817</v>
      </c>
      <c r="D6" s="960" t="s">
        <v>817</v>
      </c>
      <c r="E6" s="960" t="s">
        <v>817</v>
      </c>
      <c r="F6" s="960" t="s">
        <v>817</v>
      </c>
      <c r="G6" s="960" t="s">
        <v>817</v>
      </c>
      <c r="H6" s="960" t="s">
        <v>817</v>
      </c>
      <c r="I6" s="960" t="s">
        <v>817</v>
      </c>
      <c r="J6" s="960" t="s">
        <v>817</v>
      </c>
      <c r="K6" s="960" t="s">
        <v>817</v>
      </c>
      <c r="L6" s="960" t="s">
        <v>817</v>
      </c>
      <c r="M6" s="960" t="s">
        <v>817</v>
      </c>
      <c r="N6" s="960" t="s">
        <v>817</v>
      </c>
      <c r="O6" s="966" t="s">
        <v>817</v>
      </c>
      <c r="P6" s="967" t="s">
        <v>817</v>
      </c>
      <c r="Q6" s="968"/>
    </row>
    <row r="7" spans="1:17" ht="124.35" customHeight="1">
      <c r="A7" s="956" t="s">
        <v>112</v>
      </c>
      <c r="B7" s="964" t="s">
        <v>831</v>
      </c>
      <c r="C7" s="958" t="s">
        <v>824</v>
      </c>
      <c r="D7" s="958" t="s">
        <v>825</v>
      </c>
      <c r="E7" s="959" t="s">
        <v>826</v>
      </c>
      <c r="F7" s="959" t="s">
        <v>827</v>
      </c>
      <c r="G7" s="960" t="s">
        <v>819</v>
      </c>
      <c r="H7" s="960" t="s">
        <v>819</v>
      </c>
      <c r="I7" s="960" t="s">
        <v>819</v>
      </c>
      <c r="J7" s="959" t="s">
        <v>828</v>
      </c>
      <c r="K7" s="960" t="s">
        <v>819</v>
      </c>
      <c r="L7" s="960" t="s">
        <v>819</v>
      </c>
      <c r="M7" s="960" t="s">
        <v>819</v>
      </c>
      <c r="N7" s="969" t="s">
        <v>819</v>
      </c>
      <c r="O7" s="965" t="s">
        <v>819</v>
      </c>
      <c r="P7" s="970" t="s">
        <v>819</v>
      </c>
      <c r="Q7" s="963"/>
    </row>
    <row r="8" spans="1:17" ht="124.35" customHeight="1">
      <c r="A8" s="956" t="s">
        <v>640</v>
      </c>
      <c r="B8" s="957" t="s">
        <v>832</v>
      </c>
      <c r="C8" s="958" t="s">
        <v>824</v>
      </c>
      <c r="D8" s="958" t="s">
        <v>825</v>
      </c>
      <c r="E8" s="959" t="s">
        <v>826</v>
      </c>
      <c r="F8" s="959" t="s">
        <v>827</v>
      </c>
      <c r="G8" s="960" t="s">
        <v>819</v>
      </c>
      <c r="H8" s="960" t="s">
        <v>819</v>
      </c>
      <c r="I8" s="960" t="s">
        <v>819</v>
      </c>
      <c r="J8" s="959" t="s">
        <v>828</v>
      </c>
      <c r="K8" s="957" t="s">
        <v>829</v>
      </c>
      <c r="L8" s="960" t="s">
        <v>819</v>
      </c>
      <c r="M8" s="960" t="s">
        <v>819</v>
      </c>
      <c r="N8" s="959" t="s">
        <v>830</v>
      </c>
      <c r="O8" s="961" t="s">
        <v>821</v>
      </c>
      <c r="P8" s="962" t="s">
        <v>822</v>
      </c>
      <c r="Q8" s="963"/>
    </row>
    <row r="9" spans="1:17" s="482" customFormat="1" ht="124.35" customHeight="1">
      <c r="A9" s="971" t="s">
        <v>566</v>
      </c>
      <c r="B9" s="959" t="s">
        <v>833</v>
      </c>
      <c r="C9" s="966" t="s">
        <v>817</v>
      </c>
      <c r="D9" s="959" t="s">
        <v>834</v>
      </c>
      <c r="E9" s="959" t="s">
        <v>835</v>
      </c>
      <c r="F9" s="960" t="s">
        <v>817</v>
      </c>
      <c r="G9" s="959" t="s">
        <v>836</v>
      </c>
      <c r="H9" s="959" t="s">
        <v>837</v>
      </c>
      <c r="I9" s="960" t="s">
        <v>817</v>
      </c>
      <c r="J9" s="960" t="s">
        <v>817</v>
      </c>
      <c r="K9" s="960" t="s">
        <v>817</v>
      </c>
      <c r="L9" s="960" t="s">
        <v>817</v>
      </c>
      <c r="M9" s="959" t="s">
        <v>833</v>
      </c>
      <c r="N9" s="960" t="s">
        <v>817</v>
      </c>
      <c r="O9" s="960" t="s">
        <v>817</v>
      </c>
      <c r="P9" s="972" t="s">
        <v>817</v>
      </c>
      <c r="Q9" s="973"/>
    </row>
    <row r="10" spans="1:17" ht="124.35" customHeight="1">
      <c r="A10" s="956" t="s">
        <v>556</v>
      </c>
      <c r="B10" s="957" t="s">
        <v>847</v>
      </c>
      <c r="C10" s="966" t="s">
        <v>817</v>
      </c>
      <c r="D10" s="966" t="s">
        <v>817</v>
      </c>
      <c r="E10" s="966" t="s">
        <v>817</v>
      </c>
      <c r="F10" s="960" t="s">
        <v>817</v>
      </c>
      <c r="G10" s="957" t="s">
        <v>838</v>
      </c>
      <c r="H10" s="960" t="s">
        <v>817</v>
      </c>
      <c r="I10" s="960" t="s">
        <v>817</v>
      </c>
      <c r="J10" s="960" t="s">
        <v>817</v>
      </c>
      <c r="K10" s="960" t="s">
        <v>817</v>
      </c>
      <c r="L10" s="960" t="s">
        <v>817</v>
      </c>
      <c r="M10" s="957" t="s">
        <v>839</v>
      </c>
      <c r="N10" s="960" t="s">
        <v>817</v>
      </c>
      <c r="O10" s="960" t="s">
        <v>817</v>
      </c>
      <c r="P10" s="972" t="s">
        <v>817</v>
      </c>
      <c r="Q10" s="963"/>
    </row>
    <row r="11" spans="1:17" ht="21">
      <c r="A11" s="956" t="s">
        <v>557</v>
      </c>
      <c r="B11" s="974" t="s">
        <v>840</v>
      </c>
      <c r="C11" s="974" t="s">
        <v>840</v>
      </c>
      <c r="D11" s="974" t="s">
        <v>840</v>
      </c>
      <c r="E11" s="974" t="s">
        <v>840</v>
      </c>
      <c r="F11" s="974" t="s">
        <v>840</v>
      </c>
      <c r="G11" s="974" t="s">
        <v>840</v>
      </c>
      <c r="H11" s="974" t="s">
        <v>840</v>
      </c>
      <c r="I11" s="974" t="s">
        <v>840</v>
      </c>
      <c r="J11" s="974" t="s">
        <v>840</v>
      </c>
      <c r="K11" s="974" t="s">
        <v>840</v>
      </c>
      <c r="L11" s="974" t="s">
        <v>840</v>
      </c>
      <c r="M11" s="974" t="s">
        <v>840</v>
      </c>
      <c r="N11" s="974" t="s">
        <v>840</v>
      </c>
      <c r="O11" s="974" t="s">
        <v>840</v>
      </c>
      <c r="P11" s="990" t="s">
        <v>840</v>
      </c>
      <c r="Q11" s="991"/>
    </row>
    <row r="12" spans="1:17" ht="21">
      <c r="A12" s="956" t="s">
        <v>558</v>
      </c>
      <c r="B12" s="974" t="s">
        <v>840</v>
      </c>
      <c r="C12" s="974" t="s">
        <v>817</v>
      </c>
      <c r="D12" s="974" t="s">
        <v>817</v>
      </c>
      <c r="E12" s="974" t="s">
        <v>817</v>
      </c>
      <c r="F12" s="974" t="s">
        <v>817</v>
      </c>
      <c r="G12" s="974" t="s">
        <v>817</v>
      </c>
      <c r="H12" s="974" t="s">
        <v>817</v>
      </c>
      <c r="I12" s="974" t="s">
        <v>817</v>
      </c>
      <c r="J12" s="974" t="s">
        <v>817</v>
      </c>
      <c r="K12" s="974" t="s">
        <v>817</v>
      </c>
      <c r="L12" s="974" t="s">
        <v>817</v>
      </c>
      <c r="M12" s="974" t="s">
        <v>817</v>
      </c>
      <c r="N12" s="974" t="s">
        <v>817</v>
      </c>
      <c r="O12" s="974" t="s">
        <v>817</v>
      </c>
      <c r="P12" s="975" t="s">
        <v>817</v>
      </c>
      <c r="Q12" s="478"/>
    </row>
    <row r="13" spans="1:17" ht="21">
      <c r="A13" s="956" t="s">
        <v>559</v>
      </c>
      <c r="B13" s="974" t="s">
        <v>840</v>
      </c>
      <c r="C13" s="974" t="s">
        <v>817</v>
      </c>
      <c r="D13" s="974" t="s">
        <v>840</v>
      </c>
      <c r="E13" s="974" t="s">
        <v>840</v>
      </c>
      <c r="F13" s="974" t="s">
        <v>817</v>
      </c>
      <c r="G13" s="974" t="s">
        <v>840</v>
      </c>
      <c r="H13" s="974" t="s">
        <v>840</v>
      </c>
      <c r="I13" s="974" t="s">
        <v>817</v>
      </c>
      <c r="J13" s="974" t="s">
        <v>817</v>
      </c>
      <c r="K13" s="974" t="s">
        <v>817</v>
      </c>
      <c r="L13" s="974" t="s">
        <v>817</v>
      </c>
      <c r="M13" s="974" t="s">
        <v>840</v>
      </c>
      <c r="N13" s="974" t="s">
        <v>817</v>
      </c>
      <c r="O13" s="974" t="s">
        <v>817</v>
      </c>
      <c r="P13" s="975" t="s">
        <v>817</v>
      </c>
      <c r="Q13" s="478"/>
    </row>
    <row r="14" spans="1:17" ht="30">
      <c r="A14" s="976" t="s">
        <v>854</v>
      </c>
      <c r="B14" s="964" t="s">
        <v>831</v>
      </c>
      <c r="C14" s="974" t="s">
        <v>817</v>
      </c>
      <c r="D14" s="964" t="s">
        <v>831</v>
      </c>
      <c r="E14" s="974" t="s">
        <v>817</v>
      </c>
      <c r="F14" s="974" t="s">
        <v>817</v>
      </c>
      <c r="G14" s="974" t="s">
        <v>817</v>
      </c>
      <c r="H14" s="974" t="s">
        <v>817</v>
      </c>
      <c r="I14" s="974" t="s">
        <v>817</v>
      </c>
      <c r="J14" s="974" t="s">
        <v>817</v>
      </c>
      <c r="K14" s="974" t="s">
        <v>817</v>
      </c>
      <c r="L14" s="974" t="s">
        <v>817</v>
      </c>
      <c r="M14" s="974" t="s">
        <v>817</v>
      </c>
      <c r="N14" s="974" t="s">
        <v>817</v>
      </c>
      <c r="O14" s="974" t="s">
        <v>817</v>
      </c>
      <c r="P14" s="990" t="s">
        <v>817</v>
      </c>
      <c r="Q14" s="1039"/>
    </row>
    <row r="15" spans="1:17" s="486" customFormat="1" ht="21">
      <c r="A15" s="977" t="s">
        <v>560</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841</v>
      </c>
      <c r="B18" s="987" t="s">
        <v>842</v>
      </c>
      <c r="C18" s="988" t="s">
        <v>843</v>
      </c>
      <c r="D18" s="989" t="s">
        <v>844</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859</v>
      </c>
    </row>
    <row r="2" spans="1:16" ht="60">
      <c r="A2" s="1186"/>
      <c r="B2" s="1187"/>
      <c r="C2" s="1187"/>
      <c r="D2" s="1188" t="s">
        <v>197</v>
      </c>
      <c r="E2" s="1188"/>
      <c r="F2" s="1188"/>
      <c r="G2" s="1188"/>
      <c r="H2" s="1188"/>
      <c r="I2" s="1053" t="s">
        <v>860</v>
      </c>
      <c r="J2" s="1053" t="s">
        <v>234</v>
      </c>
      <c r="K2" s="1053" t="s">
        <v>861</v>
      </c>
      <c r="L2" s="1053" t="s">
        <v>853</v>
      </c>
      <c r="M2" s="1053" t="s">
        <v>245</v>
      </c>
      <c r="N2" s="1053" t="s">
        <v>862</v>
      </c>
      <c r="O2" s="1053" t="s">
        <v>127</v>
      </c>
      <c r="P2" s="1187"/>
    </row>
    <row r="3" spans="1:16" ht="30">
      <c r="A3" s="1186"/>
      <c r="B3" s="1053" t="s">
        <v>863</v>
      </c>
      <c r="C3" s="1053" t="s">
        <v>864</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15169.121137191971</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24860.753207605158</v>
      </c>
      <c r="C6" s="1055"/>
      <c r="D6" s="1055"/>
      <c r="E6" s="1055"/>
      <c r="F6" s="1055"/>
      <c r="G6" s="1055"/>
      <c r="H6" s="1055"/>
      <c r="I6" s="1055"/>
      <c r="J6" s="1055"/>
      <c r="K6" s="1055"/>
      <c r="L6" s="1055"/>
      <c r="M6" s="1055"/>
      <c r="N6" s="1055"/>
      <c r="O6" s="1055"/>
      <c r="P6" s="1056">
        <f>'SEAP template'!Q74</f>
        <v>0</v>
      </c>
    </row>
    <row r="7" spans="1:16">
      <c r="A7" s="1057" t="s">
        <v>853</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2248.65</v>
      </c>
      <c r="D8" s="1055">
        <f>'SEAP template'!D76</f>
        <v>2645.4705882352951</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534.38505882352968</v>
      </c>
    </row>
    <row r="9" spans="1:16">
      <c r="A9" s="1058" t="s">
        <v>865</v>
      </c>
      <c r="B9" s="1055">
        <f>'SEAP template'!B77</f>
        <v>1237.5</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3535.7142857142858</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41267.374344797128</v>
      </c>
      <c r="C10" s="1059">
        <f>SUM(C4:C9)</f>
        <v>2248.65</v>
      </c>
      <c r="D10" s="1059">
        <f t="shared" ref="D10:H10" si="0">SUM(D8:D9)</f>
        <v>2645.4705882352951</v>
      </c>
      <c r="E10" s="1059">
        <f t="shared" si="0"/>
        <v>0</v>
      </c>
      <c r="F10" s="1059">
        <f t="shared" si="0"/>
        <v>0</v>
      </c>
      <c r="G10" s="1059">
        <f t="shared" si="0"/>
        <v>0</v>
      </c>
      <c r="H10" s="1059">
        <f t="shared" si="0"/>
        <v>0</v>
      </c>
      <c r="I10" s="1059">
        <f>SUM(I8:I9)</f>
        <v>0</v>
      </c>
      <c r="J10" s="1059">
        <f>SUM(J8:J9)</f>
        <v>3535.7142857142858</v>
      </c>
      <c r="K10" s="1059">
        <f t="shared" ref="K10:L10" si="1">SUM(K8:K9)</f>
        <v>0</v>
      </c>
      <c r="L10" s="1059">
        <f t="shared" si="1"/>
        <v>0</v>
      </c>
      <c r="M10" s="1059">
        <f>SUM(M8:M9)</f>
        <v>0</v>
      </c>
      <c r="N10" s="1059">
        <f>SUM(N8:N9)</f>
        <v>0</v>
      </c>
      <c r="O10" s="1059">
        <f>SUM(O8:O9)</f>
        <v>0</v>
      </c>
      <c r="P10" s="1059">
        <f>SUM(P8:P9)</f>
        <v>534.38505882352968</v>
      </c>
    </row>
    <row r="11" spans="1:16">
      <c r="A11" s="896"/>
      <c r="B11" s="896"/>
      <c r="C11" s="896"/>
      <c r="D11" s="896"/>
      <c r="E11" s="896"/>
      <c r="F11" s="896"/>
      <c r="G11" s="896"/>
      <c r="H11" s="896"/>
      <c r="I11" s="896"/>
      <c r="J11" s="896"/>
      <c r="K11" s="896"/>
      <c r="L11" s="896"/>
      <c r="M11" s="896"/>
      <c r="N11" s="896"/>
      <c r="O11" s="896"/>
      <c r="P11" s="896"/>
    </row>
    <row r="12" spans="1:16">
      <c r="A12" s="487" t="s">
        <v>866</v>
      </c>
      <c r="B12" s="786" t="s">
        <v>867</v>
      </c>
      <c r="C12" s="786">
        <f ca="1">'EF ele_warmte'!B12</f>
        <v>0.1986883517423392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868</v>
      </c>
    </row>
    <row r="15" spans="1:16">
      <c r="A15" s="1186"/>
      <c r="B15" s="1187"/>
      <c r="C15" s="1187"/>
      <c r="D15" s="1189" t="s">
        <v>197</v>
      </c>
      <c r="E15" s="1189"/>
      <c r="F15" s="1189"/>
      <c r="G15" s="1189"/>
      <c r="H15" s="1189"/>
      <c r="I15" s="1187" t="s">
        <v>860</v>
      </c>
      <c r="J15" s="1187" t="s">
        <v>234</v>
      </c>
      <c r="K15" s="1187" t="s">
        <v>861</v>
      </c>
      <c r="L15" s="1187" t="s">
        <v>853</v>
      </c>
      <c r="M15" s="1187" t="s">
        <v>245</v>
      </c>
      <c r="N15" s="1187" t="s">
        <v>869</v>
      </c>
      <c r="O15" s="1187" t="s">
        <v>127</v>
      </c>
      <c r="P15" s="1187"/>
    </row>
    <row r="16" spans="1:16" ht="30">
      <c r="A16" s="1186"/>
      <c r="B16" s="1053" t="s">
        <v>870</v>
      </c>
      <c r="C16" s="1053" t="s">
        <v>871</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3212.3571428571431</v>
      </c>
      <c r="D17" s="1056">
        <f>'SEAP template'!D87</f>
        <v>3779.2436974789925</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763.40722689075653</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872</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3212.3571428571431</v>
      </c>
      <c r="D20" s="1059">
        <f t="shared" ref="D20:H20" si="2">SUM(D17:D19)</f>
        <v>3779.2436974789925</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763.40722689075653</v>
      </c>
    </row>
    <row r="22" spans="1:16">
      <c r="A22" s="487" t="s">
        <v>873</v>
      </c>
      <c r="B22" s="786" t="s">
        <v>867</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859</v>
      </c>
    </row>
    <row r="2" spans="1:16" ht="15.75">
      <c r="A2" s="1186"/>
      <c r="B2" s="1187"/>
      <c r="C2" s="1187"/>
      <c r="D2" s="1188" t="s">
        <v>197</v>
      </c>
      <c r="E2" s="1188"/>
      <c r="F2" s="1188"/>
      <c r="G2" s="1188"/>
      <c r="H2" s="1188"/>
      <c r="I2" s="1053" t="s">
        <v>860</v>
      </c>
      <c r="J2" s="1053" t="s">
        <v>234</v>
      </c>
      <c r="K2" s="1053" t="s">
        <v>861</v>
      </c>
      <c r="L2" s="1053" t="s">
        <v>853</v>
      </c>
      <c r="M2" s="1053" t="s">
        <v>245</v>
      </c>
      <c r="N2" s="1053" t="s">
        <v>862</v>
      </c>
      <c r="O2" s="1053" t="s">
        <v>127</v>
      </c>
      <c r="P2" s="1187"/>
    </row>
    <row r="3" spans="1:16" ht="30">
      <c r="A3" s="1186"/>
      <c r="B3" s="1053" t="s">
        <v>863</v>
      </c>
      <c r="C3" s="1053" t="s">
        <v>864</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874</v>
      </c>
      <c r="C4" s="1066" t="s">
        <v>817</v>
      </c>
      <c r="D4" s="1066" t="s">
        <v>817</v>
      </c>
      <c r="E4" s="1066" t="s">
        <v>817</v>
      </c>
      <c r="F4" s="1066" t="s">
        <v>817</v>
      </c>
      <c r="G4" s="1066" t="s">
        <v>817</v>
      </c>
      <c r="H4" s="1066" t="s">
        <v>817</v>
      </c>
      <c r="I4" s="1066" t="s">
        <v>817</v>
      </c>
      <c r="J4" s="1066" t="s">
        <v>817</v>
      </c>
      <c r="K4" s="1066" t="s">
        <v>817</v>
      </c>
      <c r="L4" s="1066" t="s">
        <v>817</v>
      </c>
      <c r="M4" s="1066" t="s">
        <v>817</v>
      </c>
      <c r="N4" s="1066" t="s">
        <v>817</v>
      </c>
      <c r="O4" s="1066" t="s">
        <v>817</v>
      </c>
      <c r="P4" s="1067" t="s">
        <v>875</v>
      </c>
    </row>
    <row r="5" spans="1:16" ht="135">
      <c r="A5" s="1068" t="s">
        <v>250</v>
      </c>
      <c r="B5" s="1065" t="s">
        <v>874</v>
      </c>
      <c r="C5" s="1066" t="s">
        <v>817</v>
      </c>
      <c r="D5" s="1066" t="s">
        <v>817</v>
      </c>
      <c r="E5" s="1066" t="s">
        <v>817</v>
      </c>
      <c r="F5" s="1066" t="s">
        <v>817</v>
      </c>
      <c r="G5" s="1066" t="s">
        <v>817</v>
      </c>
      <c r="H5" s="1066" t="s">
        <v>817</v>
      </c>
      <c r="I5" s="1066" t="s">
        <v>817</v>
      </c>
      <c r="J5" s="1066" t="s">
        <v>817</v>
      </c>
      <c r="K5" s="1066" t="s">
        <v>817</v>
      </c>
      <c r="L5" s="1066" t="s">
        <v>817</v>
      </c>
      <c r="M5" s="1066" t="s">
        <v>817</v>
      </c>
      <c r="N5" s="1066" t="s">
        <v>817</v>
      </c>
      <c r="O5" s="1066" t="s">
        <v>817</v>
      </c>
      <c r="P5" s="1067" t="s">
        <v>875</v>
      </c>
    </row>
    <row r="6" spans="1:16" ht="135">
      <c r="A6" s="1068" t="s">
        <v>251</v>
      </c>
      <c r="B6" s="1065" t="s">
        <v>874</v>
      </c>
      <c r="C6" s="1066" t="s">
        <v>817</v>
      </c>
      <c r="D6" s="1066" t="s">
        <v>817</v>
      </c>
      <c r="E6" s="1066" t="s">
        <v>817</v>
      </c>
      <c r="F6" s="1066" t="s">
        <v>817</v>
      </c>
      <c r="G6" s="1066" t="s">
        <v>817</v>
      </c>
      <c r="H6" s="1066" t="s">
        <v>817</v>
      </c>
      <c r="I6" s="1066" t="s">
        <v>817</v>
      </c>
      <c r="J6" s="1066" t="s">
        <v>817</v>
      </c>
      <c r="K6" s="1066" t="s">
        <v>817</v>
      </c>
      <c r="L6" s="1066" t="s">
        <v>817</v>
      </c>
      <c r="M6" s="1066" t="s">
        <v>817</v>
      </c>
      <c r="N6" s="1066" t="s">
        <v>817</v>
      </c>
      <c r="O6" s="1066" t="s">
        <v>817</v>
      </c>
      <c r="P6" s="1067" t="s">
        <v>875</v>
      </c>
    </row>
    <row r="7" spans="1:16" ht="135">
      <c r="A7" s="1068" t="s">
        <v>853</v>
      </c>
      <c r="B7" s="1066" t="s">
        <v>817</v>
      </c>
      <c r="C7" s="1066" t="s">
        <v>817</v>
      </c>
      <c r="D7" s="1066" t="s">
        <v>817</v>
      </c>
      <c r="E7" s="1066" t="s">
        <v>817</v>
      </c>
      <c r="F7" s="1066" t="s">
        <v>817</v>
      </c>
      <c r="G7" s="1066" t="s">
        <v>817</v>
      </c>
      <c r="H7" s="1066" t="s">
        <v>817</v>
      </c>
      <c r="I7" s="1066" t="s">
        <v>817</v>
      </c>
      <c r="J7" s="1066" t="s">
        <v>817</v>
      </c>
      <c r="K7" s="1066" t="s">
        <v>817</v>
      </c>
      <c r="L7" s="1066" t="s">
        <v>817</v>
      </c>
      <c r="M7" s="1066" t="s">
        <v>817</v>
      </c>
      <c r="N7" s="1066" t="s">
        <v>817</v>
      </c>
      <c r="O7" s="1066" t="s">
        <v>817</v>
      </c>
      <c r="P7" s="1067" t="s">
        <v>875</v>
      </c>
    </row>
    <row r="8" spans="1:16" ht="210">
      <c r="A8" s="1064" t="s">
        <v>252</v>
      </c>
      <c r="B8" s="1065" t="s">
        <v>876</v>
      </c>
      <c r="C8" s="1065" t="s">
        <v>876</v>
      </c>
      <c r="D8" s="1065" t="s">
        <v>876</v>
      </c>
      <c r="E8" s="1065" t="s">
        <v>876</v>
      </c>
      <c r="F8" s="1065" t="s">
        <v>876</v>
      </c>
      <c r="G8" s="1065" t="s">
        <v>876</v>
      </c>
      <c r="H8" s="1065" t="s">
        <v>876</v>
      </c>
      <c r="I8" s="1065" t="s">
        <v>876</v>
      </c>
      <c r="J8" s="1065" t="s">
        <v>876</v>
      </c>
      <c r="K8" s="1066" t="s">
        <v>817</v>
      </c>
      <c r="L8" s="1066" t="s">
        <v>817</v>
      </c>
      <c r="M8" s="1066" t="s">
        <v>817</v>
      </c>
      <c r="N8" s="1065" t="s">
        <v>877</v>
      </c>
      <c r="O8" s="1065" t="s">
        <v>877</v>
      </c>
      <c r="P8" s="1069"/>
    </row>
    <row r="9" spans="1:16" ht="210">
      <c r="A9" s="1070" t="s">
        <v>865</v>
      </c>
      <c r="B9" s="1065" t="s">
        <v>877</v>
      </c>
      <c r="C9" s="1065" t="s">
        <v>877</v>
      </c>
      <c r="D9" s="1065" t="s">
        <v>877</v>
      </c>
      <c r="E9" s="1065" t="s">
        <v>877</v>
      </c>
      <c r="F9" s="1065" t="s">
        <v>877</v>
      </c>
      <c r="G9" s="1065" t="s">
        <v>877</v>
      </c>
      <c r="H9" s="1065" t="s">
        <v>877</v>
      </c>
      <c r="I9" s="1065" t="s">
        <v>877</v>
      </c>
      <c r="J9" s="1065" t="s">
        <v>877</v>
      </c>
      <c r="K9" s="1066" t="s">
        <v>817</v>
      </c>
      <c r="L9" s="1065" t="s">
        <v>877</v>
      </c>
      <c r="M9" s="1065" t="s">
        <v>877</v>
      </c>
      <c r="N9" s="1065" t="s">
        <v>877</v>
      </c>
      <c r="O9" s="1065" t="s">
        <v>877</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866</v>
      </c>
      <c r="B12" s="786" t="s">
        <v>867</v>
      </c>
      <c r="C12" s="1072" t="s">
        <v>878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868</v>
      </c>
    </row>
    <row r="15" spans="1:16">
      <c r="A15" s="1186"/>
      <c r="B15" s="1187"/>
      <c r="C15" s="1187"/>
      <c r="D15" s="1189" t="s">
        <v>197</v>
      </c>
      <c r="E15" s="1189"/>
      <c r="F15" s="1189"/>
      <c r="G15" s="1189"/>
      <c r="H15" s="1189"/>
      <c r="I15" s="1187" t="s">
        <v>860</v>
      </c>
      <c r="J15" s="1187" t="s">
        <v>234</v>
      </c>
      <c r="K15" s="1187" t="s">
        <v>861</v>
      </c>
      <c r="L15" s="1187" t="s">
        <v>853</v>
      </c>
      <c r="M15" s="1187" t="s">
        <v>245</v>
      </c>
      <c r="N15" s="1187" t="s">
        <v>869</v>
      </c>
      <c r="O15" s="1187" t="s">
        <v>127</v>
      </c>
      <c r="P15" s="1187"/>
    </row>
    <row r="16" spans="1:16" ht="30">
      <c r="A16" s="1186"/>
      <c r="B16" s="1053" t="s">
        <v>870</v>
      </c>
      <c r="C16" s="1053" t="s">
        <v>871</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877</v>
      </c>
      <c r="C17" s="1065" t="s">
        <v>877</v>
      </c>
      <c r="D17" s="1065" t="s">
        <v>877</v>
      </c>
      <c r="E17" s="1065" t="s">
        <v>877</v>
      </c>
      <c r="F17" s="1065" t="s">
        <v>877</v>
      </c>
      <c r="G17" s="1065" t="s">
        <v>877</v>
      </c>
      <c r="H17" s="1065" t="s">
        <v>877</v>
      </c>
      <c r="I17" s="1065" t="s">
        <v>877</v>
      </c>
      <c r="J17" s="1065" t="s">
        <v>877</v>
      </c>
      <c r="K17" s="1066" t="s">
        <v>817</v>
      </c>
      <c r="L17" s="1066" t="s">
        <v>817</v>
      </c>
      <c r="M17" s="1066" t="s">
        <v>817</v>
      </c>
      <c r="N17" s="1065" t="s">
        <v>877</v>
      </c>
      <c r="O17" s="1065" t="s">
        <v>877</v>
      </c>
      <c r="P17" s="1073"/>
    </row>
    <row r="18" spans="1:16" ht="45">
      <c r="A18" s="1062" t="s">
        <v>258</v>
      </c>
      <c r="B18" s="1067" t="s">
        <v>840</v>
      </c>
      <c r="C18" s="1067" t="s">
        <v>840</v>
      </c>
      <c r="D18" s="1067" t="s">
        <v>840</v>
      </c>
      <c r="E18" s="1067" t="s">
        <v>840</v>
      </c>
      <c r="F18" s="1067" t="s">
        <v>840</v>
      </c>
      <c r="G18" s="1067" t="s">
        <v>840</v>
      </c>
      <c r="H18" s="1067" t="s">
        <v>840</v>
      </c>
      <c r="I18" s="1067" t="s">
        <v>840</v>
      </c>
      <c r="J18" s="1067" t="s">
        <v>840</v>
      </c>
      <c r="K18" s="1067" t="s">
        <v>840</v>
      </c>
      <c r="L18" s="1067" t="s">
        <v>840</v>
      </c>
      <c r="M18" s="1067" t="s">
        <v>840</v>
      </c>
      <c r="N18" s="1067" t="s">
        <v>840</v>
      </c>
      <c r="O18" s="1067" t="s">
        <v>840</v>
      </c>
      <c r="P18" s="1067" t="s">
        <v>840</v>
      </c>
    </row>
    <row r="19" spans="1:16" ht="45">
      <c r="A19" s="1058" t="s">
        <v>872</v>
      </c>
      <c r="B19" s="1067" t="s">
        <v>840</v>
      </c>
      <c r="C19" s="1067" t="s">
        <v>840</v>
      </c>
      <c r="D19" s="1067" t="s">
        <v>840</v>
      </c>
      <c r="E19" s="1067" t="s">
        <v>840</v>
      </c>
      <c r="F19" s="1067" t="s">
        <v>840</v>
      </c>
      <c r="G19" s="1067" t="s">
        <v>840</v>
      </c>
      <c r="H19" s="1067" t="s">
        <v>840</v>
      </c>
      <c r="I19" s="1067" t="s">
        <v>840</v>
      </c>
      <c r="J19" s="1067" t="s">
        <v>840</v>
      </c>
      <c r="K19" s="1067" t="s">
        <v>840</v>
      </c>
      <c r="L19" s="1067" t="s">
        <v>840</v>
      </c>
      <c r="M19" s="1067" t="s">
        <v>840</v>
      </c>
      <c r="N19" s="1067" t="s">
        <v>840</v>
      </c>
      <c r="O19" s="1067" t="s">
        <v>840</v>
      </c>
      <c r="P19" s="1067" t="s">
        <v>840</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873</v>
      </c>
      <c r="B22" s="786" t="s">
        <v>867</v>
      </c>
      <c r="C22" s="1072" t="s">
        <v>879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583</v>
      </c>
      <c r="B6" s="75" t="s">
        <v>584</v>
      </c>
      <c r="C6" s="460" t="s">
        <v>567</v>
      </c>
    </row>
    <row r="7" spans="1:3">
      <c r="A7" s="125"/>
      <c r="B7" s="129"/>
      <c r="C7" s="122"/>
    </row>
    <row r="8" spans="1:3">
      <c r="A8" s="113" t="s">
        <v>586</v>
      </c>
      <c r="B8" s="75" t="s">
        <v>585</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620</v>
      </c>
    </row>
    <row r="13" spans="1:3">
      <c r="A13" s="140"/>
      <c r="B13" s="124"/>
      <c r="C13" s="302"/>
    </row>
    <row r="14" spans="1:3" s="11" customFormat="1">
      <c r="A14" s="113" t="s">
        <v>603</v>
      </c>
      <c r="B14" s="130" t="s">
        <v>604</v>
      </c>
      <c r="C14" s="131" t="s">
        <v>605</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615</v>
      </c>
      <c r="B4" s="490"/>
      <c r="C4" s="490"/>
      <c r="D4" s="490"/>
      <c r="E4" s="490"/>
      <c r="F4" s="490"/>
      <c r="G4" s="522"/>
      <c r="H4" s="522"/>
      <c r="I4" s="490"/>
      <c r="J4" s="490"/>
      <c r="K4" s="490"/>
      <c r="L4" s="490"/>
      <c r="M4" s="490"/>
      <c r="N4" s="490"/>
      <c r="O4" s="490"/>
      <c r="P4" s="490"/>
    </row>
    <row r="5" spans="1:16" outlineLevel="1">
      <c r="A5" s="694" t="s">
        <v>616</v>
      </c>
      <c r="B5" s="490"/>
      <c r="C5" s="490"/>
      <c r="D5" s="490"/>
      <c r="E5" s="490"/>
      <c r="F5" s="490"/>
      <c r="G5" s="522"/>
      <c r="H5" s="522"/>
      <c r="I5" s="490"/>
      <c r="J5" s="490"/>
      <c r="K5" s="490"/>
      <c r="L5" s="490"/>
      <c r="M5" s="490"/>
      <c r="N5" s="490"/>
      <c r="O5" s="490"/>
      <c r="P5" s="490"/>
    </row>
    <row r="6" spans="1:16" outlineLevel="1">
      <c r="A6" s="694" t="s">
        <v>617</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618</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619</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581</v>
      </c>
      <c r="B13" s="477"/>
      <c r="C13" s="494"/>
      <c r="D13" s="494"/>
      <c r="E13" s="494"/>
      <c r="F13" s="494"/>
      <c r="G13" s="494"/>
      <c r="H13" s="494"/>
      <c r="I13" s="494"/>
      <c r="J13" s="494"/>
      <c r="K13" s="494"/>
      <c r="L13" s="494"/>
      <c r="M13" s="494"/>
      <c r="N13" s="494"/>
      <c r="O13" s="787" t="s">
        <v>636</v>
      </c>
      <c r="P13" s="787" t="s">
        <v>635</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608</v>
      </c>
      <c r="B17" s="524">
        <f ca="1">'EF ele_warmte'!B12</f>
        <v>0.1986883517423392</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657</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627</v>
      </c>
      <c r="B27" s="794">
        <f>B24*B25*B26</f>
        <v>0</v>
      </c>
      <c r="C27" s="515" t="s">
        <v>628</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657</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627</v>
      </c>
      <c r="B35" s="793">
        <f>B31*B32*B33/1000-B31*B32*B33/1000/B34</f>
        <v>0</v>
      </c>
      <c r="C35" s="521" t="s">
        <v>628</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2019-08-12T08:26:09Z</dcterms:modified>
</cp:coreProperties>
</file>