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G19"/>
  <c r="G20" s="1"/>
  <c r="F19"/>
  <c r="G89" i="14" s="1"/>
  <c r="G19" i="59" s="1"/>
  <c r="E19" i="18"/>
  <c r="D19"/>
  <c r="E89" i="14" s="1"/>
  <c r="E19" i="59" s="1"/>
  <c r="C19" i="18"/>
  <c r="D89" i="14" s="1"/>
  <c r="D19" i="59" s="1"/>
  <c r="B19" i="18"/>
  <c r="N18"/>
  <c r="L88" i="14" s="1"/>
  <c r="L18" i="59" s="1"/>
  <c r="M18" i="18"/>
  <c r="K88" i="14" s="1"/>
  <c r="K18" i="59" s="1"/>
  <c r="L18" i="18"/>
  <c r="L20" s="1"/>
  <c r="K18"/>
  <c r="K20" s="1"/>
  <c r="J18"/>
  <c r="J88" i="14" s="1"/>
  <c r="J18" i="59" s="1"/>
  <c r="I18" i="18"/>
  <c r="H18"/>
  <c r="G18"/>
  <c r="F18"/>
  <c r="F20" s="1"/>
  <c r="E18"/>
  <c r="F88" i="14" s="1"/>
  <c r="F18" i="59" s="1"/>
  <c r="D18" i="18"/>
  <c r="C18"/>
  <c r="B18"/>
  <c r="L9"/>
  <c r="L10" s="1"/>
  <c r="K9"/>
  <c r="I9"/>
  <c r="I77" i="14" s="1"/>
  <c r="I9" i="59" s="1"/>
  <c r="H9" i="18"/>
  <c r="M77" i="14" s="1"/>
  <c r="M9" i="59" s="1"/>
  <c r="G9" i="18"/>
  <c r="H77" i="14" s="1"/>
  <c r="H9" i="59" s="1"/>
  <c r="F9" i="18"/>
  <c r="E9"/>
  <c r="F77" i="14" s="1"/>
  <c r="F9" i="59" s="1"/>
  <c r="D9" i="18"/>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D20"/>
  <c r="B17"/>
  <c r="B20" s="1"/>
  <c r="G12"/>
  <c r="F12"/>
  <c r="E12"/>
  <c r="D12"/>
  <c r="C12"/>
  <c r="K10"/>
  <c r="G10"/>
  <c r="F10"/>
  <c r="D10"/>
  <c r="B8"/>
  <c r="B6"/>
  <c r="B5"/>
  <c r="B4"/>
  <c r="N6" i="17"/>
  <c r="L6"/>
  <c r="D6"/>
  <c r="D5"/>
  <c r="B19" i="6"/>
  <c r="B18"/>
  <c r="B5"/>
  <c r="C29" i="14" s="1"/>
  <c r="B6" i="6"/>
  <c r="D14"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M4"/>
  <c r="L4"/>
  <c r="K4"/>
  <c r="I4"/>
  <c r="H4"/>
  <c r="G4"/>
  <c r="P11"/>
  <c r="P29" s="1"/>
  <c r="O11"/>
  <c r="N11"/>
  <c r="M11"/>
  <c r="L11"/>
  <c r="K11"/>
  <c r="J11"/>
  <c r="I11"/>
  <c r="H11"/>
  <c r="G11"/>
  <c r="F11"/>
  <c r="E11"/>
  <c r="D11"/>
  <c r="C11"/>
  <c r="B11"/>
  <c r="P32"/>
  <c r="O32"/>
  <c r="P31"/>
  <c r="O31"/>
  <c r="O29"/>
  <c r="P28"/>
  <c r="O28"/>
  <c r="P27"/>
  <c r="O27"/>
  <c r="P25"/>
  <c r="O25"/>
  <c r="M89" i="14"/>
  <c r="M19" i="59" s="1"/>
  <c r="L89" i="14"/>
  <c r="L19" i="59" s="1"/>
  <c r="K89" i="14"/>
  <c r="K19" i="59" s="1"/>
  <c r="J89" i="14"/>
  <c r="J19" i="59" s="1"/>
  <c r="O88" i="14"/>
  <c r="O18" i="59" s="1"/>
  <c r="N88" i="14"/>
  <c r="N18" i="59" s="1"/>
  <c r="N20"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E20" s="1"/>
  <c r="O77" i="14"/>
  <c r="N77"/>
  <c r="N9" i="59" s="1"/>
  <c r="L77" i="14"/>
  <c r="L9" i="59" s="1"/>
  <c r="K77" i="14"/>
  <c r="K9" i="59" s="1"/>
  <c r="G77" i="14"/>
  <c r="G9" i="59" s="1"/>
  <c r="E77" i="14"/>
  <c r="E9" i="59" s="1"/>
  <c r="O76" i="14"/>
  <c r="O8" i="59" s="1"/>
  <c r="N76" i="14"/>
  <c r="N8" i="59" s="1"/>
  <c r="L76" i="14"/>
  <c r="K76"/>
  <c r="K8" i="59" s="1"/>
  <c r="H76" i="14"/>
  <c r="G76"/>
  <c r="E76"/>
  <c r="E8" i="59" s="1"/>
  <c r="E10" s="1"/>
  <c r="B75" i="14"/>
  <c r="B7" i="59" s="1"/>
  <c r="B74" i="14"/>
  <c r="B6" i="59" s="1"/>
  <c r="B73" i="14"/>
  <c r="B5"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M20"/>
  <c r="L20"/>
  <c r="K20"/>
  <c r="J20"/>
  <c r="G20"/>
  <c r="G22" s="1"/>
  <c r="D20"/>
  <c r="Q19"/>
  <c r="P19"/>
  <c r="O19"/>
  <c r="M19"/>
  <c r="L19"/>
  <c r="L22" s="1"/>
  <c r="K19"/>
  <c r="J19"/>
  <c r="I19"/>
  <c r="G19"/>
  <c r="F19"/>
  <c r="E19"/>
  <c r="D19"/>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R9" s="1"/>
  <c r="F9"/>
  <c r="E9"/>
  <c r="D9"/>
  <c r="C9"/>
  <c r="R90"/>
  <c r="N90"/>
  <c r="R78"/>
  <c r="K78"/>
  <c r="J56"/>
  <c r="H56"/>
  <c r="I56"/>
  <c r="Q52"/>
  <c r="P52"/>
  <c r="R44"/>
  <c r="R25"/>
  <c r="E25"/>
  <c r="E55" s="1"/>
  <c r="C25"/>
  <c r="N26"/>
  <c r="L26"/>
  <c r="J26"/>
  <c r="I26"/>
  <c r="D22"/>
  <c r="M22"/>
  <c r="K22"/>
  <c r="R12"/>
  <c r="O78" l="1"/>
  <c r="O9" i="59"/>
  <c r="G8"/>
  <c r="G10" s="1"/>
  <c r="G78" i="14"/>
  <c r="H10" i="59"/>
  <c r="K90" i="14"/>
  <c r="O22"/>
  <c r="L90"/>
  <c r="Q11" i="48"/>
  <c r="O20" i="59"/>
  <c r="L78" i="14"/>
  <c r="L8" i="59"/>
  <c r="L10" s="1"/>
  <c r="H18"/>
  <c r="H78" i="14"/>
  <c r="H8" i="59"/>
  <c r="K20"/>
  <c r="O10"/>
  <c r="N10"/>
  <c r="L20"/>
  <c r="H89" i="14"/>
  <c r="H19" i="59" s="1"/>
  <c r="O19" i="18"/>
  <c r="K10" i="59"/>
  <c r="H20"/>
  <c r="C98" i="18"/>
  <c r="I101" s="1"/>
  <c r="H8" s="1"/>
  <c r="D13" i="15"/>
  <c r="O90" i="14"/>
  <c r="B10" i="18"/>
  <c r="C13" i="15"/>
  <c r="L13"/>
  <c r="N13"/>
  <c r="Q77" i="14"/>
  <c r="P9" i="59" s="1"/>
  <c r="O9" i="18"/>
  <c r="O18"/>
  <c r="B89" i="14"/>
  <c r="B19" i="59" s="1"/>
  <c r="G88" i="14"/>
  <c r="F89"/>
  <c r="E101" i="18"/>
  <c r="E8" s="1"/>
  <c r="H101"/>
  <c r="D101"/>
  <c r="I102"/>
  <c r="H17" s="1"/>
  <c r="E102"/>
  <c r="E17" s="1"/>
  <c r="H102"/>
  <c r="D102"/>
  <c r="G102"/>
  <c r="C102"/>
  <c r="F102"/>
  <c r="B102"/>
  <c r="C17" s="1"/>
  <c r="B88" i="14"/>
  <c r="B18" i="59" s="1"/>
  <c r="B77" i="14"/>
  <c r="B9" i="59" s="1"/>
  <c r="Q14" i="48"/>
  <c r="O24"/>
  <c r="O30"/>
  <c r="P24"/>
  <c r="P30"/>
  <c r="C77" i="14"/>
  <c r="C9" i="59" s="1"/>
  <c r="C88" i="14"/>
  <c r="C18" i="59" s="1"/>
  <c r="E78" i="14"/>
  <c r="E90"/>
  <c r="N78"/>
  <c r="G90" l="1"/>
  <c r="G18" i="59"/>
  <c r="G20" s="1"/>
  <c r="C89" i="14"/>
  <c r="C19" i="59" s="1"/>
  <c r="F19"/>
  <c r="G101" i="18"/>
  <c r="I8" s="1"/>
  <c r="O8" s="1"/>
  <c r="O10" s="1"/>
  <c r="C101"/>
  <c r="J8" s="1"/>
  <c r="H90" i="14"/>
  <c r="F101" i="18"/>
  <c r="B101"/>
  <c r="C8" s="1"/>
  <c r="Q88" i="14"/>
  <c r="P18" i="59" s="1"/>
  <c r="Q89" i="14"/>
  <c r="P19" i="59" s="1"/>
  <c r="C20" i="18"/>
  <c r="D87" i="14"/>
  <c r="D17" i="59" s="1"/>
  <c r="D20" s="1"/>
  <c r="D76" i="14"/>
  <c r="D8" i="59" s="1"/>
  <c r="D10" s="1"/>
  <c r="C10" i="18"/>
  <c r="J17"/>
  <c r="F87" i="14"/>
  <c r="E20" i="18"/>
  <c r="E10"/>
  <c r="F76" i="14"/>
  <c r="F8" i="59" s="1"/>
  <c r="F10" s="1"/>
  <c r="I17" i="18"/>
  <c r="O17" s="1"/>
  <c r="O20" s="1"/>
  <c r="H20"/>
  <c r="M87" i="14"/>
  <c r="M76"/>
  <c r="H10" i="18"/>
  <c r="H14" i="15"/>
  <c r="H16" s="1"/>
  <c r="G14"/>
  <c r="G16" s="1"/>
  <c r="M78" i="14" l="1"/>
  <c r="M8" i="59"/>
  <c r="M10" s="1"/>
  <c r="F90" i="14"/>
  <c r="F17" i="59"/>
  <c r="F20" s="1"/>
  <c r="I10" i="14"/>
  <c r="I16" s="1"/>
  <c r="H5" i="48"/>
  <c r="G5"/>
  <c r="H10" i="14"/>
  <c r="H16" s="1"/>
  <c r="M90"/>
  <c r="M17" i="59"/>
  <c r="M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G32" i="48"/>
  <c r="G26"/>
  <c r="G25"/>
  <c r="G29"/>
  <c r="G30"/>
  <c r="G24"/>
  <c r="G22"/>
  <c r="G23"/>
  <c r="C11" i="14"/>
  <c r="B4" i="48"/>
  <c r="F27"/>
  <c r="F32"/>
  <c r="F31"/>
  <c r="F29"/>
  <c r="F30"/>
  <c r="F28"/>
  <c r="F24"/>
  <c r="N27"/>
  <c r="N32"/>
  <c r="N31"/>
  <c r="N29"/>
  <c r="N28"/>
  <c r="N30"/>
  <c r="N24"/>
  <c r="B10"/>
  <c r="C19" i="14"/>
  <c r="E32" i="48"/>
  <c r="E31"/>
  <c r="E29"/>
  <c r="E30"/>
  <c r="E28"/>
  <c r="E24"/>
  <c r="M32"/>
  <c r="M25"/>
  <c r="M26"/>
  <c r="M29"/>
  <c r="M22"/>
  <c r="M24"/>
  <c r="M30"/>
  <c r="M23"/>
  <c r="K5"/>
  <c r="L10" i="14"/>
  <c r="L16" s="1"/>
  <c r="L27" s="1"/>
  <c r="D30" i="48"/>
  <c r="D29"/>
  <c r="D28"/>
  <c r="D31"/>
  <c r="D24"/>
  <c r="D32"/>
  <c r="L32"/>
  <c r="L29"/>
  <c r="L28"/>
  <c r="L24"/>
  <c r="L22"/>
  <c r="L30"/>
  <c r="L31"/>
  <c r="L27"/>
  <c r="P5"/>
  <c r="P23" s="1"/>
  <c r="Q10" i="14"/>
  <c r="K32" i="48"/>
  <c r="K25"/>
  <c r="K26"/>
  <c r="K28"/>
  <c r="K27"/>
  <c r="K30"/>
  <c r="K29"/>
  <c r="K31"/>
  <c r="K24"/>
  <c r="K22"/>
  <c r="B7"/>
  <c r="C24" i="14"/>
  <c r="C26" s="1"/>
  <c r="J28" i="48"/>
  <c r="J27"/>
  <c r="J32"/>
  <c r="J29"/>
  <c r="J30"/>
  <c r="J24"/>
  <c r="J31"/>
  <c r="P4"/>
  <c r="Q11" i="14"/>
  <c r="O4" i="48"/>
  <c r="P11" i="14"/>
  <c r="I28" i="48"/>
  <c r="I27"/>
  <c r="I32"/>
  <c r="I29"/>
  <c r="I25"/>
  <c r="I31"/>
  <c r="I24"/>
  <c r="I26"/>
  <c r="I22"/>
  <c r="I30"/>
  <c r="D4"/>
  <c r="D22" s="1"/>
  <c r="E11" i="14"/>
  <c r="H28" i="48"/>
  <c r="H32"/>
  <c r="H25"/>
  <c r="H29"/>
  <c r="H24"/>
  <c r="H22"/>
  <c r="H30"/>
  <c r="H26"/>
  <c r="H23"/>
  <c r="J15" i="16"/>
  <c r="N46"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Q63" s="1"/>
  <c r="E9" i="48"/>
  <c r="E27" s="1"/>
  <c r="F20" i="14"/>
  <c r="F22" s="1"/>
  <c r="E20"/>
  <c r="E22" s="1"/>
  <c r="D9" i="48"/>
  <c r="D27" s="1"/>
  <c r="O5"/>
  <c r="O23" s="1"/>
  <c r="P10" i="14"/>
  <c r="K24"/>
  <c r="K26" s="1"/>
  <c r="J7" i="48"/>
  <c r="J25" s="1"/>
  <c r="C20" i="14"/>
  <c r="B9" i="48"/>
  <c r="P15"/>
  <c r="P22"/>
  <c r="P33" s="1"/>
  <c r="F4"/>
  <c r="F22" s="1"/>
  <c r="G11" i="14"/>
  <c r="I5" i="48"/>
  <c r="J10" i="14"/>
  <c r="J16" s="1"/>
  <c r="J27" s="1"/>
  <c r="M12" i="22"/>
  <c r="M13" i="48"/>
  <c r="M31" s="1"/>
  <c r="N18" i="14"/>
  <c r="O22" i="48"/>
  <c r="G13"/>
  <c r="H18" i="14"/>
  <c r="H13" i="48"/>
  <c r="H31" s="1"/>
  <c r="I18" i="14"/>
  <c r="K23" i="48"/>
  <c r="K15"/>
  <c r="K33"/>
  <c r="J12" i="17"/>
  <c r="K54" i="14" s="1"/>
  <c r="K56" s="1"/>
  <c r="L46"/>
  <c r="L61" s="1"/>
  <c r="L63" s="1"/>
  <c r="J46"/>
  <c r="J61"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K11"/>
  <c r="J4" i="48"/>
  <c r="E7"/>
  <c r="E25" s="1"/>
  <c r="F24" i="14"/>
  <c r="F26" s="1"/>
  <c r="M9" i="48"/>
  <c r="N20" i="14"/>
  <c r="O22" i="16"/>
  <c r="P43" i="14" s="1"/>
  <c r="P46" s="1"/>
  <c r="P61" s="1"/>
  <c r="P63" s="1"/>
  <c r="O8" i="48"/>
  <c r="P13" i="14"/>
  <c r="I20"/>
  <c r="H9" i="48"/>
  <c r="M10"/>
  <c r="M28" s="1"/>
  <c r="N19" i="14"/>
  <c r="G10" i="48"/>
  <c r="H19" i="14"/>
  <c r="R19" s="1"/>
  <c r="G31" i="48"/>
  <c r="Q13"/>
  <c r="R18" i="14"/>
  <c r="I23" i="48"/>
  <c r="I33" s="1"/>
  <c r="I15"/>
  <c r="J63" i="14"/>
  <c r="I22"/>
  <c r="I27" s="1"/>
  <c r="G14" i="22"/>
  <c r="N22" i="14"/>
  <c r="N27" s="1"/>
  <c r="P16"/>
  <c r="P27" s="1"/>
  <c r="C22"/>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N52" s="1"/>
  <c r="N61" s="1"/>
  <c r="N63" s="1"/>
  <c r="J20" i="15"/>
  <c r="K40" i="14" s="1"/>
  <c r="N20" i="15"/>
  <c r="O40" i="14" s="1"/>
  <c r="F20" i="15"/>
  <c r="G40" i="14" s="1"/>
  <c r="N5" i="16"/>
  <c r="E5"/>
  <c r="J5"/>
  <c r="C35" i="13"/>
  <c r="F5" i="16"/>
  <c r="C36" i="13"/>
  <c r="N12"/>
  <c r="O41" i="14" s="1"/>
  <c r="C38" i="13"/>
  <c r="C39"/>
  <c r="C32"/>
  <c r="C34"/>
  <c r="J12"/>
  <c r="K41" i="14" s="1"/>
  <c r="L20" i="15"/>
  <c r="M40" i="14" s="1"/>
  <c r="E22" i="48" l="1"/>
  <c r="Q4"/>
  <c r="O26"/>
  <c r="O33" s="1"/>
  <c r="O15"/>
  <c r="H20" i="14"/>
  <c r="R20" s="1"/>
  <c r="R22" s="1"/>
  <c r="G9" i="48"/>
  <c r="J22"/>
  <c r="E5"/>
  <c r="E23" s="1"/>
  <c r="F10" i="14"/>
  <c r="H27" i="48"/>
  <c r="H33" s="1"/>
  <c r="H15"/>
  <c r="J5"/>
  <c r="J23" s="1"/>
  <c r="K10" i="14"/>
  <c r="M27" i="48"/>
  <c r="M33" s="1"/>
  <c r="M15"/>
  <c r="G28"/>
  <c r="Q10"/>
  <c r="I63" i="14"/>
  <c r="H22"/>
  <c r="H27" s="1"/>
  <c r="Q7" i="48"/>
  <c r="E20" i="15"/>
  <c r="F40" i="14" s="1"/>
  <c r="J18" i="16"/>
  <c r="E18"/>
  <c r="F18"/>
  <c r="F22" s="1"/>
  <c r="G43" i="14" s="1"/>
  <c r="N18" i="16"/>
  <c r="G18" i="22"/>
  <c r="H50" i="14" s="1"/>
  <c r="H52" s="1"/>
  <c r="H61" s="1"/>
  <c r="H63" s="1"/>
  <c r="H18" i="22"/>
  <c r="I50" i="14" s="1"/>
  <c r="I52" s="1"/>
  <c r="I61" s="1"/>
  <c r="E8" i="48" l="1"/>
  <c r="E26" s="1"/>
  <c r="F13" i="14"/>
  <c r="G27" i="48"/>
  <c r="G33" s="1"/>
  <c r="G15"/>
  <c r="Q9"/>
  <c r="J22" i="16"/>
  <c r="K43" i="14" s="1"/>
  <c r="K46" s="1"/>
  <c r="K61" s="1"/>
  <c r="J8" i="48"/>
  <c r="J26" s="1"/>
  <c r="K13" i="14"/>
  <c r="K16" s="1"/>
  <c r="K27" s="1"/>
  <c r="F16"/>
  <c r="F27" s="1"/>
  <c r="E22" i="16"/>
  <c r="F43" i="14" s="1"/>
  <c r="J15" i="48"/>
  <c r="F46" i="14"/>
  <c r="F61" s="1"/>
  <c r="F63" s="1"/>
  <c r="J33" i="48"/>
  <c r="E33"/>
  <c r="E15"/>
  <c r="N8"/>
  <c r="N26" s="1"/>
  <c r="O13" i="14"/>
  <c r="N22" i="16"/>
  <c r="O43" i="14" s="1"/>
  <c r="G13"/>
  <c r="R13" s="1"/>
  <c r="F8" i="48"/>
  <c r="K63" i="14" l="1"/>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<sst xmlns="http://schemas.openxmlformats.org/spreadsheetml/2006/main" count="2392" uniqueCount="890">
  <si>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</si>
  <si>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</si>
  <si>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</si>
  <si>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</si>
  <si>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</si>
  <si>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</si>
  <si>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</si>
  <si>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</si>
  <si>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</si>
  <si>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</si>
  <si>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</si>
  <si>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</si>
  <si>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</si>
  <si>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</si>
  <si>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</si>
  <si>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</si>
  <si>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</si>
  <si>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</si>
  <si>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</si>
  <si>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</si>
  <si>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</si>
  <si>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</si>
  <si>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</si>
  <si>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</si>
  <si>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</si>
  <si>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</si>
  <si>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</si>
  <si>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</si>
  <si>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</si>
  <si>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</si>
  <si>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</si>
  <si>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</si>
  <si>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</si>
  <si>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</si>
  <si>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</si>
  <si>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</si>
  <si>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</si>
  <si>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</si>
  <si>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</si>
  <si>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</si>
  <si>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</si>
  <si>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</si>
  <si>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</si>
  <si>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</si>
  <si>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</si>
  <si>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</si>
  <si>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</si>
  <si>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</si>
  <si>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</si>
  <si>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</si>
  <si>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</si>
  <si>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</si>
  <si>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</si>
  <si>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</si>
  <si>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</si>
  <si>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</si>
  <si>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</si>
  <si>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</si>
  <si>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</si>
  <si>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</si>
  <si>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</si>
  <si>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</si>
  <si>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</si>
  <si>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</si>
  <si>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</si>
  <si>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</si>
  <si>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</si>
  <si>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</si>
  <si>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</si>
  <si>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</si>
  <si>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</si>
  <si>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</si>
  <si>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</si>
  <si>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</si>
  <si>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</si>
  <si>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</si>
  <si>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</si>
  <si>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</si>
  <si>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</si>
  <si>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</si>
  <si>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</si>
  <si>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</si>
  <si>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</si>
  <si>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</si>
  <si>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</si>
  <si>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</si>
  <si>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</si>
  <si>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</si>
  <si>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</si>
  <si>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</si>
  <si>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</si>
  <si>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</si>
  <si>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</si>
  <si>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</si>
  <si>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</si>
  <si>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</si>
  <si>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</si>
  <si>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</si>
  <si>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</si>
  <si>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</si>
  <si>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</si>
  <si>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</si>
  <si>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</si>
  <si>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</si>
  <si>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</si>
  <si>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</si>
  <si>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</si>
  <si>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</si>
  <si>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</si>
  <si>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</si>
  <si>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</si>
  <si>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</si>
  <si>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</si>
  <si>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</si>
  <si>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</si>
  <si>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</si>
  <si>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</si>
  <si>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</si>
  <si>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</si>
  <si>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</si>
  <si>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</si>
  <si>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</si>
  <si>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</si>
  <si>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</si>
  <si>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</si>
  <si>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</si>
  <si>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</si>
  <si>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</si>
  <si>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</si>
  <si>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</si>
  <si>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</si>
  <si>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</si>
  <si>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</si>
  <si>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</si>
  <si>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</si>
  <si>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</si>
  <si>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</si>
  <si>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</si>
  <si>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</si>
  <si>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</si>
  <si>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</si>
  <si>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</si>
  <si>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</si>
  <si>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</si>
  <si>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</si>
  <si>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</si>
  <si>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</si>
  <si>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</si>
  <si>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</si>
  <si>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</si>
  <si>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</si>
  <si>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</si>
  <si>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</si>
  <si>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</si>
  <si>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</si>
  <si>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</si>
  <si>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</si>
  <si>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</si>
  <si>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</si>
  <si>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</si>
  <si>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</si>
  <si>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</si>
  <si>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</si>
  <si>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</si>
  <si>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</si>
  <si>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</si>
  <si>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</si>
  <si>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</si>
  <si>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</si>
  <si>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</si>
  <si>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</si>
  <si>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</si>
  <si>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</si>
  <si>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</si>
  <si>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</si>
  <si>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</si>
  <si>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</si>
  <si>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</si>
  <si>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</si>
  <si>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</si>
  <si>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</si>
  <si>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</si>
  <si>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</si>
  <si>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</si>
  <si>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</si>
  <si>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</si>
  <si>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</si>
  <si>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</si>
  <si>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</si>
  <si>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</si>
  <si>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</si>
  <si>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</si>
  <si>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</si>
  <si>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</si>
  <si>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</si>
  <si>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</si>
  <si>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</si>
  <si>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</si>
  <si>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</si>
  <si>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</si>
  <si>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</si>
  <si>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</si>
  <si>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</si>
  <si>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</si>
  <si>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</si>
  <si>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</si>
  <si>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</si>
  <si>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</si>
  <si>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</si>
  <si>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</si>
  <si>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</si>
  <si>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</si>
  <si>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</si>
  <si>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</si>
  <si>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</si>
  <si>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</si>
  <si>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</si>
  <si>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</si>
  <si>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</si>
  <si>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</si>
  <si>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</si>
  <si>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</si>
  <si>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</si>
  <si>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</si>
  <si>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</si>
  <si>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</si>
  <si>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</si>
  <si>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</si>
  <si>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</si>
  <si>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</si>
  <si>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</si>
  <si>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</si>
  <si>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</si>
  <si>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</si>
  <si>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</si>
  <si>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</si>
  <si>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</si>
  <si>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</si>
  <si>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</si>
  <si>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</si>
  <si>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</si>
  <si>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</si>
  <si>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</si>
  <si>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</si>
  <si>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</si>
  <si>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</si>
  <si>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</si>
  <si>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</si>
  <si>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</si>
  <si>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</si>
  <si>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</si>
  <si>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</si>
  <si>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</si>
  <si>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</si>
  <si>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</si>
  <si>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</si>
  <si>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</si>
  <si>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</si>
  <si>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</si>
  <si>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</si>
  <si>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</si>
  <si>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</si>
  <si>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</si>
  <si>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</si>
  <si>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</si>
  <si>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</si>
  <si>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</si>
  <si>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</si>
  <si>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</si>
  <si>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</si>
  <si>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</si>
  <si>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</si>
  <si>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</si>
  <si>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</si>
  <si>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</si>
  <si>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</si>
  <si>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</si>
  <si>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</si>
  <si>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</si>
  <si>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</si>
  <si>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</si>
  <si>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</si>
  <si>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</si>
  <si>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</si>
  <si>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</si>
  <si>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</si>
  <si>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</si>
  <si>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</si>
  <si>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</si>
  <si>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</si>
  <si>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</si>
  <si>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</si>
  <si>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</si>
  <si>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</si>
  <si>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</si>
  <si>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</si>
  <si>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</si>
  <si>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</si>
  <si>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</si>
  <si>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</si>
  <si>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</si>
  <si>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</si>
  <si>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</si>
  <si>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</si>
  <si>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</si>
  <si>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</si>
  <si>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</si>
  <si>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</si>
  <si>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</si>
  <si>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</si>
  <si>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</si>
  <si>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</si>
  <si>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</si>
  <si>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</si>
  <si>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</si>
  <si>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</si>
  <si>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</si>
  <si>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</si>
  <si>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</si>
  <si>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</si>
  <si>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</si>
  <si>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</si>
  <si>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</si>
  <si>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</si>
  <si>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</si>
  <si>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</si>
  <si>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</si>
  <si>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</si>
  <si>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</si>
  <si>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</si>
  <si>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</si>
  <si>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</si>
  <si>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</si>
  <si>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</si>
  <si>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</si>
  <si>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</si>
  <si>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</si>
  <si>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</si>
  <si>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</si>
  <si>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</si>
  <si>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</si>
  <si>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</si>
  <si>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</si>
  <si>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</si>
  <si>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</si>
  <si>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</si>
  <si>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</si>
  <si>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</si>
  <si>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</si>
  <si>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</si>
  <si>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</si>
  <si>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</si>
  <si>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</si>
  <si>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</si>
  <si>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</si>
  <si>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</si>
  <si>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</si>
  <si>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</si>
  <si>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</si>
  <si>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</si>
  <si>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</si>
  <si>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</si>
  <si>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</si>
  <si>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</si>
  <si>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</si>
  <si>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</si>
  <si>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</si>
  <si>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</si>
  <si>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</si>
  <si>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</si>
  <si>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</si>
  <si>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</si>
  <si>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</si>
  <si>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</si>
  <si>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</si>
  <si>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</si>
  <si>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</si>
  <si>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</si>
  <si>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</si>
  <si>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</si>
  <si>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</si>
  <si>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</si>
  <si>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</si>
  <si>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</si>
  <si>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</si>
  <si>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</si>
  <si>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</si>
  <si>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</si>
  <si>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</si>
  <si>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</si>
  <si>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</si>
  <si>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</si>
  <si>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</si>
  <si>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</si>
  <si>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</si>
  <si>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</si>
  <si>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</si>
  <si>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</si>
  <si>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</si>
  <si>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</si>
  <si>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</si>
  <si>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</si>
  <si>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</si>
  <si>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</si>
  <si>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</si>
  <si>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</si>
  <si>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</si>
  <si>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</si>
  <si>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</si>
  <si>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</si>
  <si>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</si>
  <si>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</si>
  <si>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</si>
  <si>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</si>
  <si>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</si>
  <si>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</si>
  <si>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</si>
  <si>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</si>
  <si>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</si>
  <si>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</si>
  <si>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</si>
  <si>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</si>
  <si>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</si>
  <si>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</si>
  <si>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</si>
  <si>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</si>
  <si>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</si>
  <si>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</si>
  <si>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</si>
  <si>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</si>
  <si>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</si>
  <si>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</si>
  <si>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</si>
  <si>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</si>
  <si>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</si>
  <si>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</si>
  <si>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</si>
  <si>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</si>
  <si>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</si>
  <si>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</si>
  <si>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</si>
  <si>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</si>
  <si>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</si>
  <si>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</si>
  <si>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</si>
  <si>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</si>
  <si>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</si>
  <si>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</si>
  <si>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</si>
  <si>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</si>
  <si>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</si>
  <si>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</si>
  <si>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</si>
  <si>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</si>
  <si>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</si>
  <si>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</si>
  <si>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</si>
  <si>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</si>
  <si>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</si>
  <si>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</si>
  <si>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</si>
  <si>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</si>
  <si>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</si>
  <si>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</si>
  <si>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</si>
  <si>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</si>
  <si>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</si>
  <si>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</si>
  <si>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</si>
  <si>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</si>
  <si>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</si>
  <si>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</si>
  <si>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</si>
  <si>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</si>
  <si>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</si>
  <si>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</si>
  <si>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</si>
  <si>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</si>
  <si>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</si>
  <si>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</si>
  <si>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</si>
  <si>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</si>
  <si>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</si>
  <si>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</si>
  <si>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</si>
  <si>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</si>
  <si>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</si>
  <si>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</si>
  <si>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</si>
  <si>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</si>
  <si>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</si>
  <si>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</si>
  <si>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</si>
  <si>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</si>
  <si>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</si>
  <si>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</si>
  <si>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</si>
  <si>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</si>
  <si>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</si>
  <si>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</si>
  <si>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</si>
  <si>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</si>
  <si>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</si>
  <si>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</si>
  <si>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</si>
  <si>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</si>
  <si>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</si>
  <si>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</si>
  <si>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</si>
  <si>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</si>
  <si>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</si>
  <si>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</si>
  <si>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</si>
  <si>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</si>
  <si>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</si>
  <si>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</si>
  <si>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</si>
  <si>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</si>
  <si>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</si>
  <si>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</si>
  <si>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</si>
  <si>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</si>
  <si>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</si>
  <si>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</si>
  <si>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</si>
  <si>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</si>
  <si>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</si>
  <si>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</si>
  <si>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</si>
  <si>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</si>
  <si>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</si>
  <si>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</si>
  <si>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</si>
  <si>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</si>
  <si>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</si>
  <si>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</si>
  <si>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</si>
  <si>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</si>
  <si>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</si>
  <si>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</si>
  <si>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</si>
  <si>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</si>
  <si>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</si>
  <si>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</si>
  <si>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</si>
  <si>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</si>
  <si>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</si>
  <si>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</si>
  <si>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</si>
  <si>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</si>
  <si>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</si>
  <si>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</si>
  <si>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</si>
  <si>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</si>
  <si>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</si>
  <si>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</si>
  <si>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</si>
  <si>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</si>
  <si>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</si>
  <si>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</si>
  <si>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</si>
  <si>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</si>
  <si>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</si>
  <si>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</si>
  <si>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</si>
  <si>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</si>
  <si>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</si>
  <si>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</si>
  <si>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</si>
  <si>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</si>
  <si>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</si>
  <si>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</si>
  <si>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</si>
  <si>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</si>
  <si>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</si>
  <si>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</si>
  <si>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</si>
  <si>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</si>
  <si>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</si>
  <si>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</si>
  <si>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</si>
  <si>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</si>
  <si>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</si>
  <si>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</si>
  <si>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</si>
  <si>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</si>
  <si>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</si>
  <si>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</si>
  <si>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</si>
  <si>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</si>
  <si>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</si>
  <si>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</si>
  <si>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</si>
  <si>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</si>
  <si>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</si>
  <si>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</si>
  <si>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</si>
  <si>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</si>
  <si>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</si>
  <si>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</si>
  <si>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</si>
  <si>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</si>
  <si>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</si>
  <si>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</si>
  <si>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</si>
  <si>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</si>
  <si>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</si>
  <si>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</si>
  <si>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</si>
  <si>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</si>
  <si>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</si>
  <si>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</si>
  <si>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</si>
  <si>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</si>
  <si>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</si>
  <si>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</si>
  <si>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</si>
  <si>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</si>
  <si>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</si>
  <si>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</si>
  <si>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</si>
  <si>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</si>
  <si>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</si>
  <si>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</si>
  <si>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</si>
  <si>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</si>
  <si>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</si>
  <si>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</si>
  <si>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</si>
  <si>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</si>
  <si>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</si>
  <si>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</si>
  <si>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</si>
  <si>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</si>
  <si>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</si>
  <si>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</si>
  <si>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</si>
  <si>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</si>
  <si>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</si>
  <si>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</si>
  <si>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</si>
  <si>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</si>
  <si>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</si>
  <si>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</si>
  <si>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</si>
  <si>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</si>
  <si>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</si>
  <si>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</si>
  <si>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</si>
  <si>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</si>
  <si>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</si>
  <si>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</si>
  <si>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</si>
  <si>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</si>
  <si>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</si>
  <si>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</si>
  <si>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</si>
  <si>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</si>
  <si>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</si>
  <si>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</si>
  <si>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</si>
  <si>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</si>
  <si>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</si>
  <si>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</si>
  <si>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</si>
  <si>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</si>
  <si>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</si>
  <si>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</si>
  <si>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</si>
  <si>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</si>
  <si>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</si>
  <si>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</si>
  <si>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</si>
  <si>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</si>
  <si>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</si>
  <si>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</si>
  <si>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</si>
  <si>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</si>
  <si>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</si>
  <si>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</si>
  <si>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</si>
  <si>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</si>
  <si>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</si>
  <si>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</si>
  <si>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</si>
  <si>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</si>
  <si>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</si>
  <si>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</si>
  <si>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</si>
  <si>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</si>
  <si>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</si>
  <si>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</si>
  <si>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</si>
  <si>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</si>
  <si>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</si>
  <si>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</si>
  <si>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</si>
  <si>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</si>
  <si>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</si>
  <si>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</si>
  <si>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</si>
  <si>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</si>
  <si>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</si>
  <si>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</si>
  <si>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</si>
  <si>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</si>
  <si>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</si>
  <si>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</si>
  <si>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</si>
  <si>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</si>
  <si>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</si>
  <si>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</si>
  <si>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</si>
  <si>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</si>
  <si>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</si>
  <si>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</si>
  <si>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</si>
  <si>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</si>
  <si>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</si>
  <si>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</si>
  <si>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</si>
  <si>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</si>
  <si>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</si>
  <si>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</si>
  <si>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</si>
  <si>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</si>
  <si>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</si>
  <si>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</si>
  <si>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</si>
  <si>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</si>
  <si>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</si>
  <si>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</si>
  <si>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</si>
  <si>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</si>
  <si>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</si>
  <si>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</si>
  <si>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</si>
  <si>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</si>
  <si>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</si>
  <si>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</si>
  <si>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</si>
  <si>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</si>
  <si>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</si>
  <si>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</si>
  <si>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</si>
  <si>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</si>
  <si>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</si>
  <si>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</si>
  <si>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</si>
  <si>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</si>
  <si>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</si>
  <si>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</si>
  <si>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</si>
  <si>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</si>
  <si>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</si>
  <si>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</si>
  <si>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</si>
  <si>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</si>
  <si>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</si>
  <si>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</si>
  <si>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</si>
  <si>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</si>
  <si>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</si>
  <si>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</si>
  <si>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</si>
  <si>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</si>
  <si>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</si>
  <si>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</si>
  <si>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</si>
  <si>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</si>
  <si>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</si>
  <si>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</si>
  <si>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</si>
  <si>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</si>
  <si>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</si>
  <si>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</si>
  <si>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</si>
  <si>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</si>
  <si>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</si>
  <si>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</si>
  <si>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</si>
  <si>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</si>
  <si>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</si>
  <si>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</si>
  <si>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</si>
  <si>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</si>
  <si>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</si>
  <si>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</si>
  <si>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</si>
  <si>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</si>
  <si>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</si>
  <si>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</si>
  <si>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</si>
  <si>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</si>
  <si>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</si>
  <si>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</si>
  <si>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</si>
  <si>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</si>
  <si>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</si>
  <si>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</si>
  <si>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</si>
  <si>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</si>
  <si>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</si>
  <si>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</si>
  <si>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</si>
  <si>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</si>
  <si>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</si>
  <si>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</si>
  <si>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</si>
  <si>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</si>
  <si>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</si>
  <si>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</si>
  <si>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</si>
  <si>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</si>
  <si>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</si>
  <si>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</si>
  <si>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</si>
  <si>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</si>
  <si>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</si>
  <si>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</si>
  <si>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</si>
  <si>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</si>
  <si>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</si>
  <si>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</si>
  <si>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</si>
  <si>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</si>
  <si>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</si>
  <si>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</si>
  <si>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</si>
  <si>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</si>
  <si>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</si>
  <si>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</si>
  <si>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</si>
  <si>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</si>
  <si>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</si>
  <si>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</si>
  <si>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</si>
  <si>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</si>
  <si>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</si>
  <si>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</si>
  <si>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</si>
  <si>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</si>
  <si>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</si>
  <si>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</si>
  <si>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</si>
  <si>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</si>
  <si>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</si>
  <si>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</si>
  <si>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</si>
  <si>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</si>
  <si>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</si>
  <si>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</si>
  <si>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</si>
  <si>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</si>
  <si>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</si>
  <si>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</si>
  <si>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</si>
  <si>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</si>
  <si>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</si>
  <si>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</si>
  <si>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</si>
  <si>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</si>
  <si>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</si>
  <si>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</si>
  <si>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</si>
  <si>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</si>
  <si>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</si>
  <si>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</si>
  <si>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</si>
  <si>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</si>
  <si>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</si>
  <si>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</si>
  <si>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</si>
  <si>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</si>
  <si>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</si>
  <si>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</si>
  <si>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</si>
  <si>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</si>
  <si>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</si>
  <si>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</si>
  <si>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</si>
  <si>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</si>
  <si>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71017</t>
  </si>
  <si>
    <t>GINGELOM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</si>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</sst>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88847.18100779115</c:v>
                </c:pt>
                <c:pt idx="1">
                  <c:v>11212.810758307469</c:v>
                </c:pt>
                <c:pt idx="2">
                  <c:v>471.18200000000002</c:v>
                </c:pt>
                <c:pt idx="3">
                  <c:v>6165.6472640801376</c:v>
                </c:pt>
                <c:pt idx="4">
                  <c:v>2682.9446870972979</c:v>
                </c:pt>
                <c:pt idx="5">
                  <c:v>76393.764955020481</c:v>
                </c:pt>
                <c:pt idx="6">
                  <c:v>948.3908236148061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9920"/>
        <c:axId val="131651456"/>
      </c:barChart>
      <c:catAx>
        <c:axId val="131649920"/>
        <c:scaling>
          <c:orientation val="minMax"/>
        </c:scaling>
        <c:axPos val="b"/>
        <c:numFmt formatCode="General" sourceLinked="0"/>
        <c:tickLblPos val="nextTo"/>
        <c:crossAx val="131651456"/>
        <c:crosses val="autoZero"/>
        <c:auto val="1"/>
        <c:lblAlgn val="ctr"/>
        <c:lblOffset val="100"/>
      </c:catAx>
      <c:valAx>
        <c:axId val="131651456"/>
        <c:scaling>
          <c:orientation val="minMax"/>
        </c:scaling>
        <c:axPos val="l"/>
        <c:majorGridlines/>
        <c:numFmt formatCode="#,##0" sourceLinked="1"/>
        <c:tickLblPos val="nextTo"/>
        <c:crossAx val="1316499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88847.18100779115</c:v>
                </c:pt>
                <c:pt idx="1">
                  <c:v>11212.810758307469</c:v>
                </c:pt>
                <c:pt idx="2">
                  <c:v>471.18200000000002</c:v>
                </c:pt>
                <c:pt idx="3">
                  <c:v>6165.6472640801376</c:v>
                </c:pt>
                <c:pt idx="4">
                  <c:v>2682.9446870972979</c:v>
                </c:pt>
                <c:pt idx="5">
                  <c:v>76393.764955020481</c:v>
                </c:pt>
                <c:pt idx="6">
                  <c:v>948.3908236148061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16451.081849144004</c:v>
                </c:pt>
                <c:pt idx="2">
                  <c:v>979.01869031572664</c:v>
                </c:pt>
                <c:pt idx="3">
                  <c:v>0</c:v>
                </c:pt>
                <c:pt idx="4">
                  <c:v>1318.4389446858208</c:v>
                </c:pt>
                <c:pt idx="5">
                  <c:v>307.34914678930846</c:v>
                </c:pt>
                <c:pt idx="6">
                  <c:v>19543.064861587856</c:v>
                </c:pt>
                <c:pt idx="7">
                  <c:v>245.60231553437796</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9808"/>
        <c:axId val="178639616"/>
      </c:barChart>
      <c:catAx>
        <c:axId val="149879808"/>
        <c:scaling>
          <c:orientation val="minMax"/>
        </c:scaling>
        <c:axPos val="b"/>
        <c:numFmt formatCode="General" sourceLinked="0"/>
        <c:tickLblPos val="nextTo"/>
        <c:crossAx val="178639616"/>
        <c:crosses val="autoZero"/>
        <c:auto val="1"/>
        <c:lblAlgn val="ctr"/>
        <c:lblOffset val="100"/>
      </c:catAx>
      <c:valAx>
        <c:axId val="178639616"/>
        <c:scaling>
          <c:orientation val="minMax"/>
        </c:scaling>
        <c:axPos val="l"/>
        <c:majorGridlines/>
        <c:numFmt formatCode="#,##0" sourceLinked="1"/>
        <c:tickLblPos val="nextTo"/>
        <c:crossAx val="1498798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16451.081849144004</c:v>
                </c:pt>
                <c:pt idx="2">
                  <c:v>979.01869031572664</c:v>
                </c:pt>
                <c:pt idx="3">
                  <c:v>0</c:v>
                </c:pt>
                <c:pt idx="4">
                  <c:v>1318.4389446858208</c:v>
                </c:pt>
                <c:pt idx="5">
                  <c:v>307.34914678930846</c:v>
                </c:pt>
                <c:pt idx="6">
                  <c:v>19543.064861587856</c:v>
                </c:pt>
                <c:pt idx="7">
                  <c:v>245.60231553437796</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5988.7460000000001</v>
      </c>
      <c r="D10" s="1012">
        <f ca="1">tertiair!C16</f>
        <v>0</v>
      </c>
      <c r="E10" s="1012">
        <f ca="1">tertiair!D16</f>
        <v>2965.9401640000006</v>
      </c>
      <c r="F10" s="1012">
        <f>tertiair!E16</f>
        <v>92.900901572098689</v>
      </c>
      <c r="G10" s="1012">
        <f ca="1">tertiair!F16</f>
        <v>1343.8586986174539</v>
      </c>
      <c r="H10" s="1012">
        <f>tertiair!G16</f>
        <v>0</v>
      </c>
      <c r="I10" s="1012">
        <f>tertiair!H16</f>
        <v>0</v>
      </c>
      <c r="J10" s="1012">
        <f>tertiair!I16</f>
        <v>0</v>
      </c>
      <c r="K10" s="1012">
        <f>tertiair!J16</f>
        <v>0</v>
      </c>
      <c r="L10" s="1012">
        <f>tertiair!K16</f>
        <v>0</v>
      </c>
      <c r="M10" s="1012">
        <f ca="1">tertiair!L16</f>
        <v>0</v>
      </c>
      <c r="N10" s="1012">
        <f>tertiair!M16</f>
        <v>0</v>
      </c>
      <c r="O10" s="1012">
        <f ca="1">tertiair!N16</f>
        <v>1254.4136607845815</v>
      </c>
      <c r="P10" s="1012">
        <f>tertiair!O16</f>
        <v>0</v>
      </c>
      <c r="Q10" s="1013">
        <f>tertiair!P16</f>
        <v>38.133333333333333</v>
      </c>
      <c r="R10" s="700">
        <f ca="1">SUM(C10:Q10)</f>
        <v>11683.992758307468</v>
      </c>
      <c r="S10" s="67"/>
    </row>
    <row r="11" spans="1:19" s="473" customFormat="1">
      <c r="A11" s="809" t="s">
        <v>225</v>
      </c>
      <c r="B11" s="814"/>
      <c r="C11" s="1012">
        <f>huishoudens!B8</f>
        <v>15116.145611331107</v>
      </c>
      <c r="D11" s="1012">
        <f>huishoudens!C8</f>
        <v>0</v>
      </c>
      <c r="E11" s="1012">
        <f>huishoudens!D8</f>
        <v>10697.806591999999</v>
      </c>
      <c r="F11" s="1012">
        <f>huishoudens!E8</f>
        <v>5456.9168377261376</v>
      </c>
      <c r="G11" s="1012">
        <f>huishoudens!F8</f>
        <v>47379.568814672115</v>
      </c>
      <c r="H11" s="1012">
        <f>huishoudens!G8</f>
        <v>0</v>
      </c>
      <c r="I11" s="1012">
        <f>huishoudens!H8</f>
        <v>0</v>
      </c>
      <c r="J11" s="1012">
        <f>huishoudens!I8</f>
        <v>0</v>
      </c>
      <c r="K11" s="1012">
        <f>huishoudens!J8</f>
        <v>1132.9376324257512</v>
      </c>
      <c r="L11" s="1012">
        <f>huishoudens!K8</f>
        <v>0</v>
      </c>
      <c r="M11" s="1012">
        <f>huishoudens!L8</f>
        <v>0</v>
      </c>
      <c r="N11" s="1012">
        <f>huishoudens!M8</f>
        <v>0</v>
      </c>
      <c r="O11" s="1012">
        <f>huishoudens!N8</f>
        <v>8204.8255196360278</v>
      </c>
      <c r="P11" s="1012">
        <f>huishoudens!O8</f>
        <v>134.44666666666666</v>
      </c>
      <c r="Q11" s="1013">
        <f>huishoudens!P8</f>
        <v>724.5333333333333</v>
      </c>
      <c r="R11" s="700">
        <f>SUM(C11:Q11)</f>
        <v>88847.18100779115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1116.0429999999999</v>
      </c>
      <c r="D13" s="1012">
        <f>industrie!C18</f>
        <v>0</v>
      </c>
      <c r="E13" s="1012">
        <f>industrie!D18</f>
        <v>125.40055</v>
      </c>
      <c r="F13" s="1012">
        <f>industrie!E18</f>
        <v>243.41483238113713</v>
      </c>
      <c r="G13" s="1012">
        <f>industrie!F18</f>
        <v>849.13090166173663</v>
      </c>
      <c r="H13" s="1012">
        <f>industrie!G18</f>
        <v>0</v>
      </c>
      <c r="I13" s="1012">
        <f>industrie!H18</f>
        <v>0</v>
      </c>
      <c r="J13" s="1012">
        <f>industrie!I18</f>
        <v>0</v>
      </c>
      <c r="K13" s="1012">
        <f>industrie!J18</f>
        <v>0.12745196357812175</v>
      </c>
      <c r="L13" s="1012">
        <f>industrie!K18</f>
        <v>0</v>
      </c>
      <c r="M13" s="1012">
        <f>industrie!L18</f>
        <v>0</v>
      </c>
      <c r="N13" s="1012">
        <f>industrie!M18</f>
        <v>0</v>
      </c>
      <c r="O13" s="1012">
        <f>industrie!N18</f>
        <v>348.82795109084623</v>
      </c>
      <c r="P13" s="1012">
        <f>industrie!O18</f>
        <v>0</v>
      </c>
      <c r="Q13" s="1013">
        <f>industrie!P18</f>
        <v>0</v>
      </c>
      <c r="R13" s="700">
        <f>SUM(C13:Q13)</f>
        <v>2682.9446870972979</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22220.934611331108</v>
      </c>
      <c r="D16" s="732">
        <f t="shared" ref="D16:R16" ca="1" si="0">SUM(D9:D15)</f>
        <v>0</v>
      </c>
      <c r="E16" s="732">
        <f t="shared" ca="1" si="0"/>
        <v>13789.147306000001</v>
      </c>
      <c r="F16" s="732">
        <f t="shared" si="0"/>
        <v>5793.232571679373</v>
      </c>
      <c r="G16" s="732">
        <f t="shared" ca="1" si="0"/>
        <v>49572.558414951309</v>
      </c>
      <c r="H16" s="732">
        <f t="shared" si="0"/>
        <v>0</v>
      </c>
      <c r="I16" s="732">
        <f t="shared" si="0"/>
        <v>0</v>
      </c>
      <c r="J16" s="732">
        <f t="shared" si="0"/>
        <v>0</v>
      </c>
      <c r="K16" s="732">
        <f t="shared" si="0"/>
        <v>1133.0650843893293</v>
      </c>
      <c r="L16" s="732">
        <f t="shared" si="0"/>
        <v>0</v>
      </c>
      <c r="M16" s="732">
        <f t="shared" ca="1" si="0"/>
        <v>0</v>
      </c>
      <c r="N16" s="732">
        <f t="shared" si="0"/>
        <v>0</v>
      </c>
      <c r="O16" s="732">
        <f t="shared" ca="1" si="0"/>
        <v>9808.067131511456</v>
      </c>
      <c r="P16" s="732">
        <f t="shared" si="0"/>
        <v>134.44666666666666</v>
      </c>
      <c r="Q16" s="732">
        <f t="shared" si="0"/>
        <v>762.66666666666663</v>
      </c>
      <c r="R16" s="732">
        <f t="shared" ca="1" si="0"/>
        <v>103214.11845319593</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919.85885967931813</v>
      </c>
      <c r="I19" s="1012">
        <f>transport!H54</f>
        <v>0</v>
      </c>
      <c r="J19" s="1012">
        <f>transport!I54</f>
        <v>0</v>
      </c>
      <c r="K19" s="1012">
        <f>transport!J54</f>
        <v>0</v>
      </c>
      <c r="L19" s="1012">
        <f>transport!K54</f>
        <v>0</v>
      </c>
      <c r="M19" s="1012">
        <f>transport!L54</f>
        <v>0</v>
      </c>
      <c r="N19" s="1012">
        <f>transport!M54</f>
        <v>28.531963935487973</v>
      </c>
      <c r="O19" s="1012">
        <f>transport!N54</f>
        <v>0</v>
      </c>
      <c r="P19" s="1012">
        <f>transport!O54</f>
        <v>0</v>
      </c>
      <c r="Q19" s="1013">
        <f>transport!P54</f>
        <v>0</v>
      </c>
      <c r="R19" s="700">
        <f>SUM(C19:Q19)</f>
        <v>948.3908236148061</v>
      </c>
      <c r="S19" s="67"/>
    </row>
    <row r="20" spans="1:19" s="473" customFormat="1">
      <c r="A20" s="809" t="s">
        <v>307</v>
      </c>
      <c r="B20" s="814"/>
      <c r="C20" s="1012">
        <f>transport!B14</f>
        <v>20.141220264546142</v>
      </c>
      <c r="D20" s="1012">
        <f>transport!C14</f>
        <v>0</v>
      </c>
      <c r="E20" s="1012">
        <f>transport!D14</f>
        <v>45.063462644474782</v>
      </c>
      <c r="F20" s="1012">
        <f>transport!E14</f>
        <v>192.60936151012115</v>
      </c>
      <c r="G20" s="1012">
        <f>transport!F14</f>
        <v>0</v>
      </c>
      <c r="H20" s="1012">
        <f>transport!G14</f>
        <v>61489.866049606993</v>
      </c>
      <c r="I20" s="1012">
        <f>transport!H14</f>
        <v>12339.138481228152</v>
      </c>
      <c r="J20" s="1012">
        <f>transport!I14</f>
        <v>0</v>
      </c>
      <c r="K20" s="1012">
        <f>transport!J14</f>
        <v>0</v>
      </c>
      <c r="L20" s="1012">
        <f>transport!K14</f>
        <v>0</v>
      </c>
      <c r="M20" s="1012">
        <f>transport!L14</f>
        <v>0</v>
      </c>
      <c r="N20" s="1012">
        <f>transport!M14</f>
        <v>2306.9463797661942</v>
      </c>
      <c r="O20" s="1012">
        <f>transport!N14</f>
        <v>0</v>
      </c>
      <c r="P20" s="1012">
        <f>transport!O14</f>
        <v>0</v>
      </c>
      <c r="Q20" s="1013">
        <f>transport!P14</f>
        <v>0</v>
      </c>
      <c r="R20" s="700">
        <f>SUM(C20:Q20)</f>
        <v>76393.764955020481</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20.141220264546142</v>
      </c>
      <c r="D22" s="812">
        <f t="shared" ref="D22:R22" si="1">SUM(D18:D21)</f>
        <v>0</v>
      </c>
      <c r="E22" s="812">
        <f t="shared" si="1"/>
        <v>45.063462644474782</v>
      </c>
      <c r="F22" s="812">
        <f t="shared" si="1"/>
        <v>192.60936151012115</v>
      </c>
      <c r="G22" s="812">
        <f t="shared" si="1"/>
        <v>0</v>
      </c>
      <c r="H22" s="812">
        <f t="shared" si="1"/>
        <v>62409.724909286313</v>
      </c>
      <c r="I22" s="812">
        <f t="shared" si="1"/>
        <v>12339.138481228152</v>
      </c>
      <c r="J22" s="812">
        <f t="shared" si="1"/>
        <v>0</v>
      </c>
      <c r="K22" s="812">
        <f t="shared" si="1"/>
        <v>0</v>
      </c>
      <c r="L22" s="812">
        <f t="shared" si="1"/>
        <v>0</v>
      </c>
      <c r="M22" s="812">
        <f t="shared" si="1"/>
        <v>0</v>
      </c>
      <c r="N22" s="812">
        <f t="shared" si="1"/>
        <v>2335.4783437016822</v>
      </c>
      <c r="O22" s="812">
        <f t="shared" si="1"/>
        <v>0</v>
      </c>
      <c r="P22" s="812">
        <f t="shared" si="1"/>
        <v>0</v>
      </c>
      <c r="Q22" s="812">
        <f t="shared" si="1"/>
        <v>0</v>
      </c>
      <c r="R22" s="812">
        <f t="shared" si="1"/>
        <v>77342.155778635293</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1255.7670000000001</v>
      </c>
      <c r="D24" s="1012">
        <f>+landbouw!C8</f>
        <v>0</v>
      </c>
      <c r="E24" s="1012">
        <f>+landbouw!D8</f>
        <v>106.647068</v>
      </c>
      <c r="F24" s="1012">
        <f>+landbouw!E8</f>
        <v>32.381409342166705</v>
      </c>
      <c r="G24" s="1012">
        <f>+landbouw!F8</f>
        <v>4590.0675342079649</v>
      </c>
      <c r="H24" s="1012">
        <f>+landbouw!G8</f>
        <v>0</v>
      </c>
      <c r="I24" s="1012">
        <f>+landbouw!H8</f>
        <v>0</v>
      </c>
      <c r="J24" s="1012">
        <f>+landbouw!I8</f>
        <v>0</v>
      </c>
      <c r="K24" s="1012">
        <f>+landbouw!J8</f>
        <v>180.78425253000603</v>
      </c>
      <c r="L24" s="1012">
        <f>+landbouw!K8</f>
        <v>0</v>
      </c>
      <c r="M24" s="1012">
        <f>+landbouw!L8</f>
        <v>0</v>
      </c>
      <c r="N24" s="1012">
        <f>+landbouw!M8</f>
        <v>0</v>
      </c>
      <c r="O24" s="1012">
        <f>+landbouw!N8</f>
        <v>0</v>
      </c>
      <c r="P24" s="1012">
        <f>+landbouw!O8</f>
        <v>0</v>
      </c>
      <c r="Q24" s="1013">
        <f>+landbouw!P8</f>
        <v>0</v>
      </c>
      <c r="R24" s="700">
        <f>SUM(C24:Q24)</f>
        <v>6165.6472640801376</v>
      </c>
      <c r="S24" s="67"/>
    </row>
    <row r="25" spans="1:19" s="473" customFormat="1" ht="15" thickBot="1">
      <c r="A25" s="831" t="s">
        <v>848</v>
      </c>
      <c r="B25" s="1015"/>
      <c r="C25" s="1016">
        <f>IF(Onbekend_ele_kWh="---",0,Onbekend_ele_kWh)/1000+IF(REST_rest_ele_kWh="---",0,REST_rest_ele_kWh)/1000</f>
        <v>154.821</v>
      </c>
      <c r="D25" s="1016"/>
      <c r="E25" s="1016">
        <f>IF(onbekend_gas_kWh="---",0,onbekend_gas_kWh)/1000+IF(REST_rest_gas_kWh="---",0,REST_rest_gas_kWh)/1000</f>
        <v>1211.7139999999999</v>
      </c>
      <c r="F25" s="1016"/>
      <c r="G25" s="1016"/>
      <c r="H25" s="1016"/>
      <c r="I25" s="1016"/>
      <c r="J25" s="1016"/>
      <c r="K25" s="1016"/>
      <c r="L25" s="1016"/>
      <c r="M25" s="1016"/>
      <c r="N25" s="1016"/>
      <c r="O25" s="1016"/>
      <c r="P25" s="1016"/>
      <c r="Q25" s="1017"/>
      <c r="R25" s="700">
        <f>SUM(C25:Q25)</f>
        <v>1366.5349999999999</v>
      </c>
      <c r="S25" s="67"/>
    </row>
    <row r="26" spans="1:19" s="473" customFormat="1" ht="15.75" thickBot="1">
      <c r="A26" s="705" t="s">
        <v>849</v>
      </c>
      <c r="B26" s="817"/>
      <c r="C26" s="812">
        <f>SUM(C24:C25)</f>
        <v>1410.588</v>
      </c>
      <c r="D26" s="812">
        <f t="shared" ref="D26:R26" si="2">SUM(D24:D25)</f>
        <v>0</v>
      </c>
      <c r="E26" s="812">
        <f t="shared" si="2"/>
        <v>1318.3610679999999</v>
      </c>
      <c r="F26" s="812">
        <f t="shared" si="2"/>
        <v>32.381409342166705</v>
      </c>
      <c r="G26" s="812">
        <f t="shared" si="2"/>
        <v>4590.0675342079649</v>
      </c>
      <c r="H26" s="812">
        <f t="shared" si="2"/>
        <v>0</v>
      </c>
      <c r="I26" s="812">
        <f t="shared" si="2"/>
        <v>0</v>
      </c>
      <c r="J26" s="812">
        <f t="shared" si="2"/>
        <v>0</v>
      </c>
      <c r="K26" s="812">
        <f t="shared" si="2"/>
        <v>180.78425253000603</v>
      </c>
      <c r="L26" s="812">
        <f t="shared" si="2"/>
        <v>0</v>
      </c>
      <c r="M26" s="812">
        <f t="shared" si="2"/>
        <v>0</v>
      </c>
      <c r="N26" s="812">
        <f t="shared" si="2"/>
        <v>0</v>
      </c>
      <c r="O26" s="812">
        <f t="shared" si="2"/>
        <v>0</v>
      </c>
      <c r="P26" s="812">
        <f t="shared" si="2"/>
        <v>0</v>
      </c>
      <c r="Q26" s="812">
        <f t="shared" si="2"/>
        <v>0</v>
      </c>
      <c r="R26" s="812">
        <f t="shared" si="2"/>
        <v>7532.1822640801374</v>
      </c>
      <c r="S26" s="67"/>
    </row>
    <row r="27" spans="1:19" s="473" customFormat="1" ht="17.25" thickTop="1" thickBot="1">
      <c r="A27" s="706" t="s">
        <v>116</v>
      </c>
      <c r="B27" s="805"/>
      <c r="C27" s="707">
        <f ca="1">C22+C16+C26</f>
        <v>23651.663831595655</v>
      </c>
      <c r="D27" s="707">
        <f t="shared" ref="D27:R27" ca="1" si="3">D22+D16+D26</f>
        <v>0</v>
      </c>
      <c r="E27" s="707">
        <f t="shared" ca="1" si="3"/>
        <v>15152.571836644476</v>
      </c>
      <c r="F27" s="707">
        <f t="shared" si="3"/>
        <v>6018.2233425316608</v>
      </c>
      <c r="G27" s="707">
        <f t="shared" ca="1" si="3"/>
        <v>54162.625949159272</v>
      </c>
      <c r="H27" s="707">
        <f t="shared" si="3"/>
        <v>62409.724909286313</v>
      </c>
      <c r="I27" s="707">
        <f t="shared" si="3"/>
        <v>12339.138481228152</v>
      </c>
      <c r="J27" s="707">
        <f t="shared" si="3"/>
        <v>0</v>
      </c>
      <c r="K27" s="707">
        <f t="shared" si="3"/>
        <v>1313.8493369193352</v>
      </c>
      <c r="L27" s="707">
        <f t="shared" si="3"/>
        <v>0</v>
      </c>
      <c r="M27" s="707">
        <f t="shared" ca="1" si="3"/>
        <v>0</v>
      </c>
      <c r="N27" s="707">
        <f t="shared" si="3"/>
        <v>2335.4783437016822</v>
      </c>
      <c r="O27" s="707">
        <f t="shared" ca="1" si="3"/>
        <v>9808.067131511456</v>
      </c>
      <c r="P27" s="707">
        <f t="shared" si="3"/>
        <v>134.44666666666666</v>
      </c>
      <c r="Q27" s="707">
        <f t="shared" si="3"/>
        <v>762.66666666666663</v>
      </c>
      <c r="R27" s="707">
        <f t="shared" ca="1" si="3"/>
        <v>188088.45649591135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0</v>
      </c>
      <c r="D40" s="1012">
        <f ca="1">tertiair!C20</f>
        <v>0</v>
      </c>
      <c r="E40" s="1012">
        <f ca="1">tertiair!D20</f>
        <v>599.11991312800012</v>
      </c>
      <c r="F40" s="1012">
        <f>tertiair!E20</f>
        <v>21.088504656866402</v>
      </c>
      <c r="G40" s="1012">
        <f ca="1">tertiair!F20</f>
        <v>358.81027253086023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979.01869031572664</v>
      </c>
    </row>
    <row r="41" spans="1:18">
      <c r="A41" s="822" t="s">
        <v>225</v>
      </c>
      <c r="B41" s="829"/>
      <c r="C41" s="1012">
        <f ca="1">huishoudens!B12</f>
        <v>0</v>
      </c>
      <c r="D41" s="1012">
        <f ca="1">huishoudens!C12</f>
        <v>0</v>
      </c>
      <c r="E41" s="1012">
        <f>huishoudens!D12</f>
        <v>2160.9569315839999</v>
      </c>
      <c r="F41" s="1012">
        <f>huishoudens!E12</f>
        <v>1238.7201221638334</v>
      </c>
      <c r="G41" s="1012">
        <f>huishoudens!F12</f>
        <v>12650.344873517455</v>
      </c>
      <c r="H41" s="1012">
        <f>huishoudens!G12</f>
        <v>0</v>
      </c>
      <c r="I41" s="1012">
        <f>huishoudens!H12</f>
        <v>0</v>
      </c>
      <c r="J41" s="1012">
        <f>huishoudens!I12</f>
        <v>0</v>
      </c>
      <c r="K41" s="1012">
        <f>huishoudens!J12</f>
        <v>401.0599218787159</v>
      </c>
      <c r="L41" s="1012">
        <f>huishoudens!K12</f>
        <v>0</v>
      </c>
      <c r="M41" s="1012">
        <f>huishoudens!L12</f>
        <v>0</v>
      </c>
      <c r="N41" s="1012">
        <f>huishoudens!M12</f>
        <v>0</v>
      </c>
      <c r="O41" s="1012">
        <f>huishoudens!N12</f>
        <v>0</v>
      </c>
      <c r="P41" s="1012">
        <f>huishoudens!O12</f>
        <v>0</v>
      </c>
      <c r="Q41" s="774">
        <f>huishoudens!P12</f>
        <v>0</v>
      </c>
      <c r="R41" s="850">
        <f t="shared" ca="1" si="4"/>
        <v>16451.081849144004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0</v>
      </c>
      <c r="D43" s="1012">
        <f ca="1">industrie!C22</f>
        <v>0</v>
      </c>
      <c r="E43" s="1012">
        <f>industrie!D22</f>
        <v>25.330911100000002</v>
      </c>
      <c r="F43" s="1012">
        <f>industrie!E22</f>
        <v>55.255166950518131</v>
      </c>
      <c r="G43" s="1012">
        <f>industrie!F22</f>
        <v>226.7179507436837</v>
      </c>
      <c r="H43" s="1012">
        <f>industrie!G22</f>
        <v>0</v>
      </c>
      <c r="I43" s="1012">
        <f>industrie!H22</f>
        <v>0</v>
      </c>
      <c r="J43" s="1012">
        <f>industrie!I22</f>
        <v>0</v>
      </c>
      <c r="K43" s="1012">
        <f>industrie!J22</f>
        <v>4.5117995106655095E-2</v>
      </c>
      <c r="L43" s="1012">
        <f>industrie!K22</f>
        <v>0</v>
      </c>
      <c r="M43" s="1012">
        <f>industrie!L22</f>
        <v>0</v>
      </c>
      <c r="N43" s="1012">
        <f>industrie!M22</f>
        <v>0</v>
      </c>
      <c r="O43" s="1012">
        <f>industrie!N22</f>
        <v>0</v>
      </c>
      <c r="P43" s="1012">
        <f>industrie!O22</f>
        <v>0</v>
      </c>
      <c r="Q43" s="774">
        <f>industrie!P22</f>
        <v>0</v>
      </c>
      <c r="R43" s="849">
        <f t="shared" ca="1" si="4"/>
        <v>307.34914678930846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0</v>
      </c>
      <c r="D46" s="732">
        <f t="shared" ref="D46:Q46" ca="1" si="5">SUM(D39:D45)</f>
        <v>0</v>
      </c>
      <c r="E46" s="732">
        <f t="shared" ca="1" si="5"/>
        <v>2785.4077558119998</v>
      </c>
      <c r="F46" s="732">
        <f t="shared" si="5"/>
        <v>1315.0637937712179</v>
      </c>
      <c r="G46" s="732">
        <f t="shared" ca="1" si="5"/>
        <v>13235.873096791998</v>
      </c>
      <c r="H46" s="732">
        <f t="shared" si="5"/>
        <v>0</v>
      </c>
      <c r="I46" s="732">
        <f t="shared" si="5"/>
        <v>0</v>
      </c>
      <c r="J46" s="732">
        <f t="shared" si="5"/>
        <v>0</v>
      </c>
      <c r="K46" s="732">
        <f t="shared" si="5"/>
        <v>401.10503987382253</v>
      </c>
      <c r="L46" s="732">
        <f t="shared" si="5"/>
        <v>0</v>
      </c>
      <c r="M46" s="732">
        <f t="shared" ca="1" si="5"/>
        <v>0</v>
      </c>
      <c r="N46" s="732">
        <f t="shared" si="5"/>
        <v>0</v>
      </c>
      <c r="O46" s="732">
        <f t="shared" ca="1" si="5"/>
        <v>0</v>
      </c>
      <c r="P46" s="732">
        <f t="shared" si="5"/>
        <v>0</v>
      </c>
      <c r="Q46" s="732">
        <f t="shared" si="5"/>
        <v>0</v>
      </c>
      <c r="R46" s="732">
        <f ca="1">SUM(R39:R45)</f>
        <v>17737.449686249038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245.60231553437796</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245.60231553437796</v>
      </c>
    </row>
    <row r="50" spans="1:18">
      <c r="A50" s="825" t="s">
        <v>307</v>
      </c>
      <c r="B50" s="835"/>
      <c r="C50" s="703">
        <f ca="1">transport!B18</f>
        <v>0</v>
      </c>
      <c r="D50" s="703">
        <f>transport!C18</f>
        <v>0</v>
      </c>
      <c r="E50" s="703">
        <f>transport!D18</f>
        <v>9.1028194541839067</v>
      </c>
      <c r="F50" s="703">
        <f>transport!E18</f>
        <v>43.722325062797502</v>
      </c>
      <c r="G50" s="703">
        <f>transport!F18</f>
        <v>0</v>
      </c>
      <c r="H50" s="703">
        <f>transport!G18</f>
        <v>16417.794235245066</v>
      </c>
      <c r="I50" s="703">
        <f>transport!H18</f>
        <v>3072.44548182581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19543.064861587856</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v>
      </c>
      <c r="D52" s="732">
        <f t="shared" ref="D52:Q52" ca="1" si="6">SUM(D48:D51)</f>
        <v>0</v>
      </c>
      <c r="E52" s="732">
        <f t="shared" si="6"/>
        <v>9.1028194541839067</v>
      </c>
      <c r="F52" s="732">
        <f t="shared" si="6"/>
        <v>43.722325062797502</v>
      </c>
      <c r="G52" s="732">
        <f t="shared" si="6"/>
        <v>0</v>
      </c>
      <c r="H52" s="732">
        <f t="shared" si="6"/>
        <v>16663.396550779446</v>
      </c>
      <c r="I52" s="732">
        <f t="shared" si="6"/>
        <v>3072.44548182581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19788.667177122235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0</v>
      </c>
      <c r="D54" s="703">
        <f ca="1">+landbouw!C12</f>
        <v>0</v>
      </c>
      <c r="E54" s="703">
        <f>+landbouw!D12</f>
        <v>21.542707736000001</v>
      </c>
      <c r="F54" s="703">
        <f>+landbouw!E12</f>
        <v>7.3505799206718425</v>
      </c>
      <c r="G54" s="703">
        <f>+landbouw!F12</f>
        <v>1225.5480316335268</v>
      </c>
      <c r="H54" s="703">
        <f>+landbouw!G12</f>
        <v>0</v>
      </c>
      <c r="I54" s="703">
        <f>+landbouw!H12</f>
        <v>0</v>
      </c>
      <c r="J54" s="703">
        <f>+landbouw!I12</f>
        <v>0</v>
      </c>
      <c r="K54" s="703">
        <f>+landbouw!J12</f>
        <v>63.99762539562213</v>
      </c>
      <c r="L54" s="703">
        <f>+landbouw!K12</f>
        <v>0</v>
      </c>
      <c r="M54" s="703">
        <f>+landbouw!L12</f>
        <v>0</v>
      </c>
      <c r="N54" s="703">
        <f>+landbouw!M12</f>
        <v>0</v>
      </c>
      <c r="O54" s="703">
        <f>+landbouw!N12</f>
        <v>0</v>
      </c>
      <c r="P54" s="703">
        <f>+landbouw!O12</f>
        <v>0</v>
      </c>
      <c r="Q54" s="704">
        <f>+landbouw!P12</f>
        <v>0</v>
      </c>
      <c r="R54" s="731">
        <f ca="1">SUM(C54:Q54)</f>
        <v>1318.4389446858208</v>
      </c>
    </row>
    <row r="55" spans="1:18" ht="15" thickBot="1">
      <c r="A55" s="825" t="s">
        <v>848</v>
      </c>
      <c r="B55" s="835"/>
      <c r="C55" s="703">
        <f ca="1">C25*'EF ele_warmte'!B12</f>
        <v>0</v>
      </c>
      <c r="D55" s="703"/>
      <c r="E55" s="703">
        <f>E25*EF_CO2_aardgas</f>
        <v>244.76622800000001</v>
      </c>
      <c r="F55" s="703"/>
      <c r="G55" s="703"/>
      <c r="H55" s="703"/>
      <c r="I55" s="703"/>
      <c r="J55" s="703"/>
      <c r="K55" s="703"/>
      <c r="L55" s="703"/>
      <c r="M55" s="703"/>
      <c r="N55" s="703"/>
      <c r="O55" s="703"/>
      <c r="P55" s="703"/>
      <c r="Q55" s="704"/>
      <c r="R55" s="731">
        <f ca="1">SUM(C55:Q55)</f>
        <v>244.76622800000001</v>
      </c>
    </row>
    <row r="56" spans="1:18" ht="15.75" thickBot="1">
      <c r="A56" s="823" t="s">
        <v>849</v>
      </c>
      <c r="B56" s="836"/>
      <c r="C56" s="732">
        <f ca="1">SUM(C54:C55)</f>
        <v>0</v>
      </c>
      <c r="D56" s="732">
        <f t="shared" ref="D56:Q56" ca="1" si="7">SUM(D54:D55)</f>
        <v>0</v>
      </c>
      <c r="E56" s="732">
        <f t="shared" si="7"/>
        <v>266.30893573600002</v>
      </c>
      <c r="F56" s="732">
        <f t="shared" si="7"/>
        <v>7.3505799206718425</v>
      </c>
      <c r="G56" s="732">
        <f t="shared" si="7"/>
        <v>1225.5480316335268</v>
      </c>
      <c r="H56" s="732">
        <f t="shared" si="7"/>
        <v>0</v>
      </c>
      <c r="I56" s="732">
        <f t="shared" si="7"/>
        <v>0</v>
      </c>
      <c r="J56" s="732">
        <f t="shared" si="7"/>
        <v>0</v>
      </c>
      <c r="K56" s="732">
        <f t="shared" si="7"/>
        <v>63.99762539562213</v>
      </c>
      <c r="L56" s="732">
        <f t="shared" si="7"/>
        <v>0</v>
      </c>
      <c r="M56" s="732">
        <f t="shared" si="7"/>
        <v>0</v>
      </c>
      <c r="N56" s="732">
        <f t="shared" si="7"/>
        <v>0</v>
      </c>
      <c r="O56" s="732">
        <f t="shared" si="7"/>
        <v>0</v>
      </c>
      <c r="P56" s="732">
        <f t="shared" si="7"/>
        <v>0</v>
      </c>
      <c r="Q56" s="733">
        <f t="shared" si="7"/>
        <v>0</v>
      </c>
      <c r="R56" s="734">
        <f ca="1">SUM(R54:R55)</f>
        <v>1563.2051726858208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0</v>
      </c>
      <c r="D61" s="740">
        <f t="shared" ref="D61:Q61" ca="1" si="8">D46+D52+D56</f>
        <v>0</v>
      </c>
      <c r="E61" s="740">
        <f t="shared" ca="1" si="8"/>
        <v>3060.8195110021838</v>
      </c>
      <c r="F61" s="740">
        <f t="shared" si="8"/>
        <v>1366.1366987546874</v>
      </c>
      <c r="G61" s="740">
        <f t="shared" ca="1" si="8"/>
        <v>14461.421128425525</v>
      </c>
      <c r="H61" s="740">
        <f t="shared" si="8"/>
        <v>16663.396550779446</v>
      </c>
      <c r="I61" s="740">
        <f t="shared" si="8"/>
        <v>3072.44548182581</v>
      </c>
      <c r="J61" s="740">
        <f t="shared" si="8"/>
        <v>0</v>
      </c>
      <c r="K61" s="740">
        <f t="shared" si="8"/>
        <v>465.10266526944469</v>
      </c>
      <c r="L61" s="740">
        <f t="shared" si="8"/>
        <v>0</v>
      </c>
      <c r="M61" s="740">
        <f t="shared" ca="1" si="8"/>
        <v>0</v>
      </c>
      <c r="N61" s="740">
        <f t="shared" si="8"/>
        <v>0</v>
      </c>
      <c r="O61" s="740">
        <f t="shared" ca="1" si="8"/>
        <v>0</v>
      </c>
      <c r="P61" s="740">
        <f t="shared" si="8"/>
        <v>0</v>
      </c>
      <c r="Q61" s="740">
        <f t="shared" si="8"/>
        <v>0</v>
      </c>
      <c r="R61" s="740">
        <f ca="1">R46+R52+R56</f>
        <v>39089.322036057092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v>
      </c>
      <c r="D63" s="781">
        <f t="shared" ca="1" si="9"/>
        <v>0</v>
      </c>
      <c r="E63" s="1023">
        <f t="shared" ca="1" si="9"/>
        <v>0.20199999999999999</v>
      </c>
      <c r="F63" s="781">
        <f t="shared" si="9"/>
        <v>0.22700000000000006</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24693.918130312511</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3178.0776067135603</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27871.995737026071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15116.145611331107</v>
      </c>
      <c r="C4" s="477">
        <f>huishoudens!C8</f>
        <v>0</v>
      </c>
      <c r="D4" s="477">
        <f>huishoudens!D8</f>
        <v>10697.806591999999</v>
      </c>
      <c r="E4" s="477">
        <f>huishoudens!E8</f>
        <v>5456.9168377261376</v>
      </c>
      <c r="F4" s="477">
        <f>huishoudens!F8</f>
        <v>47379.568814672115</v>
      </c>
      <c r="G4" s="477">
        <f>huishoudens!G8</f>
        <v>0</v>
      </c>
      <c r="H4" s="477">
        <f>huishoudens!H8</f>
        <v>0</v>
      </c>
      <c r="I4" s="477">
        <f>huishoudens!I8</f>
        <v>0</v>
      </c>
      <c r="J4" s="477">
        <f>huishoudens!J8</f>
        <v>1132.9376324257512</v>
      </c>
      <c r="K4" s="477">
        <f>huishoudens!K8</f>
        <v>0</v>
      </c>
      <c r="L4" s="477">
        <f>huishoudens!L8</f>
        <v>0</v>
      </c>
      <c r="M4" s="477">
        <f>huishoudens!M8</f>
        <v>0</v>
      </c>
      <c r="N4" s="477">
        <f>huishoudens!N8</f>
        <v>8204.8255196360278</v>
      </c>
      <c r="O4" s="477">
        <f>huishoudens!O8</f>
        <v>134.44666666666666</v>
      </c>
      <c r="P4" s="478">
        <f>huishoudens!P8</f>
        <v>724.5333333333333</v>
      </c>
      <c r="Q4" s="479">
        <f>SUM(B4:P4)</f>
        <v>88847.18100779115</v>
      </c>
    </row>
    <row r="5" spans="1:17">
      <c r="A5" s="476" t="s">
        <v>156</v>
      </c>
      <c r="B5" s="477">
        <f ca="1">tertiair!B16</f>
        <v>5517.5640000000003</v>
      </c>
      <c r="C5" s="477">
        <f ca="1">tertiair!C16</f>
        <v>0</v>
      </c>
      <c r="D5" s="477">
        <f ca="1">tertiair!D16</f>
        <v>2965.9401640000006</v>
      </c>
      <c r="E5" s="477">
        <f>tertiair!E16</f>
        <v>92.900901572098689</v>
      </c>
      <c r="F5" s="477">
        <f ca="1">tertiair!F16</f>
        <v>1343.8586986174539</v>
      </c>
      <c r="G5" s="477">
        <f>tertiair!G16</f>
        <v>0</v>
      </c>
      <c r="H5" s="477">
        <f>tertiair!H16</f>
        <v>0</v>
      </c>
      <c r="I5" s="477">
        <f>tertiair!I16</f>
        <v>0</v>
      </c>
      <c r="J5" s="477">
        <f>tertiair!J16</f>
        <v>0</v>
      </c>
      <c r="K5" s="477">
        <f>tertiair!K16</f>
        <v>0</v>
      </c>
      <c r="L5" s="477">
        <f ca="1">tertiair!L16</f>
        <v>0</v>
      </c>
      <c r="M5" s="477">
        <f>tertiair!M16</f>
        <v>0</v>
      </c>
      <c r="N5" s="477">
        <f ca="1">tertiair!N16</f>
        <v>1254.4136607845815</v>
      </c>
      <c r="O5" s="477">
        <f>tertiair!O16</f>
        <v>0</v>
      </c>
      <c r="P5" s="478">
        <f>tertiair!P16</f>
        <v>38.133333333333333</v>
      </c>
      <c r="Q5" s="476">
        <f t="shared" ref="Q5:Q14" ca="1" si="0">SUM(B5:P5)</f>
        <v>11212.810758307469</v>
      </c>
    </row>
    <row r="6" spans="1:17">
      <c r="A6" s="476" t="s">
        <v>194</v>
      </c>
      <c r="B6" s="477">
        <f>'openbare verlichting'!B8</f>
        <v>471.18200000000002</v>
      </c>
      <c r="C6" s="477"/>
      <c r="D6" s="477"/>
      <c r="E6" s="477"/>
      <c r="F6" s="477"/>
      <c r="G6" s="477"/>
      <c r="H6" s="477"/>
      <c r="I6" s="477"/>
      <c r="J6" s="477"/>
      <c r="K6" s="477"/>
      <c r="L6" s="477"/>
      <c r="M6" s="477"/>
      <c r="N6" s="477"/>
      <c r="O6" s="477"/>
      <c r="P6" s="478"/>
      <c r="Q6" s="476">
        <f t="shared" si="0"/>
        <v>471.18200000000002</v>
      </c>
    </row>
    <row r="7" spans="1:17">
      <c r="A7" s="476" t="s">
        <v>112</v>
      </c>
      <c r="B7" s="477">
        <f>landbouw!B8</f>
        <v>1255.7670000000001</v>
      </c>
      <c r="C7" s="477">
        <f>landbouw!C8</f>
        <v>0</v>
      </c>
      <c r="D7" s="477">
        <f>landbouw!D8</f>
        <v>106.647068</v>
      </c>
      <c r="E7" s="477">
        <f>landbouw!E8</f>
        <v>32.381409342166705</v>
      </c>
      <c r="F7" s="477">
        <f>landbouw!F8</f>
        <v>4590.0675342079649</v>
      </c>
      <c r="G7" s="477">
        <f>landbouw!G8</f>
        <v>0</v>
      </c>
      <c r="H7" s="477">
        <f>landbouw!H8</f>
        <v>0</v>
      </c>
      <c r="I7" s="477">
        <f>landbouw!I8</f>
        <v>0</v>
      </c>
      <c r="J7" s="477">
        <f>landbouw!J8</f>
        <v>180.78425253000603</v>
      </c>
      <c r="K7" s="477">
        <f>landbouw!K8</f>
        <v>0</v>
      </c>
      <c r="L7" s="477">
        <f>landbouw!L8</f>
        <v>0</v>
      </c>
      <c r="M7" s="477">
        <f>landbouw!M8</f>
        <v>0</v>
      </c>
      <c r="N7" s="477">
        <f>landbouw!N8</f>
        <v>0</v>
      </c>
      <c r="O7" s="477">
        <f>landbouw!O8</f>
        <v>0</v>
      </c>
      <c r="P7" s="478">
        <f>landbouw!P8</f>
        <v>0</v>
      </c>
      <c r="Q7" s="476">
        <f t="shared" si="0"/>
        <v>6165.6472640801376</v>
      </c>
    </row>
    <row r="8" spans="1:17">
      <c r="A8" s="476" t="s">
        <v>638</v>
      </c>
      <c r="B8" s="477">
        <f>industrie!B18</f>
        <v>1116.0429999999999</v>
      </c>
      <c r="C8" s="477">
        <f>industrie!C18</f>
        <v>0</v>
      </c>
      <c r="D8" s="477">
        <f>industrie!D18</f>
        <v>125.40055</v>
      </c>
      <c r="E8" s="477">
        <f>industrie!E18</f>
        <v>243.41483238113713</v>
      </c>
      <c r="F8" s="477">
        <f>industrie!F18</f>
        <v>849.13090166173663</v>
      </c>
      <c r="G8" s="477">
        <f>industrie!G18</f>
        <v>0</v>
      </c>
      <c r="H8" s="477">
        <f>industrie!H18</f>
        <v>0</v>
      </c>
      <c r="I8" s="477">
        <f>industrie!I18</f>
        <v>0</v>
      </c>
      <c r="J8" s="477">
        <f>industrie!J18</f>
        <v>0.12745196357812175</v>
      </c>
      <c r="K8" s="477">
        <f>industrie!K18</f>
        <v>0</v>
      </c>
      <c r="L8" s="477">
        <f>industrie!L18</f>
        <v>0</v>
      </c>
      <c r="M8" s="477">
        <f>industrie!M18</f>
        <v>0</v>
      </c>
      <c r="N8" s="477">
        <f>industrie!N18</f>
        <v>348.82795109084623</v>
      </c>
      <c r="O8" s="477">
        <f>industrie!O18</f>
        <v>0</v>
      </c>
      <c r="P8" s="478">
        <f>industrie!P18</f>
        <v>0</v>
      </c>
      <c r="Q8" s="476">
        <f t="shared" si="0"/>
        <v>2682.9446870972979</v>
      </c>
    </row>
    <row r="9" spans="1:17" s="482" customFormat="1">
      <c r="A9" s="480" t="s">
        <v>564</v>
      </c>
      <c r="B9" s="481">
        <f>transport!B14</f>
        <v>20.141220264546142</v>
      </c>
      <c r="C9" s="481">
        <f>transport!C14</f>
        <v>0</v>
      </c>
      <c r="D9" s="481">
        <f>transport!D14</f>
        <v>45.063462644474782</v>
      </c>
      <c r="E9" s="481">
        <f>transport!E14</f>
        <v>192.60936151012115</v>
      </c>
      <c r="F9" s="481">
        <f>transport!F14</f>
        <v>0</v>
      </c>
      <c r="G9" s="481">
        <f>transport!G14</f>
        <v>61489.866049606993</v>
      </c>
      <c r="H9" s="481">
        <f>transport!H14</f>
        <v>12339.138481228152</v>
      </c>
      <c r="I9" s="481">
        <f>transport!I14</f>
        <v>0</v>
      </c>
      <c r="J9" s="481">
        <f>transport!J14</f>
        <v>0</v>
      </c>
      <c r="K9" s="481">
        <f>transport!K14</f>
        <v>0</v>
      </c>
      <c r="L9" s="481">
        <f>transport!L14</f>
        <v>0</v>
      </c>
      <c r="M9" s="481">
        <f>transport!M14</f>
        <v>2306.9463797661942</v>
      </c>
      <c r="N9" s="481">
        <f>transport!N14</f>
        <v>0</v>
      </c>
      <c r="O9" s="481">
        <f>transport!O14</f>
        <v>0</v>
      </c>
      <c r="P9" s="481">
        <f>transport!P14</f>
        <v>0</v>
      </c>
      <c r="Q9" s="480">
        <f>SUM(B9:P9)</f>
        <v>76393.764955020481</v>
      </c>
    </row>
    <row r="10" spans="1:17">
      <c r="A10" s="476" t="s">
        <v>554</v>
      </c>
      <c r="B10" s="477">
        <f>transport!B54</f>
        <v>0</v>
      </c>
      <c r="C10" s="477">
        <f>transport!C54</f>
        <v>0</v>
      </c>
      <c r="D10" s="477">
        <f>transport!D54</f>
        <v>0</v>
      </c>
      <c r="E10" s="477">
        <f>transport!E54</f>
        <v>0</v>
      </c>
      <c r="F10" s="477">
        <f>transport!F54</f>
        <v>0</v>
      </c>
      <c r="G10" s="477">
        <f>transport!G54</f>
        <v>919.85885967931813</v>
      </c>
      <c r="H10" s="477">
        <f>transport!H54</f>
        <v>0</v>
      </c>
      <c r="I10" s="477">
        <f>transport!I54</f>
        <v>0</v>
      </c>
      <c r="J10" s="477">
        <f>transport!J54</f>
        <v>0</v>
      </c>
      <c r="K10" s="477">
        <f>transport!K54</f>
        <v>0</v>
      </c>
      <c r="L10" s="477">
        <f>transport!L54</f>
        <v>0</v>
      </c>
      <c r="M10" s="477">
        <f>transport!M54</f>
        <v>28.531963935487973</v>
      </c>
      <c r="N10" s="477">
        <f>transport!N54</f>
        <v>0</v>
      </c>
      <c r="O10" s="477">
        <f>transport!O54</f>
        <v>0</v>
      </c>
      <c r="P10" s="478">
        <f>transport!P54</f>
        <v>0</v>
      </c>
      <c r="Q10" s="476">
        <f t="shared" si="0"/>
        <v>948.3908236148061</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154.821</v>
      </c>
      <c r="C14" s="484"/>
      <c r="D14" s="484">
        <f>'SEAP template'!E25</f>
        <v>1211.7139999999999</v>
      </c>
      <c r="E14" s="484"/>
      <c r="F14" s="484"/>
      <c r="G14" s="484"/>
      <c r="H14" s="484"/>
      <c r="I14" s="484"/>
      <c r="J14" s="484"/>
      <c r="K14" s="484"/>
      <c r="L14" s="484"/>
      <c r="M14" s="484"/>
      <c r="N14" s="484"/>
      <c r="O14" s="484"/>
      <c r="P14" s="485"/>
      <c r="Q14" s="476">
        <f t="shared" si="0"/>
        <v>1366.5349999999999</v>
      </c>
    </row>
    <row r="15" spans="1:17" s="486" customFormat="1">
      <c r="A15" s="1038" t="s">
        <v>558</v>
      </c>
      <c r="B15" s="978">
        <f ca="1">SUM(B4:B14)</f>
        <v>23651.663831595655</v>
      </c>
      <c r="C15" s="978">
        <f t="shared" ref="C15:Q15" ca="1" si="1">SUM(C4:C14)</f>
        <v>0</v>
      </c>
      <c r="D15" s="978">
        <f t="shared" ca="1" si="1"/>
        <v>15152.571836644476</v>
      </c>
      <c r="E15" s="978">
        <f t="shared" si="1"/>
        <v>6018.2233425316608</v>
      </c>
      <c r="F15" s="978">
        <f t="shared" ca="1" si="1"/>
        <v>54162.625949159272</v>
      </c>
      <c r="G15" s="978">
        <f t="shared" si="1"/>
        <v>62409.724909286313</v>
      </c>
      <c r="H15" s="978">
        <f t="shared" si="1"/>
        <v>12339.138481228152</v>
      </c>
      <c r="I15" s="978">
        <f t="shared" si="1"/>
        <v>0</v>
      </c>
      <c r="J15" s="978">
        <f t="shared" si="1"/>
        <v>1313.8493369193352</v>
      </c>
      <c r="K15" s="978">
        <f t="shared" si="1"/>
        <v>0</v>
      </c>
      <c r="L15" s="978">
        <f t="shared" ca="1" si="1"/>
        <v>0</v>
      </c>
      <c r="M15" s="978">
        <f t="shared" si="1"/>
        <v>2335.4783437016822</v>
      </c>
      <c r="N15" s="978">
        <f t="shared" ca="1" si="1"/>
        <v>9808.067131511456</v>
      </c>
      <c r="O15" s="978">
        <f t="shared" si="1"/>
        <v>134.44666666666666</v>
      </c>
      <c r="P15" s="978">
        <f t="shared" si="1"/>
        <v>762.66666666666663</v>
      </c>
      <c r="Q15" s="978">
        <f t="shared" ca="1" si="1"/>
        <v>188088.45649591135</v>
      </c>
    </row>
    <row r="17" spans="1:17">
      <c r="A17" s="487" t="s">
        <v>559</v>
      </c>
      <c r="B17" s="786">
        <f ca="1">huishoudens!B10</f>
        <v>0</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0</v>
      </c>
      <c r="C22" s="477">
        <f t="shared" ref="C22:C32" ca="1" si="3">C4*$C$17</f>
        <v>0</v>
      </c>
      <c r="D22" s="477">
        <f t="shared" ref="D22:D32" si="4">D4*$D$17</f>
        <v>2160.9569315839999</v>
      </c>
      <c r="E22" s="477">
        <f t="shared" ref="E22:E32" si="5">E4*$E$17</f>
        <v>1238.7201221638334</v>
      </c>
      <c r="F22" s="477">
        <f t="shared" ref="F22:F32" si="6">F4*$F$17</f>
        <v>12650.344873517455</v>
      </c>
      <c r="G22" s="477">
        <f t="shared" ref="G22:G32" si="7">G4*$G$17</f>
        <v>0</v>
      </c>
      <c r="H22" s="477">
        <f t="shared" ref="H22:H32" si="8">H4*$H$17</f>
        <v>0</v>
      </c>
      <c r="I22" s="477">
        <f t="shared" ref="I22:I32" si="9">I4*$I$17</f>
        <v>0</v>
      </c>
      <c r="J22" s="477">
        <f t="shared" ref="J22:J32" si="10">J4*$J$17</f>
        <v>401.0599218787159</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16451.081849144004</v>
      </c>
    </row>
    <row r="23" spans="1:17">
      <c r="A23" s="476" t="s">
        <v>156</v>
      </c>
      <c r="B23" s="477">
        <f t="shared" ca="1" si="2"/>
        <v>0</v>
      </c>
      <c r="C23" s="477">
        <f t="shared" ca="1" si="3"/>
        <v>0</v>
      </c>
      <c r="D23" s="477">
        <f t="shared" ca="1" si="4"/>
        <v>599.11991312800012</v>
      </c>
      <c r="E23" s="477">
        <f t="shared" si="5"/>
        <v>21.088504656866402</v>
      </c>
      <c r="F23" s="477">
        <f t="shared" ca="1" si="6"/>
        <v>358.81027253086023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979.01869031572664</v>
      </c>
    </row>
    <row r="24" spans="1:17">
      <c r="A24" s="476" t="s">
        <v>194</v>
      </c>
      <c r="B24" s="477">
        <f t="shared" ca="1" si="2"/>
        <v>0</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0</v>
      </c>
    </row>
    <row r="25" spans="1:17">
      <c r="A25" s="476" t="s">
        <v>112</v>
      </c>
      <c r="B25" s="477">
        <f t="shared" ca="1" si="2"/>
        <v>0</v>
      </c>
      <c r="C25" s="477">
        <f t="shared" ca="1" si="3"/>
        <v>0</v>
      </c>
      <c r="D25" s="477">
        <f t="shared" si="4"/>
        <v>21.542707736000001</v>
      </c>
      <c r="E25" s="477">
        <f t="shared" si="5"/>
        <v>7.3505799206718425</v>
      </c>
      <c r="F25" s="477">
        <f t="shared" si="6"/>
        <v>1225.5480316335268</v>
      </c>
      <c r="G25" s="477">
        <f t="shared" si="7"/>
        <v>0</v>
      </c>
      <c r="H25" s="477">
        <f t="shared" si="8"/>
        <v>0</v>
      </c>
      <c r="I25" s="477">
        <f t="shared" si="9"/>
        <v>0</v>
      </c>
      <c r="J25" s="477">
        <f t="shared" si="10"/>
        <v>63.99762539562213</v>
      </c>
      <c r="K25" s="477">
        <f t="shared" si="11"/>
        <v>0</v>
      </c>
      <c r="L25" s="477">
        <f t="shared" si="12"/>
        <v>0</v>
      </c>
      <c r="M25" s="477">
        <f t="shared" si="13"/>
        <v>0</v>
      </c>
      <c r="N25" s="477">
        <f t="shared" si="14"/>
        <v>0</v>
      </c>
      <c r="O25" s="477">
        <f t="shared" si="15"/>
        <v>0</v>
      </c>
      <c r="P25" s="478">
        <f t="shared" si="16"/>
        <v>0</v>
      </c>
      <c r="Q25" s="476">
        <f t="shared" ca="1" si="17"/>
        <v>1318.4389446858208</v>
      </c>
    </row>
    <row r="26" spans="1:17">
      <c r="A26" s="476" t="s">
        <v>638</v>
      </c>
      <c r="B26" s="477">
        <f t="shared" ca="1" si="2"/>
        <v>0</v>
      </c>
      <c r="C26" s="477">
        <f t="shared" ca="1" si="3"/>
        <v>0</v>
      </c>
      <c r="D26" s="477">
        <f t="shared" si="4"/>
        <v>25.330911100000002</v>
      </c>
      <c r="E26" s="477">
        <f t="shared" si="5"/>
        <v>55.255166950518131</v>
      </c>
      <c r="F26" s="477">
        <f t="shared" si="6"/>
        <v>226.7179507436837</v>
      </c>
      <c r="G26" s="477">
        <f t="shared" si="7"/>
        <v>0</v>
      </c>
      <c r="H26" s="477">
        <f t="shared" si="8"/>
        <v>0</v>
      </c>
      <c r="I26" s="477">
        <f t="shared" si="9"/>
        <v>0</v>
      </c>
      <c r="J26" s="477">
        <f t="shared" si="10"/>
        <v>4.5117995106655095E-2</v>
      </c>
      <c r="K26" s="477">
        <f t="shared" si="11"/>
        <v>0</v>
      </c>
      <c r="L26" s="477">
        <f t="shared" si="12"/>
        <v>0</v>
      </c>
      <c r="M26" s="477">
        <f t="shared" si="13"/>
        <v>0</v>
      </c>
      <c r="N26" s="477">
        <f t="shared" si="14"/>
        <v>0</v>
      </c>
      <c r="O26" s="477">
        <f t="shared" si="15"/>
        <v>0</v>
      </c>
      <c r="P26" s="478">
        <f t="shared" si="16"/>
        <v>0</v>
      </c>
      <c r="Q26" s="476">
        <f t="shared" ca="1" si="17"/>
        <v>307.34914678930846</v>
      </c>
    </row>
    <row r="27" spans="1:17" s="482" customFormat="1">
      <c r="A27" s="480" t="s">
        <v>564</v>
      </c>
      <c r="B27" s="780">
        <f t="shared" ca="1" si="2"/>
        <v>0</v>
      </c>
      <c r="C27" s="481">
        <f t="shared" ca="1" si="3"/>
        <v>0</v>
      </c>
      <c r="D27" s="481">
        <f t="shared" si="4"/>
        <v>9.1028194541839067</v>
      </c>
      <c r="E27" s="481">
        <f t="shared" si="5"/>
        <v>43.722325062797502</v>
      </c>
      <c r="F27" s="481">
        <f t="shared" si="6"/>
        <v>0</v>
      </c>
      <c r="G27" s="481">
        <f t="shared" si="7"/>
        <v>16417.794235245066</v>
      </c>
      <c r="H27" s="481">
        <f t="shared" si="8"/>
        <v>3072.44548182581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19543.064861587856</v>
      </c>
    </row>
    <row r="28" spans="1:17">
      <c r="A28" s="476" t="s">
        <v>554</v>
      </c>
      <c r="B28" s="477">
        <f t="shared" ca="1" si="2"/>
        <v>0</v>
      </c>
      <c r="C28" s="477">
        <f t="shared" ca="1" si="3"/>
        <v>0</v>
      </c>
      <c r="D28" s="477">
        <f t="shared" si="4"/>
        <v>0</v>
      </c>
      <c r="E28" s="477">
        <f t="shared" si="5"/>
        <v>0</v>
      </c>
      <c r="F28" s="477">
        <f t="shared" si="6"/>
        <v>0</v>
      </c>
      <c r="G28" s="477">
        <f t="shared" si="7"/>
        <v>245.60231553437796</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245.60231553437796</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0</v>
      </c>
      <c r="C32" s="477">
        <f t="shared" ca="1" si="3"/>
        <v>0</v>
      </c>
      <c r="D32" s="477">
        <f t="shared" si="4"/>
        <v>244.76622800000001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244.76622800000001</v>
      </c>
    </row>
    <row r="33" spans="1:17" s="486" customFormat="1">
      <c r="A33" s="1038" t="s">
        <v>558</v>
      </c>
      <c r="B33" s="978">
        <f ca="1">SUM(B22:B32)</f>
        <v>0</v>
      </c>
      <c r="C33" s="978">
        <f t="shared" ref="C33:Q33" ca="1" si="18">SUM(C22:C32)</f>
        <v>0</v>
      </c>
      <c r="D33" s="978">
        <f t="shared" ca="1" si="18"/>
        <v>3060.8195110021838</v>
      </c>
      <c r="E33" s="978">
        <f t="shared" si="18"/>
        <v>1366.1366987546874</v>
      </c>
      <c r="F33" s="978">
        <f t="shared" ca="1" si="18"/>
        <v>14461.421128425525</v>
      </c>
      <c r="G33" s="978">
        <f t="shared" si="18"/>
        <v>16663.396550779446</v>
      </c>
      <c r="H33" s="978">
        <f t="shared" si="18"/>
        <v>3072.44548182581</v>
      </c>
      <c r="I33" s="978">
        <f t="shared" si="18"/>
        <v>0</v>
      </c>
      <c r="J33" s="978">
        <f t="shared" si="18"/>
        <v>465.10266526944469</v>
      </c>
      <c r="K33" s="978">
        <f t="shared" si="18"/>
        <v>0</v>
      </c>
      <c r="L33" s="978">
        <f t="shared" ca="1" si="18"/>
        <v>0</v>
      </c>
      <c r="M33" s="978">
        <f t="shared" si="18"/>
        <v>0</v>
      </c>
      <c r="N33" s="978">
        <f t="shared" ca="1" si="18"/>
        <v>0</v>
      </c>
      <c r="O33" s="978">
        <f t="shared" si="18"/>
        <v>0</v>
      </c>
      <c r="P33" s="978">
        <f t="shared" si="18"/>
        <v>0</v>
      </c>
      <c r="Q33" s="978">
        <f t="shared" ca="1" si="18"/>
        <v>39089.322036057099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24693.918130312511</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3178.0776067135603</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27871.995737026071</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1.5633333333333335</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3369</v>
      </c>
      <c r="C9" s="342">
        <v>3466</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4547.75</v>
      </c>
    </row>
    <row r="15" spans="1:6">
      <c r="A15" s="348" t="s">
        <v>184</v>
      </c>
      <c r="B15" s="334">
        <v>1</v>
      </c>
    </row>
    <row r="16" spans="1:6">
      <c r="A16" s="348" t="s">
        <v>6</v>
      </c>
      <c r="B16" s="334">
        <v>0</v>
      </c>
    </row>
    <row r="17" spans="1:6">
      <c r="A17" s="348" t="s">
        <v>7</v>
      </c>
      <c r="B17" s="334">
        <v>68</v>
      </c>
    </row>
    <row r="18" spans="1:6">
      <c r="A18" s="348" t="s">
        <v>8</v>
      </c>
      <c r="B18" s="334">
        <v>88</v>
      </c>
    </row>
    <row r="19" spans="1:6">
      <c r="A19" s="348" t="s">
        <v>9</v>
      </c>
      <c r="B19" s="334">
        <v>202</v>
      </c>
    </row>
    <row r="20" spans="1:6">
      <c r="A20" s="348" t="s">
        <v>10</v>
      </c>
      <c r="B20" s="334">
        <v>66</v>
      </c>
    </row>
    <row r="21" spans="1:6">
      <c r="A21" s="348" t="s">
        <v>11</v>
      </c>
      <c r="B21" s="334">
        <v>695</v>
      </c>
    </row>
    <row r="22" spans="1:6">
      <c r="A22" s="348" t="s">
        <v>12</v>
      </c>
      <c r="B22" s="334">
        <v>1959</v>
      </c>
    </row>
    <row r="23" spans="1:6">
      <c r="A23" s="348" t="s">
        <v>13</v>
      </c>
      <c r="B23" s="334">
        <v>34</v>
      </c>
    </row>
    <row r="24" spans="1:6">
      <c r="A24" s="348" t="s">
        <v>14</v>
      </c>
      <c r="B24" s="334">
        <v>2</v>
      </c>
    </row>
    <row r="25" spans="1:6">
      <c r="A25" s="348" t="s">
        <v>15</v>
      </c>
      <c r="B25" s="334">
        <v>147</v>
      </c>
    </row>
    <row r="26" spans="1:6">
      <c r="A26" s="348" t="s">
        <v>16</v>
      </c>
      <c r="B26" s="334">
        <v>46</v>
      </c>
    </row>
    <row r="27" spans="1:6">
      <c r="A27" s="348" t="s">
        <v>17</v>
      </c>
      <c r="B27" s="334">
        <v>0</v>
      </c>
    </row>
    <row r="28" spans="1:6" s="356" customFormat="1">
      <c r="A28" s="355" t="s">
        <v>18</v>
      </c>
      <c r="B28" s="355">
        <v>0</v>
      </c>
    </row>
    <row r="29" spans="1:6">
      <c r="A29" s="355" t="s">
        <v>884</v>
      </c>
      <c r="B29" s="355">
        <v>24</v>
      </c>
      <c r="C29" s="356"/>
      <c r="D29" s="356"/>
      <c r="E29" s="356"/>
      <c r="F29" s="356"/>
    </row>
    <row r="30" spans="1:6">
      <c r="A30" s="355" t="s">
        <v>885</v>
      </c>
      <c r="B30" s="341">
        <v>17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5901</v>
      </c>
    </row>
    <row r="37" spans="1:6">
      <c r="A37" s="348" t="s">
        <v>25</v>
      </c>
      <c r="B37" s="348" t="s">
        <v>28</v>
      </c>
      <c r="C37" s="334">
        <v>0</v>
      </c>
      <c r="D37" s="334">
        <v>0</v>
      </c>
      <c r="E37" s="334">
        <v>0</v>
      </c>
      <c r="F37" s="334">
        <v>0</v>
      </c>
    </row>
    <row r="38" spans="1:6">
      <c r="A38" s="348" t="s">
        <v>25</v>
      </c>
      <c r="B38" s="348" t="s">
        <v>29</v>
      </c>
      <c r="C38" s="334">
        <v>0</v>
      </c>
      <c r="D38" s="334">
        <v>0</v>
      </c>
      <c r="E38" s="334">
        <v>0</v>
      </c>
      <c r="F38" s="334">
        <v>23606</v>
      </c>
    </row>
    <row r="39" spans="1:6">
      <c r="A39" s="348" t="s">
        <v>30</v>
      </c>
      <c r="B39" s="348" t="s">
        <v>31</v>
      </c>
      <c r="C39" s="334">
        <v>720</v>
      </c>
      <c r="D39" s="334">
        <v>11860096</v>
      </c>
      <c r="E39" s="334">
        <v>3378</v>
      </c>
      <c r="F39" s="334">
        <v>13041312</v>
      </c>
    </row>
    <row r="40" spans="1:6">
      <c r="A40" s="348" t="s">
        <v>30</v>
      </c>
      <c r="B40" s="348" t="s">
        <v>29</v>
      </c>
      <c r="C40" s="334">
        <v>0</v>
      </c>
      <c r="D40" s="334">
        <v>0</v>
      </c>
      <c r="E40" s="334">
        <v>0</v>
      </c>
      <c r="F40" s="334">
        <v>0</v>
      </c>
    </row>
    <row r="41" spans="1:6">
      <c r="A41" s="348" t="s">
        <v>32</v>
      </c>
      <c r="B41" s="348" t="s">
        <v>33</v>
      </c>
      <c r="C41" s="334">
        <v>6</v>
      </c>
      <c r="D41" s="334">
        <v>102955</v>
      </c>
      <c r="E41" s="334">
        <v>43</v>
      </c>
      <c r="F41" s="334">
        <v>933198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23768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36070</v>
      </c>
      <c r="E48" s="334">
        <v>0</v>
      </c>
      <c r="F48" s="334">
        <v>15721</v>
      </c>
    </row>
    <row r="49" spans="1:6">
      <c r="A49" s="348" t="s">
        <v>32</v>
      </c>
      <c r="B49" s="348" t="s">
        <v>40</v>
      </c>
      <c r="C49" s="334">
        <v>0</v>
      </c>
      <c r="D49" s="334">
        <v>0</v>
      </c>
      <c r="E49" s="334">
        <v>3</v>
      </c>
      <c r="F49" s="334">
        <v>3041</v>
      </c>
    </row>
    <row r="50" spans="1:6">
      <c r="A50" s="348" t="s">
        <v>32</v>
      </c>
      <c r="B50" s="348" t="s">
        <v>41</v>
      </c>
      <c r="C50" s="334">
        <v>0</v>
      </c>
      <c r="D50" s="334">
        <v>0</v>
      </c>
      <c r="E50" s="334">
        <v>5</v>
      </c>
      <c r="F50" s="334">
        <v>140315</v>
      </c>
    </row>
    <row r="51" spans="1:6">
      <c r="A51" s="348" t="s">
        <v>42</v>
      </c>
      <c r="B51" s="348" t="s">
        <v>43</v>
      </c>
      <c r="C51" s="334">
        <v>5</v>
      </c>
      <c r="D51" s="334">
        <v>118234</v>
      </c>
      <c r="E51" s="334">
        <v>62</v>
      </c>
      <c r="F51" s="334">
        <v>1255767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36</v>
      </c>
      <c r="F54" s="334">
        <v>471182</v>
      </c>
    </row>
    <row r="55" spans="1:6">
      <c r="A55" s="348" t="s">
        <v>46</v>
      </c>
      <c r="B55" s="348" t="s">
        <v>29</v>
      </c>
      <c r="C55" s="334">
        <v>0</v>
      </c>
      <c r="D55" s="334">
        <v>0</v>
      </c>
      <c r="E55" s="334">
        <v>0</v>
      </c>
      <c r="F55" s="334">
        <v>0</v>
      </c>
    </row>
    <row r="56" spans="1:6">
      <c r="A56" s="348" t="s">
        <v>48</v>
      </c>
      <c r="B56" s="348" t="s">
        <v>29</v>
      </c>
      <c r="C56" s="334">
        <v>19</v>
      </c>
      <c r="D56" s="334">
        <v>1211714</v>
      </c>
      <c r="E56" s="334">
        <v>43</v>
      </c>
      <c r="F56" s="334">
        <v>154821</v>
      </c>
    </row>
    <row r="57" spans="1:6">
      <c r="A57" s="348" t="s">
        <v>49</v>
      </c>
      <c r="B57" s="348" t="s">
        <v>50</v>
      </c>
      <c r="C57" s="334">
        <v>5</v>
      </c>
      <c r="D57" s="334">
        <v>103816</v>
      </c>
      <c r="E57" s="334">
        <v>45</v>
      </c>
      <c r="F57" s="334">
        <v>1582161</v>
      </c>
    </row>
    <row r="58" spans="1:6">
      <c r="A58" s="348" t="s">
        <v>49</v>
      </c>
      <c r="B58" s="348" t="s">
        <v>51</v>
      </c>
      <c r="C58" s="334">
        <v>4</v>
      </c>
      <c r="D58" s="334">
        <v>64230</v>
      </c>
      <c r="E58" s="334">
        <v>17</v>
      </c>
      <c r="F58" s="334">
        <v>334572</v>
      </c>
    </row>
    <row r="59" spans="1:6">
      <c r="A59" s="348" t="s">
        <v>49</v>
      </c>
      <c r="B59" s="348" t="s">
        <v>52</v>
      </c>
      <c r="C59" s="334">
        <v>9</v>
      </c>
      <c r="D59" s="334">
        <v>2215467</v>
      </c>
      <c r="E59" s="334">
        <v>54</v>
      </c>
      <c r="F59" s="334">
        <v>1835317</v>
      </c>
    </row>
    <row r="60" spans="1:6">
      <c r="A60" s="348" t="s">
        <v>49</v>
      </c>
      <c r="B60" s="348" t="s">
        <v>53</v>
      </c>
      <c r="C60" s="334">
        <v>5</v>
      </c>
      <c r="D60" s="334">
        <v>129570</v>
      </c>
      <c r="E60" s="334">
        <v>31</v>
      </c>
      <c r="F60" s="334">
        <v>531492</v>
      </c>
    </row>
    <row r="61" spans="1:6">
      <c r="A61" s="348" t="s">
        <v>49</v>
      </c>
      <c r="B61" s="348" t="s">
        <v>54</v>
      </c>
      <c r="C61" s="334">
        <v>20</v>
      </c>
      <c r="D61" s="334">
        <v>746425</v>
      </c>
      <c r="E61" s="334">
        <v>123</v>
      </c>
      <c r="F61" s="334">
        <v>1128943</v>
      </c>
    </row>
    <row r="62" spans="1:6">
      <c r="A62" s="348" t="s">
        <v>49</v>
      </c>
      <c r="B62" s="348" t="s">
        <v>55</v>
      </c>
      <c r="C62" s="334">
        <v>0</v>
      </c>
      <c r="D62" s="334">
        <v>0</v>
      </c>
      <c r="E62" s="334">
        <v>5</v>
      </c>
      <c r="F62" s="334">
        <v>105079</v>
      </c>
    </row>
    <row r="63" spans="1:6">
      <c r="A63" s="348" t="s">
        <v>49</v>
      </c>
      <c r="B63" s="348" t="s">
        <v>29</v>
      </c>
      <c r="C63" s="334">
        <v>0</v>
      </c>
      <c r="D63" s="334">
        <v>28674</v>
      </c>
      <c r="E63" s="334">
        <v>0</v>
      </c>
      <c r="F63" s="334">
        <v>0</v>
      </c>
    </row>
    <row r="64" spans="1:6">
      <c r="A64" s="348" t="s">
        <v>56</v>
      </c>
      <c r="B64" s="348" t="s">
        <v>57</v>
      </c>
      <c r="C64" s="334">
        <v>0</v>
      </c>
      <c r="D64" s="334">
        <v>0</v>
      </c>
      <c r="E64" s="334">
        <v>0</v>
      </c>
      <c r="F64" s="334">
        <v>0</v>
      </c>
    </row>
    <row r="65" spans="1:6">
      <c r="A65" s="348" t="s">
        <v>56</v>
      </c>
      <c r="B65" s="348" t="s">
        <v>29</v>
      </c>
      <c r="C65" s="334">
        <v>0</v>
      </c>
      <c r="D65" s="334">
        <v>24222</v>
      </c>
      <c r="E65" s="334">
        <v>0</v>
      </c>
      <c r="F65" s="334">
        <v>145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37901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35829757</v>
      </c>
      <c r="E73" s="475">
        <v>36822567.957545571</v>
      </c>
    </row>
    <row r="74" spans="1:6">
      <c r="A74" s="348" t="s">
        <v>64</v>
      </c>
      <c r="B74" s="348" t="s">
        <v>667</v>
      </c>
      <c r="C74" s="1294" t="s">
        <v>669</v>
      </c>
      <c r="D74" s="475">
        <v>2210938.577136274</v>
      </c>
      <c r="E74" s="475">
        <v>2274651.9721211689</v>
      </c>
    </row>
    <row r="75" spans="1:6">
      <c r="A75" s="348" t="s">
        <v>65</v>
      </c>
      <c r="B75" s="348" t="s">
        <v>666</v>
      </c>
      <c r="C75" s="1294" t="s">
        <v>670</v>
      </c>
      <c r="D75" s="475">
        <v>11718388</v>
      </c>
      <c r="E75" s="475">
        <v>12038951.974400703</v>
      </c>
    </row>
    <row r="76" spans="1:6">
      <c r="A76" s="348" t="s">
        <v>65</v>
      </c>
      <c r="B76" s="348" t="s">
        <v>667</v>
      </c>
      <c r="C76" s="1294" t="s">
        <v>671</v>
      </c>
      <c r="D76" s="475">
        <v>4406.8</v>
      </c>
      <c r="E76" s="475">
        <v>4503.7724978743508</v>
      </c>
    </row>
    <row r="77" spans="1:6">
      <c r="A77" s="348" t="s">
        <v>66</v>
      </c>
      <c r="B77" s="348" t="s">
        <v>666</v>
      </c>
      <c r="C77" s="1294" t="s">
        <v>672</v>
      </c>
      <c r="D77" s="475">
        <v>38402308</v>
      </c>
      <c r="E77" s="475">
        <v>40290259.784739763</v>
      </c>
    </row>
    <row r="78" spans="1:6">
      <c r="A78" s="341" t="s">
        <v>66</v>
      </c>
      <c r="B78" s="341" t="s">
        <v>667</v>
      </c>
      <c r="C78" s="341" t="s">
        <v>673</v>
      </c>
      <c r="D78" s="1295">
        <v>4964314</v>
      </c>
      <c r="E78" s="1295">
        <v>5070742.5881827502</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254724.8457274524</v>
      </c>
      <c r="C83" s="475">
        <v>254724.8457274524</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24693.918130312511</v>
      </c>
    </row>
    <row r="91" spans="1:6">
      <c r="A91" s="348" t="s">
        <v>68</v>
      </c>
      <c r="B91" s="334">
        <v>2074.8336113311061</v>
      </c>
    </row>
    <row r="92" spans="1:6">
      <c r="A92" s="341" t="s">
        <v>69</v>
      </c>
      <c r="B92" s="342">
        <v>1103.2439953824544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21</v>
      </c>
      <c r="C123" s="334">
        <v>12</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74</v>
      </c>
    </row>
    <row r="130" spans="1:6">
      <c r="A130" s="348" t="s">
        <v>295</v>
      </c>
      <c r="B130" s="334">
        <v>0</v>
      </c>
    </row>
    <row r="131" spans="1:6">
      <c r="A131" s="348" t="s">
        <v>296</v>
      </c>
      <c r="B131" s="334">
        <v>2</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23651.663831595655</v>
      </c>
      <c r="C3" s="43" t="s">
        <v>170</v>
      </c>
      <c r="D3" s="43"/>
      <c r="E3" s="154"/>
      <c r="F3" s="43"/>
      <c r="G3" s="43"/>
      <c r="H3" s="43"/>
      <c r="I3" s="43"/>
      <c r="J3" s="43"/>
      <c r="K3" s="96"/>
    </row>
    <row r="4" spans="1:11">
      <c r="A4" s="383" t="s">
        <v>171</v>
      </c>
      <c r="B4" s="49">
        <f>IF(ISERROR('SEAP template'!B78+'SEAP template'!C78),0,'SEAP template'!B78+'SEAP template'!C78)</f>
        <v>27871.995737026071</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471.18200000000002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471.18200000000002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13041.312</v>
      </c>
      <c r="C5" s="17">
        <f>IF(ISERROR('Eigen informatie GS &amp; warmtenet'!B57),0,'Eigen informatie GS &amp; warmtenet'!B57)</f>
        <v>0</v>
      </c>
      <c r="D5" s="30">
        <f>(SUM(HH_hh_gas_kWh,HH_rest_gas_kWh)/1000)*0.902</f>
        <v>10697.806591999999</v>
      </c>
      <c r="E5" s="17">
        <f>B46*B57</f>
        <v>5456.9168377261376</v>
      </c>
      <c r="F5" s="17">
        <f>B51*B62</f>
        <v>47379.568814672115</v>
      </c>
      <c r="G5" s="18"/>
      <c r="H5" s="17"/>
      <c r="I5" s="17"/>
      <c r="J5" s="17">
        <f>B50*B61+C50*C61</f>
        <v>1132.9376324257512</v>
      </c>
      <c r="K5" s="17"/>
      <c r="L5" s="17"/>
      <c r="M5" s="17"/>
      <c r="N5" s="17">
        <f>B48*B59+C48*C59</f>
        <v>8204.8255196360278</v>
      </c>
      <c r="O5" s="17">
        <f>B69*B70*B71</f>
        <v>134.44666666666666</v>
      </c>
      <c r="P5" s="17">
        <f>B77*B78*B79/1000-B77*B78*B79/1000/B80</f>
        <v>724.5333333333333</v>
      </c>
    </row>
    <row r="6" spans="1:16">
      <c r="A6" s="16" t="s">
        <v>624</v>
      </c>
      <c r="B6" s="788">
        <f>kWh_PV_kleiner_dan_10kW</f>
        <v>2074.8336113311061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15116.145611331107</v>
      </c>
      <c r="C8" s="21">
        <f>C5</f>
        <v>0</v>
      </c>
      <c r="D8" s="21">
        <f>D5</f>
        <v>10697.806591999999</v>
      </c>
      <c r="E8" s="21">
        <f>E5</f>
        <v>5456.9168377261376</v>
      </c>
      <c r="F8" s="21">
        <f>F5</f>
        <v>47379.568814672115</v>
      </c>
      <c r="G8" s="21"/>
      <c r="H8" s="21"/>
      <c r="I8" s="21"/>
      <c r="J8" s="21">
        <f>J5</f>
        <v>1132.9376324257512</v>
      </c>
      <c r="K8" s="21"/>
      <c r="L8" s="21">
        <f>L5</f>
        <v>0</v>
      </c>
      <c r="M8" s="21">
        <f>M5</f>
        <v>0</v>
      </c>
      <c r="N8" s="21">
        <f>N5</f>
        <v>8204.8255196360278</v>
      </c>
      <c r="O8" s="21">
        <f>O5</f>
        <v>134.44666666666666</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0</v>
      </c>
      <c r="C12" s="23">
        <f ca="1">C10*C8</f>
        <v>0</v>
      </c>
      <c r="D12" s="23">
        <f>D8*D10</f>
        <v>2160.9569315839999</v>
      </c>
      <c r="E12" s="23">
        <f>E10*E8</f>
        <v>1238.7201221638334</v>
      </c>
      <c r="F12" s="23">
        <f>F10*F8</f>
        <v>12650.344873517455</v>
      </c>
      <c r="G12" s="23"/>
      <c r="H12" s="23"/>
      <c r="I12" s="23"/>
      <c r="J12" s="23">
        <f>J10*J8</f>
        <v>401.0599218787159</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698</v>
      </c>
      <c r="B28" s="37">
        <f>aantalHuishoudens2011</f>
        <v>3369</v>
      </c>
      <c r="C28" s="36"/>
      <c r="D28" s="228"/>
    </row>
    <row r="29" spans="1:7" s="15" customFormat="1">
      <c r="A29" s="230" t="s">
        <v>699</v>
      </c>
      <c r="B29" s="37">
        <f>SUM(HH_hh_gas_aantal,HH_rest_gas_aantal)</f>
        <v>720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720</v>
      </c>
      <c r="C32" s="167">
        <f>IF(ISERROR(B32/SUM($B$32,$B$34,$B$35,$B$36,$B$38,$B$39)*100),0,B32/SUM($B$32,$B$34,$B$35,$B$36,$B$38,$B$39)*100)</f>
        <v>21.61513059141399</v>
      </c>
      <c r="D32" s="233"/>
      <c r="G32" s="15"/>
    </row>
    <row r="33" spans="1:7">
      <c r="A33" s="171" t="s">
        <v>72</v>
      </c>
      <c r="B33" s="34" t="s">
        <v>111</v>
      </c>
      <c r="C33" s="167"/>
      <c r="D33" s="233"/>
      <c r="G33" s="15"/>
    </row>
    <row r="34" spans="1:7">
      <c r="A34" s="171" t="s">
        <v>73</v>
      </c>
      <c r="B34" s="33">
        <f>IF((($B$28-$B$32-$B$39-$B$77-$B$38)*C20/100)&lt;0,0,($B$28-$B$32-$B$39-$B$77-$B$38)*C20/100)</f>
        <v>241.26553672316379</v>
      </c>
      <c r="C34" s="167">
        <f>IF(ISERROR(B34/SUM($B$32,$B$34,$B$35,$B$36,$B$38,$B$39)*100),0,B34/SUM($B$32,$B$34,$B$35,$B$36,$B$38,$B$39)*100)</f>
        <v>7.2430362270538522</v>
      </c>
      <c r="D34" s="233"/>
      <c r="G34" s="15"/>
    </row>
    <row r="35" spans="1:7">
      <c r="A35" s="171" t="s">
        <v>74</v>
      </c>
      <c r="B35" s="33">
        <f>IF((($B$28-$B$32-$B$39-$B$77-$B$38)*C21/100)&lt;0,0,($B$28-$B$32-$B$39-$B$77-$B$38)*C21/100)</f>
        <v>259.00564971751407</v>
      </c>
      <c r="C35" s="167">
        <f>IF(ISERROR(B35/SUM($B$32,$B$34,$B$35,$B$36,$B$38,$B$39)*100),0,B35/SUM($B$32,$B$34,$B$35,$B$36,$B$38,$B$39)*100)</f>
        <v>7.7756124202195753</v>
      </c>
      <c r="D35" s="233"/>
      <c r="G35" s="15"/>
    </row>
    <row r="36" spans="1:7">
      <c r="A36" s="171" t="s">
        <v>75</v>
      </c>
      <c r="B36" s="33">
        <f>IF((($B$28-$B$32-$B$39-$B$77-$B$38)*C22/100)&lt;0,0,($B$28-$B$32-$B$39-$B$77-$B$38)*C22/100)</f>
        <v>127.72881355932202</v>
      </c>
      <c r="C36" s="167">
        <f>IF(ISERROR(B36/SUM($B$32,$B$34,$B$35,$B$36,$B$38,$B$39)*100),0,B36/SUM($B$32,$B$34,$B$35,$B$36,$B$38,$B$39)*100)</f>
        <v>3.834548590793216</v>
      </c>
      <c r="D36" s="233"/>
      <c r="G36" s="15"/>
    </row>
    <row r="37" spans="1:7">
      <c r="A37" s="171" t="s">
        <v>76</v>
      </c>
      <c r="B37" s="34" t="s">
        <v>111</v>
      </c>
      <c r="C37" s="167"/>
      <c r="D37" s="173"/>
      <c r="G37" s="15"/>
    </row>
    <row r="38" spans="1:7">
      <c r="A38" s="171" t="s">
        <v>77</v>
      </c>
      <c r="B38" s="33">
        <f>IF((B24-(B29-B18)*0.1)&lt;0,0,B24-(B29-B18)*0.1)</f>
        <v>36.599999999999994</v>
      </c>
      <c r="C38" s="167">
        <f>IF(ISERROR(B38/SUM($B$32,$B$34,$B$35,$B$36,$B$38,$B$39)*100),0,B38/SUM($B$32,$B$34,$B$35,$B$36,$B$38,$B$39)*100)</f>
        <v>1.0987691383968776</v>
      </c>
      <c r="D38" s="234"/>
      <c r="G38" s="15"/>
    </row>
    <row r="39" spans="1:7">
      <c r="A39" s="171" t="s">
        <v>78</v>
      </c>
      <c r="B39" s="33">
        <f>IF((B25-(B29-B18))&lt;0,0,B25-(B29-B18)*0.9)</f>
        <v>1946.4</v>
      </c>
      <c r="C39" s="167">
        <f>IF(ISERROR(B39/SUM($B$32,$B$34,$B$35,$B$36,$B$38,$B$39)*100),0,B39/SUM($B$32,$B$34,$B$35,$B$36,$B$38,$B$39)*100)</f>
        <v>58.432903032122482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720</v>
      </c>
      <c r="C44" s="34" t="s">
        <v>111</v>
      </c>
      <c r="D44" s="174"/>
    </row>
    <row r="45" spans="1:7">
      <c r="A45" s="171" t="s">
        <v>72</v>
      </c>
      <c r="B45" s="33" t="str">
        <f t="shared" si="0"/>
        <v>-</v>
      </c>
      <c r="C45" s="34" t="s">
        <v>111</v>
      </c>
      <c r="D45" s="174"/>
    </row>
    <row r="46" spans="1:7">
      <c r="A46" s="171" t="s">
        <v>73</v>
      </c>
      <c r="B46" s="33">
        <f t="shared" si="0"/>
        <v>241.26553672316379</v>
      </c>
      <c r="C46" s="34" t="s">
        <v>111</v>
      </c>
      <c r="D46" s="174"/>
    </row>
    <row r="47" spans="1:7">
      <c r="A47" s="171" t="s">
        <v>74</v>
      </c>
      <c r="B47" s="33">
        <f t="shared" si="0"/>
        <v>259.00564971751407</v>
      </c>
      <c r="C47" s="34" t="s">
        <v>111</v>
      </c>
      <c r="D47" s="174"/>
    </row>
    <row r="48" spans="1:7">
      <c r="A48" s="171" t="s">
        <v>75</v>
      </c>
      <c r="B48" s="33">
        <f t="shared" si="0"/>
        <v>127.72881355932202</v>
      </c>
      <c r="C48" s="33">
        <f>B48*10</f>
        <v>1277.2881355932202</v>
      </c>
      <c r="D48" s="234"/>
    </row>
    <row r="49" spans="1:6">
      <c r="A49" s="171" t="s">
        <v>76</v>
      </c>
      <c r="B49" s="33" t="str">
        <f t="shared" si="0"/>
        <v>-</v>
      </c>
      <c r="C49" s="34" t="s">
        <v>111</v>
      </c>
      <c r="D49" s="234"/>
    </row>
    <row r="50" spans="1:6">
      <c r="A50" s="171" t="s">
        <v>77</v>
      </c>
      <c r="B50" s="33">
        <f t="shared" si="0"/>
        <v>36.599999999999994</v>
      </c>
      <c r="C50" s="33">
        <f>B50*2</f>
        <v>73.199999999999989</v>
      </c>
      <c r="D50" s="234"/>
    </row>
    <row r="51" spans="1:6">
      <c r="A51" s="171" t="s">
        <v>78</v>
      </c>
      <c r="B51" s="33">
        <f t="shared" si="0"/>
        <v>1946.4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5517.5640000000003</v>
      </c>
      <c r="C5" s="17">
        <f>IF(ISERROR('Eigen informatie GS &amp; warmtenet'!B58),0,'Eigen informatie GS &amp; warmtenet'!B58)</f>
        <v>0</v>
      </c>
      <c r="D5" s="30">
        <f>SUM(D6:D12)</f>
        <v>2965.9401640000006</v>
      </c>
      <c r="E5" s="17">
        <f>SUM(E6:E12)</f>
        <v>92.900901572098689</v>
      </c>
      <c r="F5" s="17">
        <f>SUM(F6:F12)</f>
        <v>1343.8586986174539</v>
      </c>
      <c r="G5" s="18"/>
      <c r="H5" s="17"/>
      <c r="I5" s="17"/>
      <c r="J5" s="17">
        <f>SUM(J6:J12)</f>
        <v>0</v>
      </c>
      <c r="K5" s="17"/>
      <c r="L5" s="17"/>
      <c r="M5" s="17"/>
      <c r="N5" s="17">
        <f>SUM(N6:N12)</f>
        <v>1254.4136607845815</v>
      </c>
      <c r="O5" s="17">
        <f>B38*B39*B40</f>
        <v>0</v>
      </c>
      <c r="P5" s="17">
        <f>B46*B47*B48/1000-B46*B47*B48/1000/B49</f>
        <v>38.133333333333333</v>
      </c>
      <c r="R5" s="32"/>
    </row>
    <row r="6" spans="1:18">
      <c r="A6" s="32" t="s">
        <v>54</v>
      </c>
      <c r="B6" s="37">
        <f>B26</f>
        <v>1128.943</v>
      </c>
      <c r="C6" s="33"/>
      <c r="D6" s="37">
        <f>IF(ISERROR(TER_kantoor_gas_kWh/1000),0,TER_kantoor_gas_kWh/1000)*0.902</f>
        <v>673.27535</v>
      </c>
      <c r="E6" s="33">
        <f>$C$26*'E Balans VL '!I12/100/3.6*1000000</f>
        <v>14.779254526125268</v>
      </c>
      <c r="F6" s="33">
        <f>$C$26*('E Balans VL '!L12+'E Balans VL '!N12)/100/3.6*1000000</f>
        <v>287.86879893882258</v>
      </c>
      <c r="G6" s="34"/>
      <c r="H6" s="33"/>
      <c r="I6" s="33"/>
      <c r="J6" s="33">
        <f>$C$26*('E Balans VL '!D12+'E Balans VL '!E12)/100/3.6*1000000</f>
        <v>0</v>
      </c>
      <c r="K6" s="33"/>
      <c r="L6" s="33"/>
      <c r="M6" s="33"/>
      <c r="N6" s="33">
        <f>$C$26*'E Balans VL '!Y12/100/3.6*1000000</f>
        <v>1.1327446550831415</v>
      </c>
      <c r="O6" s="33"/>
      <c r="P6" s="33"/>
      <c r="R6" s="32"/>
    </row>
    <row r="7" spans="1:18">
      <c r="A7" s="32" t="s">
        <v>53</v>
      </c>
      <c r="B7" s="37">
        <f t="shared" ref="B7:B12" si="0">B27</f>
        <v>531.49199999999996</v>
      </c>
      <c r="C7" s="33"/>
      <c r="D7" s="37">
        <f>IF(ISERROR(TER_horeca_gas_kWh/1000),0,TER_horeca_gas_kWh/1000)*0.902</f>
        <v>116.87214</v>
      </c>
      <c r="E7" s="33">
        <f>$C$27*'E Balans VL '!I9/100/3.6*1000000</f>
        <v>17.589152242616592</v>
      </c>
      <c r="F7" s="33">
        <f>$C$27*('E Balans VL '!L9+'E Balans VL '!N9)/100/3.6*1000000</f>
        <v>228.53952307592689</v>
      </c>
      <c r="G7" s="34"/>
      <c r="H7" s="33"/>
      <c r="I7" s="33"/>
      <c r="J7" s="33">
        <f>$C$27*('E Balans VL '!D9+'E Balans VL '!E9)/100/3.6*1000000</f>
        <v>0</v>
      </c>
      <c r="K7" s="33"/>
      <c r="L7" s="33"/>
      <c r="M7" s="33"/>
      <c r="N7" s="33">
        <f>$C$27*'E Balans VL '!Y9/100/3.6*1000000</f>
        <v>0.12793784251083226</v>
      </c>
      <c r="O7" s="33"/>
      <c r="P7" s="33"/>
      <c r="R7" s="32"/>
    </row>
    <row r="8" spans="1:18">
      <c r="A8" s="6" t="s">
        <v>52</v>
      </c>
      <c r="B8" s="37">
        <f t="shared" si="0"/>
        <v>1835.317</v>
      </c>
      <c r="C8" s="33"/>
      <c r="D8" s="37">
        <f>IF(ISERROR(TER_handel_gas_kWh/1000),0,TER_handel_gas_kWh/1000)*0.902</f>
        <v>1998.3512340000002</v>
      </c>
      <c r="E8" s="33">
        <f>$C$28*'E Balans VL '!I13/100/3.6*1000000</f>
        <v>57.925408800902126</v>
      </c>
      <c r="F8" s="33">
        <f>$C$28*('E Balans VL '!L13+'E Balans VL '!N13)/100/3.6*1000000</f>
        <v>359.93798162589519</v>
      </c>
      <c r="G8" s="34"/>
      <c r="H8" s="33"/>
      <c r="I8" s="33"/>
      <c r="J8" s="33">
        <f>$C$28*('E Balans VL '!D13+'E Balans VL '!E13)/100/3.6*1000000</f>
        <v>0</v>
      </c>
      <c r="K8" s="33"/>
      <c r="L8" s="33"/>
      <c r="M8" s="33"/>
      <c r="N8" s="33">
        <f>$C$28*'E Balans VL '!Y13/100/3.6*1000000</f>
        <v>2.1781649565788297</v>
      </c>
      <c r="O8" s="33"/>
      <c r="P8" s="33"/>
      <c r="R8" s="32"/>
    </row>
    <row r="9" spans="1:18">
      <c r="A9" s="32" t="s">
        <v>51</v>
      </c>
      <c r="B9" s="37">
        <f t="shared" si="0"/>
        <v>334.572</v>
      </c>
      <c r="C9" s="33"/>
      <c r="D9" s="37">
        <f>IF(ISERROR(TER_gezond_gas_kWh/1000),0,TER_gezond_gas_kWh/1000)*0.902</f>
        <v>57.935460000000006</v>
      </c>
      <c r="E9" s="33">
        <f>$C$29*'E Balans VL '!I10/100/3.6*1000000</f>
        <v>4.2835003686689577E-2</v>
      </c>
      <c r="F9" s="33">
        <f>$C$29*('E Balans VL '!L10+'E Balans VL '!N10)/100/3.6*1000000</f>
        <v>69.705370797653259</v>
      </c>
      <c r="G9" s="34"/>
      <c r="H9" s="33"/>
      <c r="I9" s="33"/>
      <c r="J9" s="33">
        <f>$C$29*('E Balans VL '!D10+'E Balans VL '!E10)/100/3.6*1000000</f>
        <v>0</v>
      </c>
      <c r="K9" s="33"/>
      <c r="L9" s="33"/>
      <c r="M9" s="33"/>
      <c r="N9" s="33">
        <f>$C$29*'E Balans VL '!Y10/100/3.6*1000000</f>
        <v>3.9297062795171409</v>
      </c>
      <c r="O9" s="33"/>
      <c r="P9" s="33"/>
      <c r="R9" s="32"/>
    </row>
    <row r="10" spans="1:18">
      <c r="A10" s="32" t="s">
        <v>50</v>
      </c>
      <c r="B10" s="37">
        <f t="shared" si="0"/>
        <v>1582.1610000000001</v>
      </c>
      <c r="C10" s="33"/>
      <c r="D10" s="37">
        <f>IF(ISERROR(TER_ander_gas_kWh/1000),0,TER_ander_gas_kWh/1000)*0.902</f>
        <v>93.642032</v>
      </c>
      <c r="E10" s="33">
        <f>$C$30*'E Balans VL '!I14/100/3.6*1000000</f>
        <v>2.3791980741782504</v>
      </c>
      <c r="F10" s="33">
        <f>$C$30*('E Balans VL '!L14+'E Balans VL '!N14)/100/3.6*1000000</f>
        <v>349.29014847779575</v>
      </c>
      <c r="G10" s="34"/>
      <c r="H10" s="33"/>
      <c r="I10" s="33"/>
      <c r="J10" s="33">
        <f>$C$30*('E Balans VL '!D14+'E Balans VL '!E14)/100/3.6*1000000</f>
        <v>0</v>
      </c>
      <c r="K10" s="33"/>
      <c r="L10" s="33"/>
      <c r="M10" s="33"/>
      <c r="N10" s="33">
        <f>$C$30*'E Balans VL '!Y14/100/3.6*1000000</f>
        <v>1246.8493434207774</v>
      </c>
      <c r="O10" s="33"/>
      <c r="P10" s="33"/>
      <c r="R10" s="32"/>
    </row>
    <row r="11" spans="1:18">
      <c r="A11" s="32" t="s">
        <v>55</v>
      </c>
      <c r="B11" s="37">
        <f t="shared" si="0"/>
        <v>105.07899999999999</v>
      </c>
      <c r="C11" s="33"/>
      <c r="D11" s="37">
        <f>IF(ISERROR(TER_onderwijs_gas_kWh/1000),0,TER_onderwijs_gas_kWh/1000)*0.902</f>
        <v>0</v>
      </c>
      <c r="E11" s="33">
        <f>$C$31*'E Balans VL '!I11/100/3.6*1000000</f>
        <v>0.18505292458976225</v>
      </c>
      <c r="F11" s="33">
        <f>$C$31*('E Balans VL '!L11+'E Balans VL '!N11)/100/3.6*1000000</f>
        <v>48.516875701360213</v>
      </c>
      <c r="G11" s="34"/>
      <c r="H11" s="33"/>
      <c r="I11" s="33"/>
      <c r="J11" s="33">
        <f>$C$31*('E Balans VL '!D11+'E Balans VL '!E11)/100/3.6*1000000</f>
        <v>0</v>
      </c>
      <c r="K11" s="33"/>
      <c r="L11" s="33"/>
      <c r="M11" s="33"/>
      <c r="N11" s="33">
        <f>$C$31*'E Balans VL '!Y11/100/3.6*1000000</f>
        <v>0.19576363011423817</v>
      </c>
      <c r="O11" s="33"/>
      <c r="P11" s="33"/>
      <c r="R11" s="32"/>
    </row>
    <row r="12" spans="1:18">
      <c r="A12" s="32" t="s">
        <v>260</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5517.5640000000003</v>
      </c>
      <c r="C16" s="21">
        <f t="shared" ca="1" si="1"/>
        <v>0</v>
      </c>
      <c r="D16" s="21">
        <f t="shared" ca="1" si="1"/>
        <v>2965.9401640000006</v>
      </c>
      <c r="E16" s="21">
        <f t="shared" si="1"/>
        <v>92.900901572098689</v>
      </c>
      <c r="F16" s="21">
        <f t="shared" ca="1" si="1"/>
        <v>1343.8586986174539</v>
      </c>
      <c r="G16" s="21">
        <f t="shared" si="1"/>
        <v>0</v>
      </c>
      <c r="H16" s="21">
        <f t="shared" si="1"/>
        <v>0</v>
      </c>
      <c r="I16" s="21">
        <f t="shared" si="1"/>
        <v>0</v>
      </c>
      <c r="J16" s="21">
        <f t="shared" si="1"/>
        <v>0</v>
      </c>
      <c r="K16" s="21">
        <f t="shared" si="1"/>
        <v>0</v>
      </c>
      <c r="L16" s="21">
        <f t="shared" ca="1" si="1"/>
        <v>0</v>
      </c>
      <c r="M16" s="21">
        <f t="shared" si="1"/>
        <v>0</v>
      </c>
      <c r="N16" s="21">
        <f t="shared" ca="1" si="1"/>
        <v>1254.4136607845815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599.11991312800012</v>
      </c>
      <c r="E20" s="23">
        <f t="shared" si="2"/>
        <v>21.088504656866402</v>
      </c>
      <c r="F20" s="23">
        <f t="shared" ca="1" si="2"/>
        <v>358.81027253086023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1128.943</v>
      </c>
      <c r="C26" s="39">
        <f>IF(ISERROR(B26*3.6/1000000/'E Balans VL '!Z12*100),0,B26*3.6/1000000/'E Balans VL '!Z12*100)</f>
        <v>2.4182836101665113E-2</v>
      </c>
      <c r="D26" s="237" t="s">
        <v>660</v>
      </c>
      <c r="F26" s="6"/>
    </row>
    <row r="27" spans="1:18">
      <c r="A27" s="231" t="s">
        <v>53</v>
      </c>
      <c r="B27" s="33">
        <f>IF(ISERROR(TER_horeca_ele_kWh/1000),0,TER_horeca_ele_kWh/1000)</f>
        <v>531.49199999999996</v>
      </c>
      <c r="C27" s="39">
        <f>IF(ISERROR(B27*3.6/1000000/'E Balans VL '!Z9*100),0,B27*3.6/1000000/'E Balans VL '!Z9*100)</f>
        <v>4.265038555266519E-2</v>
      </c>
      <c r="D27" s="237" t="s">
        <v>660</v>
      </c>
      <c r="F27" s="6"/>
    </row>
    <row r="28" spans="1:18">
      <c r="A28" s="171" t="s">
        <v>52</v>
      </c>
      <c r="B28" s="33">
        <f>IF(ISERROR(TER_handel_ele_kWh/1000),0,TER_handel_ele_kWh/1000)</f>
        <v>1835.317</v>
      </c>
      <c r="C28" s="39">
        <f>IF(ISERROR(B28*3.6/1000000/'E Balans VL '!Z13*100),0,B28*3.6/1000000/'E Balans VL '!Z13*100)</f>
        <v>5.4131324541574259E-2</v>
      </c>
      <c r="D28" s="237" t="s">
        <v>660</v>
      </c>
      <c r="F28" s="6"/>
    </row>
    <row r="29" spans="1:18">
      <c r="A29" s="231" t="s">
        <v>51</v>
      </c>
      <c r="B29" s="33">
        <f>IF(ISERROR(TER_gezond_ele_kWh/1000),0,TER_gezond_ele_kWh/1000)</f>
        <v>334.572</v>
      </c>
      <c r="C29" s="39">
        <f>IF(ISERROR(B29*3.6/1000000/'E Balans VL '!Z10*100),0,B29*3.6/1000000/'E Balans VL '!Z10*100)</f>
        <v>3.5723319388299826E-2</v>
      </c>
      <c r="D29" s="237" t="s">
        <v>660</v>
      </c>
      <c r="F29" s="6"/>
    </row>
    <row r="30" spans="1:18">
      <c r="A30" s="231" t="s">
        <v>50</v>
      </c>
      <c r="B30" s="33">
        <f>IF(ISERROR(TER_ander_ele_kWh/1000),0,TER_ander_ele_kWh/1000)</f>
        <v>1582.1610000000001</v>
      </c>
      <c r="C30" s="39">
        <f>IF(ISERROR(B30*3.6/1000000/'E Balans VL '!Z14*100),0,B30*3.6/1000000/'E Balans VL '!Z14*100)</f>
        <v>0.11950683322563949</v>
      </c>
      <c r="D30" s="237" t="s">
        <v>660</v>
      </c>
      <c r="F30" s="6"/>
    </row>
    <row r="31" spans="1:18">
      <c r="A31" s="231" t="s">
        <v>55</v>
      </c>
      <c r="B31" s="33">
        <f>IF(ISERROR(TER_onderwijs_ele_kWh/1000),0,TER_onderwijs_ele_kWh/1000)</f>
        <v>105.07899999999999</v>
      </c>
      <c r="C31" s="39">
        <f>IF(ISERROR(B31*3.6/1000000/'E Balans VL '!Z11*100),0,B31*3.6/1000000/'E Balans VL '!Z11*100)</f>
        <v>2.1218957908012943E-2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1116.0429999999999</v>
      </c>
      <c r="C5" s="17">
        <f>IF(ISERROR('Eigen informatie GS &amp; warmtenet'!B59),0,'Eigen informatie GS &amp; warmtenet'!B59)</f>
        <v>0</v>
      </c>
      <c r="D5" s="30">
        <f>SUM(D6:D15)</f>
        <v>125.40055</v>
      </c>
      <c r="E5" s="17">
        <f>SUM(E6:E15)</f>
        <v>243.41483238113713</v>
      </c>
      <c r="F5" s="17">
        <f>SUM(F6:F15)</f>
        <v>849.13090166173663</v>
      </c>
      <c r="G5" s="18"/>
      <c r="H5" s="17"/>
      <c r="I5" s="17"/>
      <c r="J5" s="17">
        <f>SUM(J6:J15)</f>
        <v>0.12745196357812175</v>
      </c>
      <c r="K5" s="17"/>
      <c r="L5" s="17"/>
      <c r="M5" s="17"/>
      <c r="N5" s="17">
        <f>SUM(N6:N15)</f>
        <v>348.82795109084623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23.768000000000001</v>
      </c>
      <c r="C8" s="33"/>
      <c r="D8" s="37">
        <f>IF( ISERROR(IND_metaal_Gas_kWH/1000),0,IND_metaal_Gas_kWH/1000)*0.902</f>
        <v>0</v>
      </c>
      <c r="E8" s="33">
        <f>C30*'E Balans VL '!I18/100/3.6*1000000</f>
        <v>0.85524454307416609</v>
      </c>
      <c r="F8" s="33">
        <f>C30*'E Balans VL '!L18/100/3.6*1000000+C30*'E Balans VL '!N18/100/3.6*1000000</f>
        <v>10.378715124335377</v>
      </c>
      <c r="G8" s="34"/>
      <c r="H8" s="33"/>
      <c r="I8" s="33"/>
      <c r="J8" s="40">
        <f>C30*'E Balans VL '!D18/100/3.6*1000000+C30*'E Balans VL '!E18/100/3.6*1000000</f>
        <v>0</v>
      </c>
      <c r="K8" s="33"/>
      <c r="L8" s="33"/>
      <c r="M8" s="33"/>
      <c r="N8" s="33">
        <f>C30*'E Balans VL '!Y18/100/3.6*1000000</f>
        <v>1.1912360079325335</v>
      </c>
      <c r="O8" s="33"/>
      <c r="P8" s="33"/>
      <c r="R8" s="32"/>
    </row>
    <row r="9" spans="1:18">
      <c r="A9" s="6" t="s">
        <v>33</v>
      </c>
      <c r="B9" s="37">
        <f t="shared" si="0"/>
        <v>933.19799999999998</v>
      </c>
      <c r="C9" s="33"/>
      <c r="D9" s="37">
        <f>IF( ISERROR(IND_andere_gas_kWh/1000),0,IND_andere_gas_kWh/1000)*0.902</f>
        <v>92.865409999999997</v>
      </c>
      <c r="E9" s="33">
        <f>C31*'E Balans VL '!I19/100/3.6*1000000</f>
        <v>238.13101540386336</v>
      </c>
      <c r="F9" s="33">
        <f>C31*'E Balans VL '!L19/100/3.6*1000000+C31*'E Balans VL '!N19/100/3.6*1000000</f>
        <v>803.4133361114375</v>
      </c>
      <c r="G9" s="34"/>
      <c r="H9" s="33"/>
      <c r="I9" s="33"/>
      <c r="J9" s="40">
        <f>C31*'E Balans VL '!D19/100/3.6*1000000+C31*'E Balans VL '!E19/100/3.6*1000000</f>
        <v>0</v>
      </c>
      <c r="K9" s="33"/>
      <c r="L9" s="33"/>
      <c r="M9" s="33"/>
      <c r="N9" s="33">
        <f>C31*'E Balans VL '!Y19/100/3.6*1000000</f>
        <v>291.84297329377307</v>
      </c>
      <c r="O9" s="33"/>
      <c r="P9" s="33"/>
      <c r="R9" s="32"/>
    </row>
    <row r="10" spans="1:18">
      <c r="A10" s="6" t="s">
        <v>41</v>
      </c>
      <c r="B10" s="37">
        <f t="shared" si="0"/>
        <v>140.315</v>
      </c>
      <c r="C10" s="33"/>
      <c r="D10" s="37">
        <f>IF( ISERROR(IND_voed_gas_kWh/1000),0,IND_voed_gas_kWh/1000)*0.902</f>
        <v>0</v>
      </c>
      <c r="E10" s="33">
        <f>C32*'E Balans VL '!I20/100/3.6*1000000</f>
        <v>3.5669999682838394</v>
      </c>
      <c r="F10" s="33">
        <f>C32*'E Balans VL '!L20/100/3.6*1000000+C32*'E Balans VL '!N20/100/3.6*1000000</f>
        <v>31.75117819020172</v>
      </c>
      <c r="G10" s="34"/>
      <c r="H10" s="33"/>
      <c r="I10" s="33"/>
      <c r="J10" s="40">
        <f>C32*'E Balans VL '!D20/100/3.6*1000000+C32*'E Balans VL '!E20/100/3.6*1000000</f>
        <v>0</v>
      </c>
      <c r="K10" s="33"/>
      <c r="L10" s="33"/>
      <c r="M10" s="33"/>
      <c r="N10" s="33">
        <f>C32*'E Balans VL '!Y20/100/3.6*1000000</f>
        <v>52.621928387676142</v>
      </c>
      <c r="O10" s="33"/>
      <c r="P10" s="33"/>
      <c r="R10" s="32"/>
    </row>
    <row r="11" spans="1:18">
      <c r="A11" s="6" t="s">
        <v>40</v>
      </c>
      <c r="B11" s="37">
        <f t="shared" si="0"/>
        <v>3.0409999999999999</v>
      </c>
      <c r="C11" s="33"/>
      <c r="D11" s="37">
        <f>IF( ISERROR(IND_textiel_gas_kWh/1000),0,IND_textiel_gas_kWh/1000)*0.902</f>
        <v>0</v>
      </c>
      <c r="E11" s="33">
        <f>C33*'E Balans VL '!I21/100/3.6*1000000</f>
        <v>8.3483627943874133E-3</v>
      </c>
      <c r="F11" s="33">
        <f>C33*'E Balans VL '!L21/100/3.6*1000000+C33*'E Balans VL '!N21/100/3.6*1000000</f>
        <v>0.16122114651997208</v>
      </c>
      <c r="G11" s="34"/>
      <c r="H11" s="33"/>
      <c r="I11" s="33"/>
      <c r="J11" s="40">
        <f>C33*'E Balans VL '!D21/100/3.6*1000000+C33*'E Balans VL '!E21/100/3.6*1000000</f>
        <v>0</v>
      </c>
      <c r="K11" s="33"/>
      <c r="L11" s="33"/>
      <c r="M11" s="33"/>
      <c r="N11" s="33">
        <f>C33*'E Balans VL '!Y21/100/3.6*1000000</f>
        <v>6.1119067673943723E-3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15.721</v>
      </c>
      <c r="C15" s="33"/>
      <c r="D15" s="37">
        <f>IF( ISERROR(IND_rest_gas_kWh/1000),0,IND_rest_gas_kWh/1000)*0.902</f>
        <v>32.535139999999998</v>
      </c>
      <c r="E15" s="33">
        <f>C37*'E Balans VL '!I15/100/3.6*1000000</f>
        <v>0.85322410312137487</v>
      </c>
      <c r="F15" s="33">
        <f>C37*'E Balans VL '!L15/100/3.6*1000000+C37*'E Balans VL '!N15/100/3.6*1000000</f>
        <v>3.4264510892420676</v>
      </c>
      <c r="G15" s="34"/>
      <c r="H15" s="33"/>
      <c r="I15" s="33"/>
      <c r="J15" s="40">
        <f>C37*'E Balans VL '!D15/100/3.6*1000000+C37*'E Balans VL '!E15/100/3.6*1000000</f>
        <v>0.12745196357812175</v>
      </c>
      <c r="K15" s="33"/>
      <c r="L15" s="33"/>
      <c r="M15" s="33"/>
      <c r="N15" s="33">
        <f>C37*'E Balans VL '!Y15/100/3.6*1000000</f>
        <v>3.165701494697112</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1116.0429999999999</v>
      </c>
      <c r="C18" s="21">
        <f>C5+C16</f>
        <v>0</v>
      </c>
      <c r="D18" s="21">
        <f>MAX((D5+D16),0)</f>
        <v>125.40055</v>
      </c>
      <c r="E18" s="21">
        <f>MAX((E5+E16),0)</f>
        <v>243.41483238113713</v>
      </c>
      <c r="F18" s="21">
        <f>MAX((F5+F16),0)</f>
        <v>849.13090166173663</v>
      </c>
      <c r="G18" s="21"/>
      <c r="H18" s="21"/>
      <c r="I18" s="21"/>
      <c r="J18" s="21">
        <f>MAX((J5+J16),0)</f>
        <v>0.12745196357812175</v>
      </c>
      <c r="K18" s="21"/>
      <c r="L18" s="21">
        <f>MAX((L5+L16),0)</f>
        <v>0</v>
      </c>
      <c r="M18" s="21"/>
      <c r="N18" s="21">
        <f>MAX((N5+N16),0)</f>
        <v>348.82795109084623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25.330911100000002</v>
      </c>
      <c r="E22" s="23">
        <f>E18*E20</f>
        <v>55.255166950518131</v>
      </c>
      <c r="F22" s="23">
        <f>F18*F20</f>
        <v>226.7179507436837</v>
      </c>
      <c r="G22" s="23"/>
      <c r="H22" s="23"/>
      <c r="I22" s="23"/>
      <c r="J22" s="23">
        <f>J18*J20</f>
        <v>4.5117995106655095E-2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23.768000000000001</v>
      </c>
      <c r="C30" s="39">
        <f>IF(ISERROR(B30*3.6/1000000/'E Balans VL '!Z18*100),0,B30*3.6/1000000/'E Balans VL '!Z18*100)</f>
        <v>5.0359296275100602E-3</v>
      </c>
      <c r="D30" s="237" t="s">
        <v>660</v>
      </c>
    </row>
    <row r="31" spans="1:18">
      <c r="A31" s="6" t="s">
        <v>33</v>
      </c>
      <c r="B31" s="37">
        <f>IF( ISERROR(IND_ander_ele_kWh/1000),0,IND_ander_ele_kWh/1000)</f>
        <v>933.19799999999998</v>
      </c>
      <c r="C31" s="39">
        <f>IF(ISERROR(B31*3.6/1000000/'E Balans VL '!Z19*100),0,B31*3.6/1000000/'E Balans VL '!Z19*100)</f>
        <v>3.9280422800163771E-2</v>
      </c>
      <c r="D31" s="237" t="s">
        <v>660</v>
      </c>
    </row>
    <row r="32" spans="1:18">
      <c r="A32" s="171" t="s">
        <v>41</v>
      </c>
      <c r="B32" s="37">
        <f>IF( ISERROR(IND_voed_ele_kWh/1000),0,IND_voed_ele_kWh/1000)</f>
        <v>140.315</v>
      </c>
      <c r="C32" s="39">
        <f>IF(ISERROR(B32*3.6/1000000/'E Balans VL '!Z20*100),0,B32*3.6/1000000/'E Balans VL '!Z20*100)</f>
        <v>2.3441208305038243E-2</v>
      </c>
      <c r="D32" s="237" t="s">
        <v>660</v>
      </c>
    </row>
    <row r="33" spans="1:5">
      <c r="A33" s="171" t="s">
        <v>40</v>
      </c>
      <c r="B33" s="37">
        <f>IF( ISERROR(IND_textiel_ele_kWh/1000),0,IND_textiel_ele_kWh/1000)</f>
        <v>3.0409999999999999</v>
      </c>
      <c r="C33" s="39">
        <f>IF(ISERROR(B33*3.6/1000000/'E Balans VL '!Z21*100),0,B33*3.6/1000000/'E Balans VL '!Z21*100)</f>
        <v>1.7754268024384524E-4</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15.721</v>
      </c>
      <c r="C37" s="39">
        <f>IF(ISERROR(B37*3.6/1000000/'E Balans VL '!Z15*100),0,B37*3.6/1000000/'E Balans VL '!Z15*100)</f>
        <v>1.2692172045021067E-4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1255.7670000000001</v>
      </c>
      <c r="C5" s="17">
        <f>'Eigen informatie GS &amp; warmtenet'!B60</f>
        <v>0</v>
      </c>
      <c r="D5" s="30">
        <f>IF(ISERROR(SUM(LB_lb_gas_kWh,LB_rest_gas_kWh)/1000),0,SUM(LB_lb_gas_kWh,LB_rest_gas_kWh)/1000)*0.902</f>
        <v>106.647068</v>
      </c>
      <c r="E5" s="17">
        <f>B17*'E Balans VL '!I25/3.6*1000000/100</f>
        <v>32.381409342166705</v>
      </c>
      <c r="F5" s="17">
        <f>B17*('E Balans VL '!L25/3.6*1000000+'E Balans VL '!N25/3.6*1000000)/100</f>
        <v>4590.0675342079649</v>
      </c>
      <c r="G5" s="18"/>
      <c r="H5" s="17"/>
      <c r="I5" s="17"/>
      <c r="J5" s="17">
        <f>('E Balans VL '!D25+'E Balans VL '!E25)/3.6*1000000*landbouw!B17/100</f>
        <v>180.78425253000603</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1255.7670000000001</v>
      </c>
      <c r="C8" s="21">
        <f>C5+C6</f>
        <v>0</v>
      </c>
      <c r="D8" s="21">
        <f>MAX((D5+D6),0)</f>
        <v>106.647068</v>
      </c>
      <c r="E8" s="21">
        <f>MAX((E5+E6),0)</f>
        <v>32.381409342166705</v>
      </c>
      <c r="F8" s="21">
        <f>MAX((F5+F6),0)</f>
        <v>4590.0675342079649</v>
      </c>
      <c r="G8" s="21"/>
      <c r="H8" s="21"/>
      <c r="I8" s="21"/>
      <c r="J8" s="21">
        <f>MAX((J5+J6),0)</f>
        <v>180.78425253000603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v>
      </c>
      <c r="C12" s="23">
        <f ca="1">C8*C10</f>
        <v>0</v>
      </c>
      <c r="D12" s="23">
        <f>D8*D10</f>
        <v>21.542707736000001</v>
      </c>
      <c r="E12" s="23">
        <f>E8*E10</f>
        <v>7.3505799206718425</v>
      </c>
      <c r="F12" s="23">
        <f>F8*F10</f>
        <v>1225.5480316335268</v>
      </c>
      <c r="G12" s="23"/>
      <c r="H12" s="23"/>
      <c r="I12" s="23"/>
      <c r="J12" s="23">
        <f>J8*J10</f>
        <v>63.99762539562213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0.17707146501409421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27.319432338896089</v>
      </c>
      <c r="C26" s="247">
        <f>B26*'GWP N2O_CH4'!B5</f>
        <v>573.70807911681788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14.236158587131191</v>
      </c>
      <c r="C27" s="247">
        <f>B27*'GWP N2O_CH4'!B5</f>
        <v>298.95933032975501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0.47292212154963148</v>
      </c>
      <c r="C28" s="247">
        <f>B28*'GWP N2O_CH4'!B4</f>
        <v>146.60585768038575</v>
      </c>
      <c r="D28" s="50"/>
    </row>
    <row r="29" spans="1:4">
      <c r="A29" s="41" t="s">
        <v>277</v>
      </c>
      <c r="B29" s="247">
        <f>B34*'ha_N2O bodem landbouw'!B4</f>
        <v>30.001873370817073</v>
      </c>
      <c r="C29" s="247">
        <f>B29*'GWP N2O_CH4'!B4</f>
        <v>9300.5807449532931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6.7520518576586848E-3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7.2508392952366112E-5</v>
      </c>
      <c r="C5" s="463" t="s">
        <v>211</v>
      </c>
      <c r="D5" s="448">
        <f>SUM(D6:D11)</f>
        <v>1.6222846552010922E-4</v>
      </c>
      <c r="E5" s="448">
        <f>SUM(E6:E11)</f>
        <v>6.9339370143643611E-4</v>
      </c>
      <c r="F5" s="461" t="s">
        <v>211</v>
      </c>
      <c r="G5" s="448">
        <f>SUM(G6:G11)</f>
        <v>0.22136351777858518</v>
      </c>
      <c r="H5" s="448">
        <f>SUM(H6:H11)</f>
        <v>4.442089853242135E-2</v>
      </c>
      <c r="I5" s="463" t="s">
        <v>211</v>
      </c>
      <c r="J5" s="463" t="s">
        <v>211</v>
      </c>
      <c r="K5" s="463" t="s">
        <v>211</v>
      </c>
      <c r="L5" s="463" t="s">
        <v>211</v>
      </c>
      <c r="M5" s="448">
        <f>SUM(M6:M11)</f>
        <v>8.3050069671582998E-3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3.0226229289842025E-5</v>
      </c>
      <c r="C6" s="449"/>
      <c r="D6" s="892">
        <f>vkm_2011_GW_PW*SUMIFS(TableVerdeelsleutelVkm[CNG],TableVerdeelsleutelVkm[Voertuigtype],"Lichte voertuigen")*SUMIFS(TableECFTransport[EnergieConsumptieFactor (PJ per km)],TableECFTransport[Index],CONCATENATE($A6,"_CNG_CNG"))</f>
        <v>6.0060047057703096E-5</v>
      </c>
      <c r="E6" s="892">
        <f>vkm_2011_GW_PW*SUMIFS(TableVerdeelsleutelVkm[LPG],TableVerdeelsleutelVkm[Voertuigtype],"Lichte voertuigen")*SUMIFS(TableECFTransport[EnergieConsumptieFactor (PJ per km)],TableECFTransport[Index],CONCATENATE($A6,"_LPG_LPG"))</f>
        <v>2.3635781508495342E-4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5.6197778517663784E-2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1.6260061605089946E-2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2.2578532067728529E-3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2.1185650514660075E-2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6.8438700296833407E-6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6.67527432060147E-4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9.8857126660204059E-6</v>
      </c>
      <c r="C8" s="449"/>
      <c r="D8" s="451">
        <f>vkm_2011_NGW_PW*SUMIFS(TableVerdeelsleutelVkm[CNG],TableVerdeelsleutelVkm[Voertuigtype],"Lichte voertuigen")*SUMIFS(TableECFTransport[EnergieConsumptieFactor (PJ per km)],TableECFTransport[Index],CONCATENATE($A8,"_CNG_CNG"))</f>
        <v>3.4780736566069946E-5</v>
      </c>
      <c r="E8" s="451">
        <f>vkm_2011_NGW_PW*SUMIFS(TableVerdeelsleutelVkm[LPG],TableVerdeelsleutelVkm[Voertuigtype],"Lichte voertuigen")*SUMIFS(TableECFTransport[EnergieConsumptieFactor (PJ per km)],TableECFTransport[Index],CONCATENATE($A8,"_LPG_LPG"))</f>
        <v>1.2658488543835505E-4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2.8105402997998942E-2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9.1304526544343841E-3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1.1591376566550673E-3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5.3898437312470224E-5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1.6466429609487935E-8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1.6982289453741524E-6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3.2396450996503685E-5</v>
      </c>
      <c r="C10" s="449"/>
      <c r="D10" s="451">
        <f>vkm_2011_SW_PW*SUMIFS(TableVerdeelsleutelVkm[CNG],TableVerdeelsleutelVkm[Voertuigtype],"Lichte voertuigen")*SUMIFS(TableECFTransport[EnergieConsumptieFactor (PJ per km)],TableECFTransport[Index],CONCATENATE($A10,"_CNG_CNG"))</f>
        <v>6.738768189633616E-5</v>
      </c>
      <c r="E10" s="451">
        <f>vkm_2011_SW_PW*SUMIFS(TableVerdeelsleutelVkm[LPG],TableVerdeelsleutelVkm[Voertuigtype],"Lichte voertuigen")*SUMIFS(TableECFTransport[EnergieConsumptieFactor (PJ per km)],TableECFTransport[Index],CONCATENATE($A10,"_LPG_LPG"))</f>
        <v>3.3045100091312759E-4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7.0382269080438931E-2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1.9007708674395895E-2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2.7870581649764034E-3</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4.5438518230510962E-2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1.5815262041828801E-5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1.4317322777484553E-3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20.141220264546142</v>
      </c>
      <c r="C14" s="21"/>
      <c r="D14" s="21">
        <f t="shared" ref="D14:M14" si="0">((D5)*10^9/3600)+D12</f>
        <v>45.063462644474782</v>
      </c>
      <c r="E14" s="21">
        <f t="shared" si="0"/>
        <v>192.60936151012115</v>
      </c>
      <c r="F14" s="21"/>
      <c r="G14" s="21">
        <f t="shared" si="0"/>
        <v>61489.866049606993</v>
      </c>
      <c r="H14" s="21">
        <f t="shared" si="0"/>
        <v>12339.138481228152</v>
      </c>
      <c r="I14" s="21"/>
      <c r="J14" s="21"/>
      <c r="K14" s="21"/>
      <c r="L14" s="21"/>
      <c r="M14" s="21">
        <f t="shared" si="0"/>
        <v>2306.9463797661942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v>
      </c>
      <c r="C18" s="23"/>
      <c r="D18" s="23">
        <f t="shared" ref="D18:M18" si="1">D14*D16</f>
        <v>9.1028194541839067</v>
      </c>
      <c r="E18" s="23">
        <f t="shared" si="1"/>
        <v>43.722325062797502</v>
      </c>
      <c r="F18" s="23"/>
      <c r="G18" s="23">
        <f t="shared" si="1"/>
        <v>16417.794235245066</v>
      </c>
      <c r="H18" s="23">
        <f t="shared" si="1"/>
        <v>3072.44548182581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3.3114918948455455E-3</v>
      </c>
      <c r="H50" s="321">
        <f t="shared" si="2"/>
        <v>0</v>
      </c>
      <c r="I50" s="321">
        <f t="shared" si="2"/>
        <v>0</v>
      </c>
      <c r="J50" s="321">
        <f t="shared" si="2"/>
        <v>0</v>
      </c>
      <c r="K50" s="321">
        <f t="shared" si="2"/>
        <v>0</v>
      </c>
      <c r="L50" s="321">
        <f t="shared" si="2"/>
        <v>0</v>
      </c>
      <c r="M50" s="321">
        <f t="shared" si="2"/>
        <v>1.0271507016775669E-4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3.3114918948455455E-3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1.0271507016775669E-4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919.85885967931813</v>
      </c>
      <c r="H54" s="21">
        <f t="shared" si="3"/>
        <v>0</v>
      </c>
      <c r="I54" s="21">
        <f t="shared" si="3"/>
        <v>0</v>
      </c>
      <c r="J54" s="21">
        <f t="shared" si="3"/>
        <v>0</v>
      </c>
      <c r="K54" s="21">
        <f t="shared" si="3"/>
        <v>0</v>
      </c>
      <c r="L54" s="21">
        <f t="shared" si="3"/>
        <v>0</v>
      </c>
      <c r="M54" s="21">
        <f t="shared" si="3"/>
        <v>28.531963935487973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245.60231553437796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24693.918130312511</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3178.0776067135603</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27871.995737026071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2019-08-12T08:26:07Z</dcterms:modified>
</cp:coreProperties>
</file>