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P25"/>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L18" i="59"/>
  <c r="L20" s="1"/>
  <c r="L90" i="14"/>
  <c r="K18" i="59"/>
  <c r="K20" s="1"/>
  <c r="K90" i="14"/>
  <c r="H10" i="59"/>
  <c r="L78" i="14"/>
  <c r="L8" i="59"/>
  <c r="L10" s="1"/>
  <c r="H90" i="14"/>
  <c r="H18" i="59"/>
  <c r="H78" i="14"/>
  <c r="H8" i="59"/>
  <c r="E20"/>
  <c r="N20"/>
  <c r="K10"/>
  <c r="H20"/>
  <c r="C98" i="18"/>
  <c r="I101" s="1"/>
  <c r="H8" s="1"/>
  <c r="D13" i="15"/>
  <c r="O90" i="14"/>
  <c r="B10" i="18"/>
  <c r="G20"/>
  <c r="C13" i="15"/>
  <c r="O78" i="14"/>
  <c r="O9" i="59"/>
  <c r="R9" i="14"/>
  <c r="R25"/>
  <c r="O10" i="59"/>
  <c r="G78" i="14"/>
  <c r="N10" i="59"/>
  <c r="B8" i="18"/>
  <c r="O19"/>
  <c r="L13" i="15"/>
  <c r="N13"/>
  <c r="Q77" i="14"/>
  <c r="P9" i="59" s="1"/>
  <c r="O9" i="18"/>
  <c r="O18"/>
  <c r="B89" i="14"/>
  <c r="B19" i="59" s="1"/>
  <c r="G88" i="14"/>
  <c r="F89"/>
  <c r="E101" i="18"/>
  <c r="E8" s="1"/>
  <c r="H101"/>
  <c r="D101"/>
  <c r="G101"/>
  <c r="C101"/>
  <c r="F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B101" i="18"/>
  <c r="C8" s="1"/>
  <c r="Q88" i="14"/>
  <c r="P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C90" i="14" l="1"/>
  <c r="C17" i="59"/>
  <c r="C20" s="1"/>
  <c r="B78" i="14"/>
  <c r="B8" i="59"/>
  <c r="B10" s="1"/>
  <c r="B90" i="14"/>
  <c r="B17" i="59"/>
  <c r="B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30"/>
  <c r="J24"/>
  <c r="P4"/>
  <c r="Q11" i="14"/>
  <c r="O4" i="48"/>
  <c r="P11" i="14"/>
  <c r="I27" i="48"/>
  <c r="I32"/>
  <c r="I31"/>
  <c r="I26"/>
  <c r="I24"/>
  <c r="I22"/>
  <c r="I28"/>
  <c r="I29"/>
  <c r="I25"/>
  <c r="I30"/>
  <c r="D4"/>
  <c r="D22" s="1"/>
  <c r="E11" i="14"/>
  <c r="H32" i="48"/>
  <c r="H28"/>
  <c r="H25"/>
  <c r="H29"/>
  <c r="H24"/>
  <c r="H26"/>
  <c r="H22"/>
  <c r="H30"/>
  <c r="H23"/>
  <c r="C4"/>
  <c r="D11" i="14"/>
  <c r="G32" i="48"/>
  <c r="G26"/>
  <c r="G25"/>
  <c r="G29"/>
  <c r="G30"/>
  <c r="G24"/>
  <c r="G22"/>
  <c r="G23"/>
  <c r="B4"/>
  <c r="C11" i="14"/>
  <c r="F32" i="48"/>
  <c r="F31"/>
  <c r="F27"/>
  <c r="F29"/>
  <c r="F30"/>
  <c r="F28"/>
  <c r="F24"/>
  <c r="N32"/>
  <c r="N31"/>
  <c r="N29"/>
  <c r="N27"/>
  <c r="N28"/>
  <c r="N30"/>
  <c r="N24"/>
  <c r="B10"/>
  <c r="C19" i="14"/>
  <c r="E31" i="48"/>
  <c r="E29"/>
  <c r="E32"/>
  <c r="E28"/>
  <c r="E30"/>
  <c r="E24"/>
  <c r="M29"/>
  <c r="M32"/>
  <c r="M25"/>
  <c r="M26"/>
  <c r="M24"/>
  <c r="M22"/>
  <c r="M30"/>
  <c r="M23"/>
  <c r="L10" i="14"/>
  <c r="L16" s="1"/>
  <c r="L27" s="1"/>
  <c r="K5" i="48"/>
  <c r="D29"/>
  <c r="D30"/>
  <c r="D28"/>
  <c r="D24"/>
  <c r="D31"/>
  <c r="D32"/>
  <c r="L29"/>
  <c r="L28"/>
  <c r="L32"/>
  <c r="L24"/>
  <c r="L22"/>
  <c r="L30"/>
  <c r="L31"/>
  <c r="L27"/>
  <c r="P5"/>
  <c r="P23" s="1"/>
  <c r="Q10" i="14"/>
  <c r="K28" i="48"/>
  <c r="K27"/>
  <c r="K32"/>
  <c r="K25"/>
  <c r="K31"/>
  <c r="K30"/>
  <c r="K26"/>
  <c r="K24"/>
  <c r="K29"/>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K11"/>
  <c r="J4" i="48"/>
  <c r="E7"/>
  <c r="E25" s="1"/>
  <c r="F24" i="14"/>
  <c r="F26" s="1"/>
  <c r="M9" i="48"/>
  <c r="N20" i="14"/>
  <c r="N22" s="1"/>
  <c r="N27" s="1"/>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<sst xmlns="http://schemas.openxmlformats.org/spreadsheetml/2006/main" count="2419" uniqueCount="906">
  <si>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</si>
  <si>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</si>
  <si>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</si>
  <si>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</si>
  <si>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</si>
  <si>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</si>
  <si>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</si>
  <si>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</si>
  <si>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</si>
  <si>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</si>
  <si>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</si>
  <si>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</si>
  <si>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</si>
  <si>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</si>
  <si>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</si>
  <si>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</si>
  <si>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</si>
  <si>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</si>
  <si>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</si>
  <si>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</si>
  <si>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</si>
  <si>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</si>
  <si>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</si>
  <si>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</si>
  <si>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</si>
  <si>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</si>
  <si>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</si>
  <si>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</si>
  <si>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</si>
  <si>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</si>
  <si>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</si>
  <si>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</si>
  <si>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</si>
  <si>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</si>
  <si>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</si>
  <si>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</si>
  <si>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</si>
  <si>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</si>
  <si>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</si>
  <si>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</si>
  <si>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</si>
  <si>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</si>
  <si>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</si>
  <si>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</si>
  <si>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</si>
  <si>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</si>
  <si>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</si>
  <si>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</si>
  <si>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</si>
  <si>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</si>
  <si>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</si>
  <si>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</si>
  <si>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</si>
  <si>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</si>
  <si>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</si>
  <si>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</si>
  <si>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</si>
  <si>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</si>
  <si>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</si>
  <si>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</si>
  <si>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</si>
  <si>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</si>
  <si>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</si>
  <si>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</si>
  <si>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</si>
  <si>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</si>
  <si>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</si>
  <si>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</si>
  <si>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</si>
  <si>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</si>
  <si>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</si>
  <si>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</si>
  <si>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</si>
  <si>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</si>
  <si>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</si>
  <si>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</si>
  <si>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</si>
  <si>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</si>
  <si>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</si>
  <si>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</si>
  <si>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</si>
  <si>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</si>
  <si>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</si>
  <si>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</si>
  <si>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</si>
  <si>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</si>
  <si>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</si>
  <si>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</si>
  <si>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</si>
  <si>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</si>
  <si>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</si>
  <si>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</si>
  <si>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</si>
  <si>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</si>
  <si>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</si>
  <si>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</si>
  <si>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</si>
  <si>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</si>
  <si>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</si>
  <si>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</si>
  <si>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</si>
  <si>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</si>
  <si>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</si>
  <si>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</si>
  <si>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</si>
  <si>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</si>
  <si>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</si>
  <si>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</si>
  <si>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</si>
  <si>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</si>
  <si>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</si>
  <si>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</si>
  <si>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</si>
  <si>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</si>
  <si>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</si>
  <si>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</si>
  <si>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</si>
  <si>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</si>
  <si>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</si>
  <si>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</si>
  <si>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</si>
  <si>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</si>
  <si>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</si>
  <si>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</si>
  <si>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</si>
  <si>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</si>
  <si>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</si>
  <si>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</si>
  <si>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</si>
  <si>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</si>
  <si>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</si>
  <si>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</si>
  <si>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</si>
  <si>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</si>
  <si>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</si>
  <si>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</si>
  <si>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</si>
  <si>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</si>
  <si>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</si>
  <si>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</si>
  <si>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</si>
  <si>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</si>
  <si>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</si>
  <si>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</si>
  <si>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</si>
  <si>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</si>
  <si>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</si>
  <si>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</si>
  <si>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</si>
  <si>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</si>
  <si>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</si>
  <si>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</si>
  <si>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</si>
  <si>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</si>
  <si>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</si>
  <si>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</si>
  <si>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</si>
  <si>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</si>
  <si>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</si>
  <si>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</si>
  <si>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</si>
  <si>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</si>
  <si>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</si>
  <si>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</si>
  <si>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</si>
  <si>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</si>
  <si>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</si>
  <si>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</si>
  <si>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</si>
  <si>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</si>
  <si>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</si>
  <si>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</si>
  <si>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</si>
  <si>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</si>
  <si>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</si>
  <si>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</si>
  <si>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</si>
  <si>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</si>
  <si>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</si>
  <si>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</si>
  <si>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</si>
  <si>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</si>
  <si>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</si>
  <si>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</si>
  <si>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</si>
  <si>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</si>
  <si>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</si>
  <si>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</si>
  <si>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</si>
  <si>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</si>
  <si>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</si>
  <si>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</si>
  <si>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</si>
  <si>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</si>
  <si>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</si>
  <si>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</si>
  <si>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</si>
  <si>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</si>
  <si>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</si>
  <si>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</si>
  <si>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</si>
  <si>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</si>
  <si>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</si>
  <si>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</si>
  <si>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</si>
  <si>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</si>
  <si>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</si>
  <si>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</si>
  <si>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</si>
  <si>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</si>
  <si>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</si>
  <si>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</si>
  <si>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</si>
  <si>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</si>
  <si>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</si>
  <si>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</si>
  <si>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</si>
  <si>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</si>
  <si>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</si>
  <si>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</si>
  <si>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</si>
  <si>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</si>
  <si>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</si>
  <si>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</si>
  <si>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</si>
  <si>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</si>
  <si>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</si>
  <si>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</si>
  <si>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</si>
  <si>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</si>
  <si>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</si>
  <si>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</si>
  <si>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</si>
  <si>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</si>
  <si>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</si>
  <si>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</si>
  <si>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</si>
  <si>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</si>
  <si>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</si>
  <si>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</si>
  <si>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</si>
  <si>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</si>
  <si>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</si>
  <si>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</si>
  <si>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</si>
  <si>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</si>
  <si>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</si>
  <si>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</si>
  <si>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</si>
  <si>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</si>
  <si>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</si>
  <si>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</si>
  <si>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</si>
  <si>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</si>
  <si>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</si>
  <si>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</si>
  <si>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</si>
  <si>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</si>
  <si>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</si>
  <si>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</si>
  <si>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</si>
  <si>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</si>
  <si>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</si>
  <si>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</si>
  <si>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</si>
  <si>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</si>
  <si>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</si>
  <si>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</si>
  <si>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</si>
  <si>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</si>
  <si>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</si>
  <si>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</si>
  <si>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</si>
  <si>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</si>
  <si>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</si>
  <si>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</si>
  <si>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</si>
  <si>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</si>
  <si>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</si>
  <si>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</si>
  <si>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</si>
  <si>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</si>
  <si>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</si>
  <si>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</si>
  <si>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</si>
  <si>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</si>
  <si>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</si>
  <si>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</si>
  <si>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</si>
  <si>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</si>
  <si>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</si>
  <si>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</si>
  <si>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</si>
  <si>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</si>
  <si>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</si>
  <si>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</si>
  <si>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</si>
  <si>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</si>
  <si>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</si>
  <si>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</si>
  <si>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</si>
  <si>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</si>
  <si>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</si>
  <si>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</si>
  <si>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</si>
  <si>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</si>
  <si>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</si>
  <si>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</si>
  <si>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</si>
  <si>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</si>
  <si>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</si>
  <si>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</si>
  <si>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</si>
  <si>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</si>
  <si>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</si>
  <si>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</si>
  <si>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</si>
  <si>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</si>
  <si>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</si>
  <si>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</si>
  <si>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</si>
  <si>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</si>
  <si>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</si>
  <si>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</si>
  <si>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</si>
  <si>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</si>
  <si>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</si>
  <si>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</si>
  <si>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</si>
  <si>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</si>
  <si>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</si>
  <si>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</si>
  <si>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</si>
  <si>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</si>
  <si>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</si>
  <si>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</si>
  <si>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</si>
  <si>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</si>
  <si>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</si>
  <si>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</si>
  <si>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</si>
  <si>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</si>
  <si>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</si>
  <si>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</si>
  <si>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</si>
  <si>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</si>
  <si>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</si>
  <si>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</si>
  <si>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</si>
  <si>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</si>
  <si>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</si>
  <si>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</si>
  <si>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</si>
  <si>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</si>
  <si>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</si>
  <si>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</si>
  <si>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</si>
  <si>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</si>
  <si>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</si>
  <si>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</si>
  <si>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</si>
  <si>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</si>
  <si>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</si>
  <si>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</si>
  <si>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</si>
  <si>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</si>
  <si>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</si>
  <si>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</si>
  <si>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</si>
  <si>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</si>
  <si>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</si>
  <si>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</si>
  <si>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</si>
  <si>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</si>
  <si>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</si>
  <si>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</si>
  <si>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</si>
  <si>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</si>
  <si>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</si>
  <si>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</si>
  <si>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</si>
  <si>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</si>
  <si>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</si>
  <si>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</si>
  <si>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</si>
  <si>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</si>
  <si>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</si>
  <si>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</si>
  <si>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</si>
  <si>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</si>
  <si>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</si>
  <si>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</si>
  <si>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</si>
  <si>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</si>
  <si>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</si>
  <si>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</si>
  <si>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</si>
  <si>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</si>
  <si>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</si>
  <si>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</si>
  <si>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</si>
  <si>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</si>
  <si>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</si>
  <si>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</si>
  <si>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</si>
  <si>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</si>
  <si>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</si>
  <si>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</si>
  <si>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</si>
  <si>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</si>
  <si>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</si>
  <si>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</si>
  <si>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</si>
  <si>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</si>
  <si>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</si>
  <si>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</si>
  <si>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</si>
  <si>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</si>
  <si>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</si>
  <si>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</si>
  <si>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</si>
  <si>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</si>
  <si>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</si>
  <si>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</si>
  <si>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</si>
  <si>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</si>
  <si>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</si>
  <si>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</si>
  <si>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</si>
  <si>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</si>
  <si>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</si>
  <si>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</si>
  <si>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</si>
  <si>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</si>
  <si>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</si>
  <si>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</si>
  <si>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</si>
  <si>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</si>
  <si>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</si>
  <si>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</si>
  <si>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</si>
  <si>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</si>
  <si>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</si>
  <si>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</si>
  <si>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</si>
  <si>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</si>
  <si>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</si>
  <si>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</si>
  <si>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</si>
  <si>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</si>
  <si>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</si>
  <si>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</si>
  <si>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</si>
  <si>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</si>
  <si>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</si>
  <si>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</si>
  <si>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</si>
  <si>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</si>
  <si>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</si>
  <si>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</si>
  <si>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</si>
  <si>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</si>
  <si>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</si>
  <si>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</si>
  <si>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</si>
  <si>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</si>
  <si>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</si>
  <si>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</si>
  <si>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</si>
  <si>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</si>
  <si>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</si>
  <si>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</si>
  <si>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</si>
  <si>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</si>
  <si>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</si>
  <si>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</si>
  <si>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</si>
  <si>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</si>
  <si>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</si>
  <si>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</si>
  <si>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</si>
  <si>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</si>
  <si>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</si>
  <si>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</si>
  <si>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</si>
  <si>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</si>
  <si>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</si>
  <si>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</si>
  <si>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</si>
  <si>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</si>
  <si>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</si>
  <si>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</si>
  <si>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</si>
  <si>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</si>
  <si>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</si>
  <si>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</si>
  <si>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</si>
  <si>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</si>
  <si>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</si>
  <si>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</si>
  <si>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</si>
  <si>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</si>
  <si>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</si>
  <si>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</si>
  <si>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</si>
  <si>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</si>
  <si>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</si>
  <si>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</si>
  <si>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</si>
  <si>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</si>
  <si>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</si>
  <si>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</si>
  <si>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</si>
  <si>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</si>
  <si>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</si>
  <si>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</si>
  <si>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</si>
  <si>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</si>
  <si>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</si>
  <si>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</si>
  <si>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</si>
  <si>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</si>
  <si>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</si>
  <si>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</si>
  <si>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</si>
  <si>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</si>
  <si>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</si>
  <si>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</si>
  <si>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</si>
  <si>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</si>
  <si>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</si>
  <si>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</si>
  <si>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</si>
  <si>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</si>
  <si>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</si>
  <si>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</si>
  <si>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</si>
  <si>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</si>
  <si>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</si>
  <si>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</si>
  <si>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</si>
  <si>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</si>
  <si>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</si>
  <si>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</si>
  <si>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</si>
  <si>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</si>
  <si>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</si>
  <si>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</si>
  <si>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</si>
  <si>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</si>
  <si>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</si>
  <si>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</si>
  <si>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</si>
  <si>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</si>
  <si>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</si>
  <si>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</si>
  <si>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</si>
  <si>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</si>
  <si>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</si>
  <si>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</si>
  <si>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</si>
  <si>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</si>
  <si>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</si>
  <si>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</si>
  <si>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</si>
  <si>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</si>
  <si>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</si>
  <si>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</si>
  <si>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</si>
  <si>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</si>
  <si>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</si>
  <si>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</si>
  <si>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</si>
  <si>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</si>
  <si>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</si>
  <si>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</si>
  <si>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</si>
  <si>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</si>
  <si>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</si>
  <si>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</si>
  <si>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</si>
  <si>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</si>
  <si>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</si>
  <si>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</si>
  <si>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</si>
  <si>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</si>
  <si>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</si>
  <si>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</si>
  <si>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</si>
  <si>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</si>
  <si>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</si>
  <si>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</si>
  <si>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</si>
  <si>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</si>
  <si>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</si>
  <si>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</si>
  <si>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</si>
  <si>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</si>
  <si>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</si>
  <si>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</si>
  <si>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</si>
  <si>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</si>
  <si>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</si>
  <si>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</si>
  <si>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</si>
  <si>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</si>
  <si>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</si>
  <si>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</si>
  <si>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</si>
  <si>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</si>
  <si>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</si>
  <si>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</si>
  <si>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</si>
  <si>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</si>
  <si>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</si>
  <si>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</si>
  <si>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</si>
  <si>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</si>
  <si>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</si>
  <si>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</si>
  <si>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</si>
  <si>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</si>
  <si>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</si>
  <si>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</si>
  <si>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</si>
  <si>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</si>
  <si>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</si>
  <si>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</si>
  <si>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</si>
  <si>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</si>
  <si>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</si>
  <si>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</si>
  <si>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</si>
  <si>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</si>
  <si>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</si>
  <si>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</si>
  <si>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</si>
  <si>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</si>
  <si>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</si>
  <si>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</si>
  <si>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</si>
  <si>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</si>
  <si>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</si>
  <si>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</si>
  <si>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</si>
  <si>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</si>
  <si>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</si>
  <si>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</si>
  <si>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</si>
  <si>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</si>
  <si>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</si>
  <si>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</si>
  <si>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</si>
  <si>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</si>
  <si>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</si>
  <si>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</si>
  <si>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</si>
  <si>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</si>
  <si>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</si>
  <si>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</si>
  <si>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</si>
  <si>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</si>
  <si>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</si>
  <si>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</si>
  <si>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</si>
  <si>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</si>
  <si>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</si>
  <si>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</si>
  <si>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</si>
  <si>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</si>
  <si>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</si>
  <si>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</si>
  <si>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</si>
  <si>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</si>
  <si>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</si>
  <si>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</si>
  <si>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</si>
  <si>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</si>
  <si>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</si>
  <si>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</si>
  <si>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</si>
  <si>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</si>
  <si>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</si>
  <si>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</si>
  <si>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</si>
  <si>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</si>
  <si>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</si>
  <si>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</si>
  <si>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</si>
  <si>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</si>
  <si>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</si>
  <si>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</si>
  <si>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</si>
  <si>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</si>
  <si>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</si>
  <si>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</si>
  <si>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</si>
  <si>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</si>
  <si>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</si>
  <si>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</si>
  <si>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</si>
  <si>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</si>
  <si>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</si>
  <si>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</si>
  <si>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</si>
  <si>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</si>
  <si>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</si>
  <si>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</si>
  <si>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</si>
  <si>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</si>
  <si>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</si>
  <si>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</si>
  <si>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</si>
  <si>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</si>
  <si>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</si>
  <si>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</si>
  <si>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</si>
  <si>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</si>
  <si>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</si>
  <si>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</si>
  <si>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</si>
  <si>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</si>
  <si>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</si>
  <si>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</si>
  <si>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</si>
  <si>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</si>
  <si>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</si>
  <si>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</si>
  <si>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</si>
  <si>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</si>
  <si>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</si>
  <si>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</si>
  <si>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</si>
  <si>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</si>
  <si>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</si>
  <si>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</si>
  <si>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</si>
  <si>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</si>
  <si>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</si>
  <si>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</si>
  <si>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</si>
  <si>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</si>
  <si>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</si>
  <si>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</si>
  <si>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</si>
  <si>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</si>
  <si>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</si>
  <si>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</si>
  <si>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</si>
  <si>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</si>
  <si>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</si>
  <si>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</si>
  <si>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</si>
  <si>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</si>
  <si>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</si>
  <si>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</si>
  <si>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</si>
  <si>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</si>
  <si>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</si>
  <si>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</si>
  <si>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</si>
  <si>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</si>
  <si>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</si>
  <si>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</si>
  <si>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</si>
  <si>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</si>
  <si>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</si>
  <si>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</si>
  <si>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</si>
  <si>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</si>
  <si>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</si>
  <si>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</si>
  <si>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</si>
  <si>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</si>
  <si>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</si>
  <si>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</si>
  <si>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</si>
  <si>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</si>
  <si>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</si>
  <si>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</si>
  <si>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</si>
  <si>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</si>
  <si>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</si>
  <si>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</si>
  <si>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</si>
  <si>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</si>
  <si>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</si>
  <si>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</si>
  <si>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</si>
  <si>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</si>
  <si>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</si>
  <si>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</si>
  <si>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</si>
  <si>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</si>
  <si>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</si>
  <si>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</si>
  <si>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</si>
  <si>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</si>
  <si>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</si>
  <si>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</si>
  <si>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</si>
  <si>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</si>
  <si>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</si>
  <si>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</si>
  <si>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</si>
  <si>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</si>
  <si>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</si>
  <si>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</si>
  <si>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</si>
  <si>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</si>
  <si>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</si>
  <si>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</si>
  <si>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</si>
  <si>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</si>
  <si>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</si>
  <si>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</si>
  <si>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</si>
  <si>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</si>
  <si>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</si>
  <si>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</si>
  <si>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</si>
  <si>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</si>
  <si>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</si>
  <si>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</si>
  <si>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</si>
  <si>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</si>
  <si>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</si>
  <si>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</si>
  <si>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</si>
  <si>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</si>
  <si>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</si>
  <si>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</si>
  <si>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</si>
  <si>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</si>
  <si>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</si>
  <si>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</si>
  <si>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</si>
  <si>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</si>
  <si>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</si>
  <si>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</si>
  <si>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</si>
  <si>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</si>
  <si>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</si>
  <si>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</si>
  <si>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</si>
  <si>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</si>
  <si>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</si>
  <si>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</si>
  <si>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</si>
  <si>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</si>
  <si>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</si>
  <si>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</si>
  <si>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</si>
  <si>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</si>
  <si>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</si>
  <si>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</si>
  <si>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</si>
  <si>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</si>
  <si>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</si>
  <si>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</si>
  <si>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</si>
  <si>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</si>
  <si>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</si>
  <si>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</si>
  <si>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</si>
  <si>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</si>
  <si>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</si>
  <si>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</si>
  <si>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</si>
  <si>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</si>
  <si>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</si>
  <si>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</si>
  <si>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</si>
  <si>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</si>
  <si>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</si>
  <si>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</si>
  <si>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</si>
  <si>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</si>
  <si>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</si>
  <si>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</si>
  <si>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</si>
  <si>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</si>
  <si>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71016</t>
  </si>
  <si>
    <t>GENK</t>
  </si>
  <si>
    <t>Paarden&amp;pony's 200 - 600 kg</t>
  </si>
  <si>
    <t>Paarden&amp;pony's &lt; 200 kg</t>
  </si>
  <si>
    <t>referentietaak LNE (2017); Jaarverslag De Lijn (2015)</t>
  </si>
  <si>
    <t>op basis van VEA (maart 2018) en Inventaris Hernieuwbare Energiebronnen (juni 2018)</t>
  </si>
  <si>
    <t>VEA (januari 2017)</t>
  </si>
  <si>
    <t>VEA (juni 2018)</t>
  </si>
  <si>
    <t>ASOTEP</t>
  </si>
  <si>
    <t>Woudstraat 3a, 3600 Genk</t>
  </si>
  <si>
    <t>WKK-0080 Asotep</t>
  </si>
  <si>
    <t>interne verbrandingsmotor</t>
  </si>
  <si>
    <t>WKK interne verbrandinsgmotor (gas)</t>
  </si>
  <si>
    <t>Inter-Energa</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</si>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</sst>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435594.00215502374</c:v>
                </c:pt>
                <c:pt idx="1">
                  <c:v>321740.70590492891</c:v>
                </c:pt>
                <c:pt idx="2">
                  <c:v>4007.2539999999999</c:v>
                </c:pt>
                <c:pt idx="3">
                  <c:v>3388.0837151249971</c:v>
                </c:pt>
                <c:pt idx="4">
                  <c:v>548748.16436850978</c:v>
                </c:pt>
                <c:pt idx="5">
                  <c:v>500127.35436757532</c:v>
                </c:pt>
                <c:pt idx="6">
                  <c:v>15570.986132369086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435594.00215502374</c:v>
                </c:pt>
                <c:pt idx="1">
                  <c:v>321740.70590492891</c:v>
                </c:pt>
                <c:pt idx="2">
                  <c:v>4007.2539999999999</c:v>
                </c:pt>
                <c:pt idx="3">
                  <c:v>3388.0837151249971</c:v>
                </c:pt>
                <c:pt idx="4">
                  <c:v>548748.16436850978</c:v>
                </c:pt>
                <c:pt idx="5">
                  <c:v>500127.35436757532</c:v>
                </c:pt>
                <c:pt idx="6">
                  <c:v>15570.986132369086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92338.761818796105</c:v>
                </c:pt>
                <c:pt idx="2">
                  <c:v>63196.185578681645</c:v>
                </c:pt>
                <c:pt idx="3">
                  <c:v>743.8808755301917</c:v>
                </c:pt>
                <c:pt idx="4">
                  <c:v>829.97994269077572</c:v>
                </c:pt>
                <c:pt idx="5">
                  <c:v>101161.51880677135</c:v>
                </c:pt>
                <c:pt idx="6">
                  <c:v>128068.13042234874</c:v>
                </c:pt>
                <c:pt idx="7">
                  <c:v>4032.3779543619698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92338.761818796105</c:v>
                </c:pt>
                <c:pt idx="2">
                  <c:v>63196.185578681645</c:v>
                </c:pt>
                <c:pt idx="3">
                  <c:v>743.8808755301917</c:v>
                </c:pt>
                <c:pt idx="4">
                  <c:v>829.97994269077572</c:v>
                </c:pt>
                <c:pt idx="5">
                  <c:v>101161.51880677135</c:v>
                </c:pt>
                <c:pt idx="6">
                  <c:v>128068.13042234874</c:v>
                </c:pt>
                <c:pt idx="7">
                  <c:v>4032.3779543619698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155187.11599999998</v>
      </c>
      <c r="D10" s="1012">
        <f ca="1">tertiair!C16</f>
        <v>205.71428571428572</v>
      </c>
      <c r="E10" s="1012">
        <f ca="1">tertiair!D16</f>
        <v>122639.59273057144</v>
      </c>
      <c r="F10" s="1012">
        <f>tertiair!E16</f>
        <v>2415.9207825185695</v>
      </c>
      <c r="G10" s="1012">
        <f ca="1">tertiair!F16</f>
        <v>36560.406654188482</v>
      </c>
      <c r="H10" s="1012">
        <f>tertiair!G16</f>
        <v>0</v>
      </c>
      <c r="I10" s="1012">
        <f>tertiair!H16</f>
        <v>0</v>
      </c>
      <c r="J10" s="1012">
        <f>tertiair!I16</f>
        <v>0</v>
      </c>
      <c r="K10" s="1012">
        <f>tertiair!J16</f>
        <v>0</v>
      </c>
      <c r="L10" s="1012">
        <f>tertiair!K16</f>
        <v>0</v>
      </c>
      <c r="M10" s="1012">
        <f ca="1">tertiair!L16</f>
        <v>0</v>
      </c>
      <c r="N10" s="1012">
        <f>tertiair!M16</f>
        <v>0</v>
      </c>
      <c r="O10" s="1012">
        <f ca="1">tertiair!N16</f>
        <v>8639.1861186028109</v>
      </c>
      <c r="P10" s="1012">
        <f>tertiair!O16</f>
        <v>4.6900000000000004</v>
      </c>
      <c r="Q10" s="1013">
        <f>tertiair!P16</f>
        <v>95.333333333333343</v>
      </c>
      <c r="R10" s="700">
        <f ca="1">SUM(C10:Q10)</f>
        <v>325747.95990492887</v>
      </c>
      <c r="S10" s="67"/>
    </row>
    <row r="11" spans="1:19" s="473" customFormat="1">
      <c r="A11" s="809" t="s">
        <v>225</v>
      </c>
      <c r="B11" s="814"/>
      <c r="C11" s="1012">
        <f>huishoudens!B8</f>
        <v>121981.91506800515</v>
      </c>
      <c r="D11" s="1012">
        <f>huishoudens!C8</f>
        <v>0</v>
      </c>
      <c r="E11" s="1012">
        <f>huishoudens!D8</f>
        <v>157820.76708200001</v>
      </c>
      <c r="F11" s="1012">
        <f>huishoudens!E8</f>
        <v>2850.951020709052</v>
      </c>
      <c r="G11" s="1012">
        <f>huishoudens!F8</f>
        <v>139205.47687035831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10093.382113951262</v>
      </c>
      <c r="P11" s="1012">
        <f>huishoudens!O8</f>
        <v>1277.2433333333333</v>
      </c>
      <c r="Q11" s="1013">
        <f>huishoudens!P8</f>
        <v>2364.2666666666664</v>
      </c>
      <c r="R11" s="700">
        <f>SUM(C11:Q11)</f>
        <v>435594.00215502374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243882.41399999996</v>
      </c>
      <c r="D13" s="1012">
        <f>industrie!C18</f>
        <v>0</v>
      </c>
      <c r="E13" s="1012">
        <f>industrie!D18</f>
        <v>84329.010986000008</v>
      </c>
      <c r="F13" s="1012">
        <f>industrie!E18</f>
        <v>31189.559544421943</v>
      </c>
      <c r="G13" s="1012">
        <f>industrie!F18</f>
        <v>117605.56860369243</v>
      </c>
      <c r="H13" s="1012">
        <f>industrie!G18</f>
        <v>0</v>
      </c>
      <c r="I13" s="1012">
        <f>industrie!H18</f>
        <v>0</v>
      </c>
      <c r="J13" s="1012">
        <f>industrie!I18</f>
        <v>0</v>
      </c>
      <c r="K13" s="1012">
        <f>industrie!J18</f>
        <v>1055.3050782972741</v>
      </c>
      <c r="L13" s="1012">
        <f>industrie!K18</f>
        <v>0</v>
      </c>
      <c r="M13" s="1012">
        <f>industrie!L18</f>
        <v>0</v>
      </c>
      <c r="N13" s="1012">
        <f>industrie!M18</f>
        <v>0</v>
      </c>
      <c r="O13" s="1012">
        <f>industrie!N18</f>
        <v>70686.306156098188</v>
      </c>
      <c r="P13" s="1012">
        <f>industrie!O18</f>
        <v>0</v>
      </c>
      <c r="Q13" s="1013">
        <f>industrie!P18</f>
        <v>0</v>
      </c>
      <c r="R13" s="700">
        <f>SUM(C13:Q13)</f>
        <v>548748.16436850978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521051.44506800512</v>
      </c>
      <c r="D16" s="732">
        <f t="shared" ref="D16:R16" ca="1" si="0">SUM(D9:D15)</f>
        <v>205.71428571428572</v>
      </c>
      <c r="E16" s="732">
        <f t="shared" ca="1" si="0"/>
        <v>364789.37079857144</v>
      </c>
      <c r="F16" s="732">
        <f t="shared" si="0"/>
        <v>36456.431347649566</v>
      </c>
      <c r="G16" s="732">
        <f t="shared" ca="1" si="0"/>
        <v>293371.45212823921</v>
      </c>
      <c r="H16" s="732">
        <f t="shared" si="0"/>
        <v>0</v>
      </c>
      <c r="I16" s="732">
        <f t="shared" si="0"/>
        <v>0</v>
      </c>
      <c r="J16" s="732">
        <f t="shared" si="0"/>
        <v>0</v>
      </c>
      <c r="K16" s="732">
        <f t="shared" si="0"/>
        <v>1055.3050782972741</v>
      </c>
      <c r="L16" s="732">
        <f t="shared" si="0"/>
        <v>0</v>
      </c>
      <c r="M16" s="732">
        <f t="shared" ca="1" si="0"/>
        <v>0</v>
      </c>
      <c r="N16" s="732">
        <f t="shared" si="0"/>
        <v>0</v>
      </c>
      <c r="O16" s="732">
        <f t="shared" ca="1" si="0"/>
        <v>89418.874388652257</v>
      </c>
      <c r="P16" s="732">
        <f t="shared" si="0"/>
        <v>1281.9333333333334</v>
      </c>
      <c r="Q16" s="732">
        <f t="shared" si="0"/>
        <v>2459.6</v>
      </c>
      <c r="R16" s="732">
        <f t="shared" ca="1" si="0"/>
        <v>1310090.1264284623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15102.539154913744</v>
      </c>
      <c r="I19" s="1012">
        <f>transport!H54</f>
        <v>0</v>
      </c>
      <c r="J19" s="1012">
        <f>transport!I54</f>
        <v>0</v>
      </c>
      <c r="K19" s="1012">
        <f>transport!J54</f>
        <v>0</v>
      </c>
      <c r="L19" s="1012">
        <f>transport!K54</f>
        <v>0</v>
      </c>
      <c r="M19" s="1012">
        <f>transport!L54</f>
        <v>0</v>
      </c>
      <c r="N19" s="1012">
        <f>transport!M54</f>
        <v>468.44697745534171</v>
      </c>
      <c r="O19" s="1012">
        <f>transport!N54</f>
        <v>0</v>
      </c>
      <c r="P19" s="1012">
        <f>transport!O54</f>
        <v>0</v>
      </c>
      <c r="Q19" s="1013">
        <f>transport!P54</f>
        <v>0</v>
      </c>
      <c r="R19" s="700">
        <f>SUM(C19:Q19)</f>
        <v>15570.986132369086</v>
      </c>
      <c r="S19" s="67"/>
    </row>
    <row r="20" spans="1:19" s="473" customFormat="1">
      <c r="A20" s="809" t="s">
        <v>307</v>
      </c>
      <c r="B20" s="814"/>
      <c r="C20" s="1012">
        <f>transport!B14</f>
        <v>124.29401853978149</v>
      </c>
      <c r="D20" s="1012">
        <f>transport!C14</f>
        <v>0</v>
      </c>
      <c r="E20" s="1012">
        <f>transport!D14</f>
        <v>276.62311138620913</v>
      </c>
      <c r="F20" s="1012">
        <f>transport!E14</f>
        <v>1147.3167127330676</v>
      </c>
      <c r="G20" s="1012">
        <f>transport!F14</f>
        <v>0</v>
      </c>
      <c r="H20" s="1012">
        <f>transport!G14</f>
        <v>408122.02025065059</v>
      </c>
      <c r="I20" s="1012">
        <f>transport!H14</f>
        <v>75342.004459619435</v>
      </c>
      <c r="J20" s="1012">
        <f>transport!I14</f>
        <v>0</v>
      </c>
      <c r="K20" s="1012">
        <f>transport!J14</f>
        <v>0</v>
      </c>
      <c r="L20" s="1012">
        <f>transport!K14</f>
        <v>0</v>
      </c>
      <c r="M20" s="1012">
        <f>transport!L14</f>
        <v>0</v>
      </c>
      <c r="N20" s="1012">
        <f>transport!M14</f>
        <v>15115.095814646302</v>
      </c>
      <c r="O20" s="1012">
        <f>transport!N14</f>
        <v>0</v>
      </c>
      <c r="P20" s="1012">
        <f>transport!O14</f>
        <v>0</v>
      </c>
      <c r="Q20" s="1013">
        <f>transport!P14</f>
        <v>0</v>
      </c>
      <c r="R20" s="700">
        <f>SUM(C20:Q20)</f>
        <v>500127.35436757532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124.29401853978149</v>
      </c>
      <c r="D22" s="812">
        <f t="shared" ref="D22:R22" si="1">SUM(D18:D21)</f>
        <v>0</v>
      </c>
      <c r="E22" s="812">
        <f t="shared" si="1"/>
        <v>276.62311138620913</v>
      </c>
      <c r="F22" s="812">
        <f t="shared" si="1"/>
        <v>1147.3167127330676</v>
      </c>
      <c r="G22" s="812">
        <f t="shared" si="1"/>
        <v>0</v>
      </c>
      <c r="H22" s="812">
        <f t="shared" si="1"/>
        <v>423224.55940556433</v>
      </c>
      <c r="I22" s="812">
        <f t="shared" si="1"/>
        <v>75342.004459619435</v>
      </c>
      <c r="J22" s="812">
        <f t="shared" si="1"/>
        <v>0</v>
      </c>
      <c r="K22" s="812">
        <f t="shared" si="1"/>
        <v>0</v>
      </c>
      <c r="L22" s="812">
        <f t="shared" si="1"/>
        <v>0</v>
      </c>
      <c r="M22" s="812">
        <f t="shared" si="1"/>
        <v>0</v>
      </c>
      <c r="N22" s="812">
        <f t="shared" si="1"/>
        <v>15583.542792101643</v>
      </c>
      <c r="O22" s="812">
        <f t="shared" si="1"/>
        <v>0</v>
      </c>
      <c r="P22" s="812">
        <f t="shared" si="1"/>
        <v>0</v>
      </c>
      <c r="Q22" s="812">
        <f t="shared" si="1"/>
        <v>0</v>
      </c>
      <c r="R22" s="812">
        <f t="shared" si="1"/>
        <v>515698.3404999444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597.28499999999997</v>
      </c>
      <c r="D24" s="1012">
        <f>+landbouw!C8</f>
        <v>0</v>
      </c>
      <c r="E24" s="1012">
        <f>+landbouw!D8</f>
        <v>506.21953800000006</v>
      </c>
      <c r="F24" s="1012">
        <f>+landbouw!E8</f>
        <v>15.401686840740393</v>
      </c>
      <c r="G24" s="1012">
        <f>+landbouw!F8</f>
        <v>2183.1904224027267</v>
      </c>
      <c r="H24" s="1012">
        <f>+landbouw!G8</f>
        <v>0</v>
      </c>
      <c r="I24" s="1012">
        <f>+landbouw!H8</f>
        <v>0</v>
      </c>
      <c r="J24" s="1012">
        <f>+landbouw!I8</f>
        <v>0</v>
      </c>
      <c r="K24" s="1012">
        <f>+landbouw!J8</f>
        <v>85.987067881529498</v>
      </c>
      <c r="L24" s="1012">
        <f>+landbouw!K8</f>
        <v>0</v>
      </c>
      <c r="M24" s="1012">
        <f>+landbouw!L8</f>
        <v>0</v>
      </c>
      <c r="N24" s="1012">
        <f>+landbouw!M8</f>
        <v>0</v>
      </c>
      <c r="O24" s="1012">
        <f>+landbouw!N8</f>
        <v>0</v>
      </c>
      <c r="P24" s="1012">
        <f>+landbouw!O8</f>
        <v>0</v>
      </c>
      <c r="Q24" s="1013">
        <f>+landbouw!P8</f>
        <v>0</v>
      </c>
      <c r="R24" s="700">
        <f>SUM(C24:Q24)</f>
        <v>3388.0837151249971</v>
      </c>
      <c r="S24" s="67"/>
    </row>
    <row r="25" spans="1:19" s="473" customFormat="1" ht="15" thickBot="1">
      <c r="A25" s="831" t="s">
        <v>848</v>
      </c>
      <c r="B25" s="1015"/>
      <c r="C25" s="1016">
        <f>IF(Onbekend_ele_kWh="---",0,Onbekend_ele_kWh)/1000+IF(REST_rest_ele_kWh="---",0,REST_rest_ele_kWh)/1000</f>
        <v>4257.9960000000001</v>
      </c>
      <c r="D25" s="1016"/>
      <c r="E25" s="1016">
        <f>IF(onbekend_gas_kWh="---",0,onbekend_gas_kWh)/1000+IF(REST_rest_gas_kWh="---",0,REST_rest_gas_kWh)/1000</f>
        <v>5275.7479999999996</v>
      </c>
      <c r="F25" s="1016"/>
      <c r="G25" s="1016"/>
      <c r="H25" s="1016"/>
      <c r="I25" s="1016"/>
      <c r="J25" s="1016"/>
      <c r="K25" s="1016"/>
      <c r="L25" s="1016"/>
      <c r="M25" s="1016"/>
      <c r="N25" s="1016"/>
      <c r="O25" s="1016"/>
      <c r="P25" s="1016"/>
      <c r="Q25" s="1017"/>
      <c r="R25" s="700">
        <f>SUM(C25:Q25)</f>
        <v>9533.7439999999988</v>
      </c>
      <c r="S25" s="67"/>
    </row>
    <row r="26" spans="1:19" s="473" customFormat="1" ht="15.75" thickBot="1">
      <c r="A26" s="705" t="s">
        <v>849</v>
      </c>
      <c r="B26" s="817"/>
      <c r="C26" s="812">
        <f>SUM(C24:C25)</f>
        <v>4855.2809999999999</v>
      </c>
      <c r="D26" s="812">
        <f t="shared" ref="D26:R26" si="2">SUM(D24:D25)</f>
        <v>0</v>
      </c>
      <c r="E26" s="812">
        <f t="shared" si="2"/>
        <v>5781.9675379999999</v>
      </c>
      <c r="F26" s="812">
        <f t="shared" si="2"/>
        <v>15.401686840740393</v>
      </c>
      <c r="G26" s="812">
        <f t="shared" si="2"/>
        <v>2183.1904224027267</v>
      </c>
      <c r="H26" s="812">
        <f t="shared" si="2"/>
        <v>0</v>
      </c>
      <c r="I26" s="812">
        <f t="shared" si="2"/>
        <v>0</v>
      </c>
      <c r="J26" s="812">
        <f t="shared" si="2"/>
        <v>0</v>
      </c>
      <c r="K26" s="812">
        <f t="shared" si="2"/>
        <v>85.987067881529498</v>
      </c>
      <c r="L26" s="812">
        <f t="shared" si="2"/>
        <v>0</v>
      </c>
      <c r="M26" s="812">
        <f t="shared" si="2"/>
        <v>0</v>
      </c>
      <c r="N26" s="812">
        <f t="shared" si="2"/>
        <v>0</v>
      </c>
      <c r="O26" s="812">
        <f t="shared" si="2"/>
        <v>0</v>
      </c>
      <c r="P26" s="812">
        <f t="shared" si="2"/>
        <v>0</v>
      </c>
      <c r="Q26" s="812">
        <f t="shared" si="2"/>
        <v>0</v>
      </c>
      <c r="R26" s="812">
        <f t="shared" si="2"/>
        <v>12921.827715124997</v>
      </c>
      <c r="S26" s="67"/>
    </row>
    <row r="27" spans="1:19" s="473" customFormat="1" ht="17.25" thickTop="1" thickBot="1">
      <c r="A27" s="706" t="s">
        <v>116</v>
      </c>
      <c r="B27" s="805"/>
      <c r="C27" s="707">
        <f ca="1">C22+C16+C26</f>
        <v>526031.02008654492</v>
      </c>
      <c r="D27" s="707">
        <f t="shared" ref="D27:R27" ca="1" si="3">D22+D16+D26</f>
        <v>205.71428571428572</v>
      </c>
      <c r="E27" s="707">
        <f t="shared" ca="1" si="3"/>
        <v>370847.96144795767</v>
      </c>
      <c r="F27" s="707">
        <f t="shared" si="3"/>
        <v>37619.149747223375</v>
      </c>
      <c r="G27" s="707">
        <f t="shared" ca="1" si="3"/>
        <v>295554.64255064196</v>
      </c>
      <c r="H27" s="707">
        <f t="shared" si="3"/>
        <v>423224.55940556433</v>
      </c>
      <c r="I27" s="707">
        <f t="shared" si="3"/>
        <v>75342.004459619435</v>
      </c>
      <c r="J27" s="707">
        <f t="shared" si="3"/>
        <v>0</v>
      </c>
      <c r="K27" s="707">
        <f t="shared" si="3"/>
        <v>1141.2921461788037</v>
      </c>
      <c r="L27" s="707">
        <f t="shared" si="3"/>
        <v>0</v>
      </c>
      <c r="M27" s="707">
        <f t="shared" ca="1" si="3"/>
        <v>0</v>
      </c>
      <c r="N27" s="707">
        <f t="shared" si="3"/>
        <v>15583.542792101643</v>
      </c>
      <c r="O27" s="707">
        <f t="shared" ca="1" si="3"/>
        <v>89418.874388652257</v>
      </c>
      <c r="P27" s="707">
        <f t="shared" si="3"/>
        <v>1281.9333333333334</v>
      </c>
      <c r="Q27" s="707">
        <f t="shared" si="3"/>
        <v>2459.6</v>
      </c>
      <c r="R27" s="707">
        <f t="shared" ca="1" si="3"/>
        <v>1838710.2946435316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28807.938733378371</v>
      </c>
      <c r="D40" s="1012">
        <f ca="1">tertiair!C20</f>
        <v>48.887394957983197</v>
      </c>
      <c r="E40" s="1012">
        <f ca="1">tertiair!D20</f>
        <v>24773.197731575434</v>
      </c>
      <c r="F40" s="1012">
        <f>tertiair!E20</f>
        <v>548.4140176317153</v>
      </c>
      <c r="G40" s="1012">
        <f ca="1">tertiair!F20</f>
        <v>9761.628576668325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63940.066454211832</v>
      </c>
    </row>
    <row r="41" spans="1:18">
      <c r="A41" s="822" t="s">
        <v>225</v>
      </c>
      <c r="B41" s="829"/>
      <c r="C41" s="1012">
        <f ca="1">huishoudens!B12</f>
        <v>22643.938662145487</v>
      </c>
      <c r="D41" s="1012">
        <f ca="1">huishoudens!C12</f>
        <v>0</v>
      </c>
      <c r="E41" s="1012">
        <f>huishoudens!D12</f>
        <v>31879.794950564003</v>
      </c>
      <c r="F41" s="1012">
        <f>huishoudens!E12</f>
        <v>647.16588170095486</v>
      </c>
      <c r="G41" s="1012">
        <f>huishoudens!F12</f>
        <v>37167.862324385671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92338.761818796105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45272.76375611245</v>
      </c>
      <c r="D43" s="1012">
        <f ca="1">industrie!C22</f>
        <v>0</v>
      </c>
      <c r="E43" s="1012">
        <f>industrie!D22</f>
        <v>17034.460219172004</v>
      </c>
      <c r="F43" s="1012">
        <f>industrie!E22</f>
        <v>7080.0300165837816</v>
      </c>
      <c r="G43" s="1012">
        <f>industrie!F22</f>
        <v>31400.68681718588</v>
      </c>
      <c r="H43" s="1012">
        <f>industrie!G22</f>
        <v>0</v>
      </c>
      <c r="I43" s="1012">
        <f>industrie!H22</f>
        <v>0</v>
      </c>
      <c r="J43" s="1012">
        <f>industrie!I22</f>
        <v>0</v>
      </c>
      <c r="K43" s="1012">
        <f>industrie!J22</f>
        <v>373.57799771723501</v>
      </c>
      <c r="L43" s="1012">
        <f>industrie!K22</f>
        <v>0</v>
      </c>
      <c r="M43" s="1012">
        <f>industrie!L22</f>
        <v>0</v>
      </c>
      <c r="N43" s="1012">
        <f>industrie!M22</f>
        <v>0</v>
      </c>
      <c r="O43" s="1012">
        <f>industrie!N22</f>
        <v>0</v>
      </c>
      <c r="P43" s="1012">
        <f>industrie!O22</f>
        <v>0</v>
      </c>
      <c r="Q43" s="774">
        <f>industrie!P22</f>
        <v>0</v>
      </c>
      <c r="R43" s="849">
        <f t="shared" ca="1" si="4"/>
        <v>101161.51880677135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96724.641151636315</v>
      </c>
      <c r="D46" s="732">
        <f t="shared" ref="D46:Q46" ca="1" si="5">SUM(D39:D45)</f>
        <v>48.887394957983197</v>
      </c>
      <c r="E46" s="732">
        <f t="shared" ca="1" si="5"/>
        <v>73687.452901311437</v>
      </c>
      <c r="F46" s="732">
        <f t="shared" si="5"/>
        <v>8275.6099159164514</v>
      </c>
      <c r="G46" s="732">
        <f t="shared" ca="1" si="5"/>
        <v>78330.17771823988</v>
      </c>
      <c r="H46" s="732">
        <f t="shared" si="5"/>
        <v>0</v>
      </c>
      <c r="I46" s="732">
        <f t="shared" si="5"/>
        <v>0</v>
      </c>
      <c r="J46" s="732">
        <f t="shared" si="5"/>
        <v>0</v>
      </c>
      <c r="K46" s="732">
        <f t="shared" si="5"/>
        <v>373.57799771723501</v>
      </c>
      <c r="L46" s="732">
        <f t="shared" si="5"/>
        <v>0</v>
      </c>
      <c r="M46" s="732">
        <f t="shared" ca="1" si="5"/>
        <v>0</v>
      </c>
      <c r="N46" s="732">
        <f t="shared" si="5"/>
        <v>0</v>
      </c>
      <c r="O46" s="732">
        <f t="shared" ca="1" si="5"/>
        <v>0</v>
      </c>
      <c r="P46" s="732">
        <f t="shared" si="5"/>
        <v>0</v>
      </c>
      <c r="Q46" s="732">
        <f t="shared" si="5"/>
        <v>0</v>
      </c>
      <c r="R46" s="732">
        <f ca="1">SUM(R39:R45)</f>
        <v>257440.34707977928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4032.3779543619698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4032.3779543619698</v>
      </c>
    </row>
    <row r="50" spans="1:18">
      <c r="A50" s="825" t="s">
        <v>307</v>
      </c>
      <c r="B50" s="835"/>
      <c r="C50" s="703">
        <f ca="1">transport!B18</f>
        <v>23.073142689367465</v>
      </c>
      <c r="D50" s="703">
        <f>transport!C18</f>
        <v>0</v>
      </c>
      <c r="E50" s="703">
        <f>transport!D18</f>
        <v>55.877868500014252</v>
      </c>
      <c r="F50" s="703">
        <f>transport!E18</f>
        <v>260.44089379040634</v>
      </c>
      <c r="G50" s="703">
        <f>transport!F18</f>
        <v>0</v>
      </c>
      <c r="H50" s="703">
        <f>transport!G18</f>
        <v>108968.57940692372</v>
      </c>
      <c r="I50" s="703">
        <f>transport!H18</f>
        <v>18760.159110445238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128068.13042234874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23.073142689367465</v>
      </c>
      <c r="D52" s="732">
        <f t="shared" ref="D52:Q52" ca="1" si="6">SUM(D48:D51)</f>
        <v>0</v>
      </c>
      <c r="E52" s="732">
        <f t="shared" si="6"/>
        <v>55.877868500014252</v>
      </c>
      <c r="F52" s="732">
        <f t="shared" si="6"/>
        <v>260.44089379040634</v>
      </c>
      <c r="G52" s="732">
        <f t="shared" si="6"/>
        <v>0</v>
      </c>
      <c r="H52" s="732">
        <f t="shared" si="6"/>
        <v>113000.95736128569</v>
      </c>
      <c r="I52" s="732">
        <f t="shared" si="6"/>
        <v>18760.159110445238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132100.5083767107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110.87614829033809</v>
      </c>
      <c r="D54" s="703">
        <f ca="1">+landbouw!C12</f>
        <v>0</v>
      </c>
      <c r="E54" s="703">
        <f>+landbouw!D12</f>
        <v>102.25634667600002</v>
      </c>
      <c r="F54" s="703">
        <f>+landbouw!E12</f>
        <v>3.4961829128480693</v>
      </c>
      <c r="G54" s="703">
        <f>+landbouw!F12</f>
        <v>582.91184278152809</v>
      </c>
      <c r="H54" s="703">
        <f>+landbouw!G12</f>
        <v>0</v>
      </c>
      <c r="I54" s="703">
        <f>+landbouw!H12</f>
        <v>0</v>
      </c>
      <c r="J54" s="703">
        <f>+landbouw!I12</f>
        <v>0</v>
      </c>
      <c r="K54" s="703">
        <f>+landbouw!J12</f>
        <v>30.43942203006144</v>
      </c>
      <c r="L54" s="703">
        <f>+landbouw!K12</f>
        <v>0</v>
      </c>
      <c r="M54" s="703">
        <f>+landbouw!L12</f>
        <v>0</v>
      </c>
      <c r="N54" s="703">
        <f>+landbouw!M12</f>
        <v>0</v>
      </c>
      <c r="O54" s="703">
        <f>+landbouw!N12</f>
        <v>0</v>
      </c>
      <c r="P54" s="703">
        <f>+landbouw!O12</f>
        <v>0</v>
      </c>
      <c r="Q54" s="704">
        <f>+landbouw!P12</f>
        <v>0</v>
      </c>
      <c r="R54" s="731">
        <f ca="1">SUM(C54:Q54)</f>
        <v>829.97994269077572</v>
      </c>
    </row>
    <row r="55" spans="1:18" ht="15" thickBot="1">
      <c r="A55" s="825" t="s">
        <v>848</v>
      </c>
      <c r="B55" s="835"/>
      <c r="C55" s="703">
        <f ca="1">C25*'EF ele_warmte'!B12</f>
        <v>790.42700874066236</v>
      </c>
      <c r="D55" s="703"/>
      <c r="E55" s="703">
        <f>E25*EF_CO2_aardgas</f>
        <v>1065.701096</v>
      </c>
      <c r="F55" s="703"/>
      <c r="G55" s="703"/>
      <c r="H55" s="703"/>
      <c r="I55" s="703"/>
      <c r="J55" s="703"/>
      <c r="K55" s="703"/>
      <c r="L55" s="703"/>
      <c r="M55" s="703"/>
      <c r="N55" s="703"/>
      <c r="O55" s="703"/>
      <c r="P55" s="703"/>
      <c r="Q55" s="704"/>
      <c r="R55" s="731">
        <f ca="1">SUM(C55:Q55)</f>
        <v>1856.1281047406624</v>
      </c>
    </row>
    <row r="56" spans="1:18" ht="15.75" thickBot="1">
      <c r="A56" s="823" t="s">
        <v>849</v>
      </c>
      <c r="B56" s="836"/>
      <c r="C56" s="732">
        <f ca="1">SUM(C54:C55)</f>
        <v>901.30315703100041</v>
      </c>
      <c r="D56" s="732">
        <f t="shared" ref="D56:Q56" ca="1" si="7">SUM(D54:D55)</f>
        <v>0</v>
      </c>
      <c r="E56" s="732">
        <f t="shared" si="7"/>
        <v>1167.957442676</v>
      </c>
      <c r="F56" s="732">
        <f t="shared" si="7"/>
        <v>3.4961829128480693</v>
      </c>
      <c r="G56" s="732">
        <f t="shared" si="7"/>
        <v>582.91184278152809</v>
      </c>
      <c r="H56" s="732">
        <f t="shared" si="7"/>
        <v>0</v>
      </c>
      <c r="I56" s="732">
        <f t="shared" si="7"/>
        <v>0</v>
      </c>
      <c r="J56" s="732">
        <f t="shared" si="7"/>
        <v>0</v>
      </c>
      <c r="K56" s="732">
        <f t="shared" si="7"/>
        <v>30.43942203006144</v>
      </c>
      <c r="L56" s="732">
        <f t="shared" si="7"/>
        <v>0</v>
      </c>
      <c r="M56" s="732">
        <f t="shared" si="7"/>
        <v>0</v>
      </c>
      <c r="N56" s="732">
        <f t="shared" si="7"/>
        <v>0</v>
      </c>
      <c r="O56" s="732">
        <f t="shared" si="7"/>
        <v>0</v>
      </c>
      <c r="P56" s="732">
        <f t="shared" si="7"/>
        <v>0</v>
      </c>
      <c r="Q56" s="733">
        <f t="shared" si="7"/>
        <v>0</v>
      </c>
      <c r="R56" s="734">
        <f ca="1">SUM(R54:R55)</f>
        <v>2686.1080474314381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97649.017451356674</v>
      </c>
      <c r="D61" s="740">
        <f t="shared" ref="D61:Q61" ca="1" si="8">D46+D52+D56</f>
        <v>48.887394957983197</v>
      </c>
      <c r="E61" s="740">
        <f t="shared" ca="1" si="8"/>
        <v>74911.288212487445</v>
      </c>
      <c r="F61" s="740">
        <f t="shared" si="8"/>
        <v>8539.5469926197056</v>
      </c>
      <c r="G61" s="740">
        <f t="shared" ca="1" si="8"/>
        <v>78913.089561021407</v>
      </c>
      <c r="H61" s="740">
        <f t="shared" si="8"/>
        <v>113000.95736128569</v>
      </c>
      <c r="I61" s="740">
        <f t="shared" si="8"/>
        <v>18760.159110445238</v>
      </c>
      <c r="J61" s="740">
        <f t="shared" si="8"/>
        <v>0</v>
      </c>
      <c r="K61" s="740">
        <f t="shared" si="8"/>
        <v>404.01741974729646</v>
      </c>
      <c r="L61" s="740">
        <f t="shared" si="8"/>
        <v>0</v>
      </c>
      <c r="M61" s="740">
        <f t="shared" ca="1" si="8"/>
        <v>0</v>
      </c>
      <c r="N61" s="740">
        <f t="shared" si="8"/>
        <v>0</v>
      </c>
      <c r="O61" s="740">
        <f t="shared" ca="1" si="8"/>
        <v>0</v>
      </c>
      <c r="P61" s="740">
        <f t="shared" si="8"/>
        <v>0</v>
      </c>
      <c r="Q61" s="740">
        <f t="shared" si="8"/>
        <v>0</v>
      </c>
      <c r="R61" s="740">
        <f ca="1">R46+R52+R56</f>
        <v>392226.9635039214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0.1856335723990023</v>
      </c>
      <c r="D63" s="781">
        <f t="shared" ca="1" si="9"/>
        <v>0.23764705882352943</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46477.481623838197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36093.627716615767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144</v>
      </c>
      <c r="D76" s="1033">
        <f>'lokale energieproductie'!C8</f>
        <v>169.41176470588235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34.221176470588233</v>
      </c>
      <c r="R76" s="852">
        <v>0</v>
      </c>
    </row>
    <row r="77" spans="1:18" ht="30.75" thickBot="1">
      <c r="A77" s="753" t="s">
        <v>353</v>
      </c>
      <c r="B77" s="750">
        <f>'lokale energieproductie'!B9*IFERROR(SUM(I77:O77)/SUM(D77:O77),0)</f>
        <v>1620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4628.5714285714284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84191.109340453957</v>
      </c>
      <c r="C78" s="755">
        <f>SUM(C72:C77)</f>
        <v>144</v>
      </c>
      <c r="D78" s="756">
        <f t="shared" ref="D78:H78" si="10">SUM(D76:D77)</f>
        <v>169.41176470588235</v>
      </c>
      <c r="E78" s="756">
        <f t="shared" si="10"/>
        <v>0</v>
      </c>
      <c r="F78" s="756">
        <f t="shared" si="10"/>
        <v>0</v>
      </c>
      <c r="G78" s="756">
        <f t="shared" si="10"/>
        <v>0</v>
      </c>
      <c r="H78" s="756">
        <f t="shared" si="10"/>
        <v>0</v>
      </c>
      <c r="I78" s="756">
        <f>SUM(I76:I77)</f>
        <v>0</v>
      </c>
      <c r="J78" s="756">
        <f>SUM(J76:J77)</f>
        <v>4628.5714285714284</v>
      </c>
      <c r="K78" s="756">
        <f t="shared" ref="K78:L78" si="11">SUM(K76:K77)</f>
        <v>0</v>
      </c>
      <c r="L78" s="756">
        <f t="shared" si="11"/>
        <v>0</v>
      </c>
      <c r="M78" s="756">
        <f>SUM(M76:M77)</f>
        <v>0</v>
      </c>
      <c r="N78" s="756">
        <f>SUM(N76:N77)</f>
        <v>0</v>
      </c>
      <c r="O78" s="860">
        <f>SUM(O76:O77)</f>
        <v>0</v>
      </c>
      <c r="P78" s="757">
        <v>0</v>
      </c>
      <c r="Q78" s="757">
        <f>SUM(Q76:Q77)</f>
        <v>34.221176470588233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205.71428571428572</v>
      </c>
      <c r="D87" s="777">
        <f>'lokale energieproductie'!C17</f>
        <v>242.0168067226891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48.887394957983197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205.71428571428572</v>
      </c>
      <c r="D90" s="755">
        <f t="shared" ref="D90:H90" si="12">SUM(D87:D89)</f>
        <v>242.0168067226891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48.887394957983197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121981.91506800515</v>
      </c>
      <c r="C4" s="477">
        <f>huishoudens!C8</f>
        <v>0</v>
      </c>
      <c r="D4" s="477">
        <f>huishoudens!D8</f>
        <v>157820.76708200001</v>
      </c>
      <c r="E4" s="477">
        <f>huishoudens!E8</f>
        <v>2850.951020709052</v>
      </c>
      <c r="F4" s="477">
        <f>huishoudens!F8</f>
        <v>139205.47687035831</v>
      </c>
      <c r="G4" s="477">
        <f>huishoudens!G8</f>
        <v>0</v>
      </c>
      <c r="H4" s="477">
        <f>huishoudens!H8</f>
        <v>0</v>
      </c>
      <c r="I4" s="477">
        <f>huishoudens!I8</f>
        <v>0</v>
      </c>
      <c r="J4" s="477">
        <f>huishoudens!J8</f>
        <v>0</v>
      </c>
      <c r="K4" s="477">
        <f>huishoudens!K8</f>
        <v>0</v>
      </c>
      <c r="L4" s="477">
        <f>huishoudens!L8</f>
        <v>0</v>
      </c>
      <c r="M4" s="477">
        <f>huishoudens!M8</f>
        <v>0</v>
      </c>
      <c r="N4" s="477">
        <f>huishoudens!N8</f>
        <v>10093.382113951262</v>
      </c>
      <c r="O4" s="477">
        <f>huishoudens!O8</f>
        <v>1277.2433333333333</v>
      </c>
      <c r="P4" s="478">
        <f>huishoudens!P8</f>
        <v>2364.2666666666664</v>
      </c>
      <c r="Q4" s="479">
        <f>SUM(B4:P4)</f>
        <v>435594.00215502374</v>
      </c>
    </row>
    <row r="5" spans="1:17">
      <c r="A5" s="476" t="s">
        <v>156</v>
      </c>
      <c r="B5" s="477">
        <f ca="1">tertiair!B16</f>
        <v>151179.86199999999</v>
      </c>
      <c r="C5" s="477">
        <f ca="1">tertiair!C16</f>
        <v>205.71428571428572</v>
      </c>
      <c r="D5" s="477">
        <f ca="1">tertiair!D16</f>
        <v>122639.59273057144</v>
      </c>
      <c r="E5" s="477">
        <f>tertiair!E16</f>
        <v>2415.9207825185695</v>
      </c>
      <c r="F5" s="477">
        <f ca="1">tertiair!F16</f>
        <v>36560.406654188482</v>
      </c>
      <c r="G5" s="477">
        <f>tertiair!G16</f>
        <v>0</v>
      </c>
      <c r="H5" s="477">
        <f>tertiair!H16</f>
        <v>0</v>
      </c>
      <c r="I5" s="477">
        <f>tertiair!I16</f>
        <v>0</v>
      </c>
      <c r="J5" s="477">
        <f>tertiair!J16</f>
        <v>0</v>
      </c>
      <c r="K5" s="477">
        <f>tertiair!K16</f>
        <v>0</v>
      </c>
      <c r="L5" s="477">
        <f ca="1">tertiair!L16</f>
        <v>0</v>
      </c>
      <c r="M5" s="477">
        <f>tertiair!M16</f>
        <v>0</v>
      </c>
      <c r="N5" s="477">
        <f ca="1">tertiair!N16</f>
        <v>8639.1861186028109</v>
      </c>
      <c r="O5" s="477">
        <f>tertiair!O16</f>
        <v>4.6900000000000004</v>
      </c>
      <c r="P5" s="478">
        <f>tertiair!P16</f>
        <v>95.333333333333343</v>
      </c>
      <c r="Q5" s="476">
        <f t="shared" ref="Q5:Q14" ca="1" si="0">SUM(B5:P5)</f>
        <v>321740.70590492891</v>
      </c>
    </row>
    <row r="6" spans="1:17">
      <c r="A6" s="476" t="s">
        <v>194</v>
      </c>
      <c r="B6" s="477">
        <f>'openbare verlichting'!B8</f>
        <v>4007.2539999999999</v>
      </c>
      <c r="C6" s="477"/>
      <c r="D6" s="477"/>
      <c r="E6" s="477"/>
      <c r="F6" s="477"/>
      <c r="G6" s="477"/>
      <c r="H6" s="477"/>
      <c r="I6" s="477"/>
      <c r="J6" s="477"/>
      <c r="K6" s="477"/>
      <c r="L6" s="477"/>
      <c r="M6" s="477"/>
      <c r="N6" s="477"/>
      <c r="O6" s="477"/>
      <c r="P6" s="478"/>
      <c r="Q6" s="476">
        <f t="shared" si="0"/>
        <v>4007.2539999999999</v>
      </c>
    </row>
    <row r="7" spans="1:17">
      <c r="A7" s="476" t="s">
        <v>112</v>
      </c>
      <c r="B7" s="477">
        <f>landbouw!B8</f>
        <v>597.28499999999997</v>
      </c>
      <c r="C7" s="477">
        <f>landbouw!C8</f>
        <v>0</v>
      </c>
      <c r="D7" s="477">
        <f>landbouw!D8</f>
        <v>506.21953800000006</v>
      </c>
      <c r="E7" s="477">
        <f>landbouw!E8</f>
        <v>15.401686840740393</v>
      </c>
      <c r="F7" s="477">
        <f>landbouw!F8</f>
        <v>2183.1904224027267</v>
      </c>
      <c r="G7" s="477">
        <f>landbouw!G8</f>
        <v>0</v>
      </c>
      <c r="H7" s="477">
        <f>landbouw!H8</f>
        <v>0</v>
      </c>
      <c r="I7" s="477">
        <f>landbouw!I8</f>
        <v>0</v>
      </c>
      <c r="J7" s="477">
        <f>landbouw!J8</f>
        <v>85.987067881529498</v>
      </c>
      <c r="K7" s="477">
        <f>landbouw!K8</f>
        <v>0</v>
      </c>
      <c r="L7" s="477">
        <f>landbouw!L8</f>
        <v>0</v>
      </c>
      <c r="M7" s="477">
        <f>landbouw!M8</f>
        <v>0</v>
      </c>
      <c r="N7" s="477">
        <f>landbouw!N8</f>
        <v>0</v>
      </c>
      <c r="O7" s="477">
        <f>landbouw!O8</f>
        <v>0</v>
      </c>
      <c r="P7" s="478">
        <f>landbouw!P8</f>
        <v>0</v>
      </c>
      <c r="Q7" s="476">
        <f t="shared" si="0"/>
        <v>3388.0837151249971</v>
      </c>
    </row>
    <row r="8" spans="1:17">
      <c r="A8" s="476" t="s">
        <v>638</v>
      </c>
      <c r="B8" s="477">
        <f>industrie!B18</f>
        <v>243882.41399999996</v>
      </c>
      <c r="C8" s="477">
        <f>industrie!C18</f>
        <v>0</v>
      </c>
      <c r="D8" s="477">
        <f>industrie!D18</f>
        <v>84329.010986000008</v>
      </c>
      <c r="E8" s="477">
        <f>industrie!E18</f>
        <v>31189.559544421943</v>
      </c>
      <c r="F8" s="477">
        <f>industrie!F18</f>
        <v>117605.56860369243</v>
      </c>
      <c r="G8" s="477">
        <f>industrie!G18</f>
        <v>0</v>
      </c>
      <c r="H8" s="477">
        <f>industrie!H18</f>
        <v>0</v>
      </c>
      <c r="I8" s="477">
        <f>industrie!I18</f>
        <v>0</v>
      </c>
      <c r="J8" s="477">
        <f>industrie!J18</f>
        <v>1055.3050782972741</v>
      </c>
      <c r="K8" s="477">
        <f>industrie!K18</f>
        <v>0</v>
      </c>
      <c r="L8" s="477">
        <f>industrie!L18</f>
        <v>0</v>
      </c>
      <c r="M8" s="477">
        <f>industrie!M18</f>
        <v>0</v>
      </c>
      <c r="N8" s="477">
        <f>industrie!N18</f>
        <v>70686.306156098188</v>
      </c>
      <c r="O8" s="477">
        <f>industrie!O18</f>
        <v>0</v>
      </c>
      <c r="P8" s="478">
        <f>industrie!P18</f>
        <v>0</v>
      </c>
      <c r="Q8" s="476">
        <f t="shared" si="0"/>
        <v>548748.16436850978</v>
      </c>
    </row>
    <row r="9" spans="1:17" s="482" customFormat="1">
      <c r="A9" s="480" t="s">
        <v>564</v>
      </c>
      <c r="B9" s="481">
        <f>transport!B14</f>
        <v>124.29401853978149</v>
      </c>
      <c r="C9" s="481">
        <f>transport!C14</f>
        <v>0</v>
      </c>
      <c r="D9" s="481">
        <f>transport!D14</f>
        <v>276.62311138620913</v>
      </c>
      <c r="E9" s="481">
        <f>transport!E14</f>
        <v>1147.3167127330676</v>
      </c>
      <c r="F9" s="481">
        <f>transport!F14</f>
        <v>0</v>
      </c>
      <c r="G9" s="481">
        <f>transport!G14</f>
        <v>408122.02025065059</v>
      </c>
      <c r="H9" s="481">
        <f>transport!H14</f>
        <v>75342.004459619435</v>
      </c>
      <c r="I9" s="481">
        <f>transport!I14</f>
        <v>0</v>
      </c>
      <c r="J9" s="481">
        <f>transport!J14</f>
        <v>0</v>
      </c>
      <c r="K9" s="481">
        <f>transport!K14</f>
        <v>0</v>
      </c>
      <c r="L9" s="481">
        <f>transport!L14</f>
        <v>0</v>
      </c>
      <c r="M9" s="481">
        <f>transport!M14</f>
        <v>15115.095814646302</v>
      </c>
      <c r="N9" s="481">
        <f>transport!N14</f>
        <v>0</v>
      </c>
      <c r="O9" s="481">
        <f>transport!O14</f>
        <v>0</v>
      </c>
      <c r="P9" s="481">
        <f>transport!P14</f>
        <v>0</v>
      </c>
      <c r="Q9" s="480">
        <f>SUM(B9:P9)</f>
        <v>500127.35436757532</v>
      </c>
    </row>
    <row r="10" spans="1:17">
      <c r="A10" s="476" t="s">
        <v>554</v>
      </c>
      <c r="B10" s="477">
        <f>transport!B54</f>
        <v>0</v>
      </c>
      <c r="C10" s="477">
        <f>transport!C54</f>
        <v>0</v>
      </c>
      <c r="D10" s="477">
        <f>transport!D54</f>
        <v>0</v>
      </c>
      <c r="E10" s="477">
        <f>transport!E54</f>
        <v>0</v>
      </c>
      <c r="F10" s="477">
        <f>transport!F54</f>
        <v>0</v>
      </c>
      <c r="G10" s="477">
        <f>transport!G54</f>
        <v>15102.539154913744</v>
      </c>
      <c r="H10" s="477">
        <f>transport!H54</f>
        <v>0</v>
      </c>
      <c r="I10" s="477">
        <f>transport!I54</f>
        <v>0</v>
      </c>
      <c r="J10" s="477">
        <f>transport!J54</f>
        <v>0</v>
      </c>
      <c r="K10" s="477">
        <f>transport!K54</f>
        <v>0</v>
      </c>
      <c r="L10" s="477">
        <f>transport!L54</f>
        <v>0</v>
      </c>
      <c r="M10" s="477">
        <f>transport!M54</f>
        <v>468.44697745534171</v>
      </c>
      <c r="N10" s="477">
        <f>transport!N54</f>
        <v>0</v>
      </c>
      <c r="O10" s="477">
        <f>transport!O54</f>
        <v>0</v>
      </c>
      <c r="P10" s="478">
        <f>transport!P54</f>
        <v>0</v>
      </c>
      <c r="Q10" s="476">
        <f t="shared" si="0"/>
        <v>15570.986132369086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4257.9960000000001</v>
      </c>
      <c r="C14" s="484"/>
      <c r="D14" s="484">
        <f>'SEAP template'!E25</f>
        <v>5275.7479999999996</v>
      </c>
      <c r="E14" s="484"/>
      <c r="F14" s="484"/>
      <c r="G14" s="484"/>
      <c r="H14" s="484"/>
      <c r="I14" s="484"/>
      <c r="J14" s="484"/>
      <c r="K14" s="484"/>
      <c r="L14" s="484"/>
      <c r="M14" s="484"/>
      <c r="N14" s="484"/>
      <c r="O14" s="484"/>
      <c r="P14" s="485"/>
      <c r="Q14" s="476">
        <f t="shared" si="0"/>
        <v>9533.7439999999988</v>
      </c>
    </row>
    <row r="15" spans="1:17" s="486" customFormat="1">
      <c r="A15" s="1038" t="s">
        <v>558</v>
      </c>
      <c r="B15" s="978">
        <f ca="1">SUM(B4:B14)</f>
        <v>526031.02008654492</v>
      </c>
      <c r="C15" s="978">
        <f t="shared" ref="C15:Q15" ca="1" si="1">SUM(C4:C14)</f>
        <v>205.71428571428572</v>
      </c>
      <c r="D15" s="978">
        <f t="shared" ca="1" si="1"/>
        <v>370847.96144795767</v>
      </c>
      <c r="E15" s="978">
        <f t="shared" si="1"/>
        <v>37619.149747223375</v>
      </c>
      <c r="F15" s="978">
        <f t="shared" ca="1" si="1"/>
        <v>295554.64255064196</v>
      </c>
      <c r="G15" s="978">
        <f t="shared" si="1"/>
        <v>423224.55940556433</v>
      </c>
      <c r="H15" s="978">
        <f t="shared" si="1"/>
        <v>75342.004459619435</v>
      </c>
      <c r="I15" s="978">
        <f t="shared" si="1"/>
        <v>0</v>
      </c>
      <c r="J15" s="978">
        <f t="shared" si="1"/>
        <v>1141.2921461788037</v>
      </c>
      <c r="K15" s="978">
        <f t="shared" si="1"/>
        <v>0</v>
      </c>
      <c r="L15" s="978">
        <f t="shared" ca="1" si="1"/>
        <v>0</v>
      </c>
      <c r="M15" s="978">
        <f t="shared" si="1"/>
        <v>15583.542792101643</v>
      </c>
      <c r="N15" s="978">
        <f t="shared" ca="1" si="1"/>
        <v>89418.874388652257</v>
      </c>
      <c r="O15" s="978">
        <f t="shared" si="1"/>
        <v>1281.9333333333334</v>
      </c>
      <c r="P15" s="978">
        <f t="shared" si="1"/>
        <v>2459.6</v>
      </c>
      <c r="Q15" s="978">
        <f t="shared" ca="1" si="1"/>
        <v>1838710.2946435318</v>
      </c>
    </row>
    <row r="17" spans="1:17">
      <c r="A17" s="487" t="s">
        <v>559</v>
      </c>
      <c r="B17" s="786">
        <f ca="1">huishoudens!B10</f>
        <v>0.18563357239900233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22643.938662145487</v>
      </c>
      <c r="C22" s="477">
        <f t="shared" ref="C22:C32" ca="1" si="3">C4*$C$17</f>
        <v>0</v>
      </c>
      <c r="D22" s="477">
        <f t="shared" ref="D22:D32" si="4">D4*$D$17</f>
        <v>31879.794950564003</v>
      </c>
      <c r="E22" s="477">
        <f t="shared" ref="E22:E32" si="5">E4*$E$17</f>
        <v>647.16588170095486</v>
      </c>
      <c r="F22" s="477">
        <f t="shared" ref="F22:F32" si="6">F4*$F$17</f>
        <v>37167.862324385671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92338.761818796105</v>
      </c>
    </row>
    <row r="23" spans="1:17">
      <c r="A23" s="476" t="s">
        <v>156</v>
      </c>
      <c r="B23" s="477">
        <f t="shared" ca="1" si="2"/>
        <v>28064.05785784818</v>
      </c>
      <c r="C23" s="477">
        <f t="shared" ca="1" si="3"/>
        <v>48.887394957983197</v>
      </c>
      <c r="D23" s="477">
        <f t="shared" ca="1" si="4"/>
        <v>24773.197731575434</v>
      </c>
      <c r="E23" s="477">
        <f t="shared" si="5"/>
        <v>548.4140176317153</v>
      </c>
      <c r="F23" s="477">
        <f t="shared" ca="1" si="6"/>
        <v>9761.628576668325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63196.185578681645</v>
      </c>
    </row>
    <row r="24" spans="1:17">
      <c r="A24" s="476" t="s">
        <v>194</v>
      </c>
      <c r="B24" s="477">
        <f t="shared" ca="1" si="2"/>
        <v>743.8808755301917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743.8808755301917</v>
      </c>
    </row>
    <row r="25" spans="1:17">
      <c r="A25" s="476" t="s">
        <v>112</v>
      </c>
      <c r="B25" s="477">
        <f t="shared" ca="1" si="2"/>
        <v>110.87614829033809</v>
      </c>
      <c r="C25" s="477">
        <f t="shared" ca="1" si="3"/>
        <v>0</v>
      </c>
      <c r="D25" s="477">
        <f t="shared" si="4"/>
        <v>102.25634667600002</v>
      </c>
      <c r="E25" s="477">
        <f t="shared" si="5"/>
        <v>3.4961829128480693</v>
      </c>
      <c r="F25" s="477">
        <f t="shared" si="6"/>
        <v>582.91184278152809</v>
      </c>
      <c r="G25" s="477">
        <f t="shared" si="7"/>
        <v>0</v>
      </c>
      <c r="H25" s="477">
        <f t="shared" si="8"/>
        <v>0</v>
      </c>
      <c r="I25" s="477">
        <f t="shared" si="9"/>
        <v>0</v>
      </c>
      <c r="J25" s="477">
        <f t="shared" si="10"/>
        <v>30.43942203006144</v>
      </c>
      <c r="K25" s="477">
        <f t="shared" si="11"/>
        <v>0</v>
      </c>
      <c r="L25" s="477">
        <f t="shared" si="12"/>
        <v>0</v>
      </c>
      <c r="M25" s="477">
        <f t="shared" si="13"/>
        <v>0</v>
      </c>
      <c r="N25" s="477">
        <f t="shared" si="14"/>
        <v>0</v>
      </c>
      <c r="O25" s="477">
        <f t="shared" si="15"/>
        <v>0</v>
      </c>
      <c r="P25" s="478">
        <f t="shared" si="16"/>
        <v>0</v>
      </c>
      <c r="Q25" s="476">
        <f t="shared" ca="1" si="17"/>
        <v>829.97994269077572</v>
      </c>
    </row>
    <row r="26" spans="1:17">
      <c r="A26" s="476" t="s">
        <v>638</v>
      </c>
      <c r="B26" s="477">
        <f t="shared" ca="1" si="2"/>
        <v>45272.76375611245</v>
      </c>
      <c r="C26" s="477">
        <f t="shared" ca="1" si="3"/>
        <v>0</v>
      </c>
      <c r="D26" s="477">
        <f t="shared" si="4"/>
        <v>17034.460219172004</v>
      </c>
      <c r="E26" s="477">
        <f t="shared" si="5"/>
        <v>7080.0300165837816</v>
      </c>
      <c r="F26" s="477">
        <f t="shared" si="6"/>
        <v>31400.68681718588</v>
      </c>
      <c r="G26" s="477">
        <f t="shared" si="7"/>
        <v>0</v>
      </c>
      <c r="H26" s="477">
        <f t="shared" si="8"/>
        <v>0</v>
      </c>
      <c r="I26" s="477">
        <f t="shared" si="9"/>
        <v>0</v>
      </c>
      <c r="J26" s="477">
        <f t="shared" si="10"/>
        <v>373.57799771723501</v>
      </c>
      <c r="K26" s="477">
        <f t="shared" si="11"/>
        <v>0</v>
      </c>
      <c r="L26" s="477">
        <f t="shared" si="12"/>
        <v>0</v>
      </c>
      <c r="M26" s="477">
        <f t="shared" si="13"/>
        <v>0</v>
      </c>
      <c r="N26" s="477">
        <f t="shared" si="14"/>
        <v>0</v>
      </c>
      <c r="O26" s="477">
        <f t="shared" si="15"/>
        <v>0</v>
      </c>
      <c r="P26" s="478">
        <f t="shared" si="16"/>
        <v>0</v>
      </c>
      <c r="Q26" s="476">
        <f t="shared" ca="1" si="17"/>
        <v>101161.51880677135</v>
      </c>
    </row>
    <row r="27" spans="1:17" s="482" customFormat="1">
      <c r="A27" s="480" t="s">
        <v>564</v>
      </c>
      <c r="B27" s="780">
        <f t="shared" ca="1" si="2"/>
        <v>23.073142689367465</v>
      </c>
      <c r="C27" s="481">
        <f t="shared" ca="1" si="3"/>
        <v>0</v>
      </c>
      <c r="D27" s="481">
        <f t="shared" si="4"/>
        <v>55.877868500014252</v>
      </c>
      <c r="E27" s="481">
        <f t="shared" si="5"/>
        <v>260.44089379040634</v>
      </c>
      <c r="F27" s="481">
        <f t="shared" si="6"/>
        <v>0</v>
      </c>
      <c r="G27" s="481">
        <f t="shared" si="7"/>
        <v>108968.57940692372</v>
      </c>
      <c r="H27" s="481">
        <f t="shared" si="8"/>
        <v>18760.159110445238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128068.13042234874</v>
      </c>
    </row>
    <row r="28" spans="1:17">
      <c r="A28" s="476" t="s">
        <v>554</v>
      </c>
      <c r="B28" s="477">
        <f t="shared" ca="1" si="2"/>
        <v>0</v>
      </c>
      <c r="C28" s="477">
        <f t="shared" ca="1" si="3"/>
        <v>0</v>
      </c>
      <c r="D28" s="477">
        <f t="shared" si="4"/>
        <v>0</v>
      </c>
      <c r="E28" s="477">
        <f t="shared" si="5"/>
        <v>0</v>
      </c>
      <c r="F28" s="477">
        <f t="shared" si="6"/>
        <v>0</v>
      </c>
      <c r="G28" s="477">
        <f t="shared" si="7"/>
        <v>4032.3779543619698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4032.3779543619698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790.42700874066236</v>
      </c>
      <c r="C32" s="477">
        <f t="shared" ca="1" si="3"/>
        <v>0</v>
      </c>
      <c r="D32" s="477">
        <f t="shared" si="4"/>
        <v>1065.701096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1856.1281047406624</v>
      </c>
    </row>
    <row r="33" spans="1:17" s="486" customFormat="1">
      <c r="A33" s="1038" t="s">
        <v>558</v>
      </c>
      <c r="B33" s="978">
        <f ca="1">SUM(B22:B32)</f>
        <v>97649.017451356674</v>
      </c>
      <c r="C33" s="978">
        <f t="shared" ref="C33:Q33" ca="1" si="18">SUM(C22:C32)</f>
        <v>48.887394957983197</v>
      </c>
      <c r="D33" s="978">
        <f t="shared" ca="1" si="18"/>
        <v>74911.288212487445</v>
      </c>
      <c r="E33" s="978">
        <f t="shared" si="18"/>
        <v>8539.5469926197056</v>
      </c>
      <c r="F33" s="978">
        <f t="shared" ca="1" si="18"/>
        <v>78913.089561021407</v>
      </c>
      <c r="G33" s="978">
        <f t="shared" si="18"/>
        <v>113000.95736128569</v>
      </c>
      <c r="H33" s="978">
        <f t="shared" si="18"/>
        <v>18760.159110445238</v>
      </c>
      <c r="I33" s="978">
        <f t="shared" si="18"/>
        <v>0</v>
      </c>
      <c r="J33" s="978">
        <f t="shared" si="18"/>
        <v>404.01741974729646</v>
      </c>
      <c r="K33" s="978">
        <f t="shared" si="18"/>
        <v>0</v>
      </c>
      <c r="L33" s="978">
        <f t="shared" ca="1" si="18"/>
        <v>0</v>
      </c>
      <c r="M33" s="978">
        <f t="shared" si="18"/>
        <v>0</v>
      </c>
      <c r="N33" s="978">
        <f t="shared" ca="1" si="18"/>
        <v>0</v>
      </c>
      <c r="O33" s="978">
        <f t="shared" si="18"/>
        <v>0</v>
      </c>
      <c r="P33" s="978">
        <f t="shared" si="18"/>
        <v>0</v>
      </c>
      <c r="Q33" s="978">
        <f t="shared" ca="1" si="18"/>
        <v>392226.9635039214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46477.481623838197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36093.627716615767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144</v>
      </c>
      <c r="D8" s="1055">
        <f>'SEAP template'!D76</f>
        <v>169.41176470588235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34.221176470588233</v>
      </c>
    </row>
    <row r="9" spans="1:16">
      <c r="A9" s="1058" t="s">
        <v>863</v>
      </c>
      <c r="B9" s="1055">
        <f>'SEAP template'!B77</f>
        <v>1620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4628.5714285714284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84191.109340453957</v>
      </c>
      <c r="C10" s="1059">
        <f>SUM(C4:C9)</f>
        <v>144</v>
      </c>
      <c r="D10" s="1059">
        <f t="shared" ref="D10:H10" si="0">SUM(D8:D9)</f>
        <v>169.41176470588235</v>
      </c>
      <c r="E10" s="1059">
        <f t="shared" si="0"/>
        <v>0</v>
      </c>
      <c r="F10" s="1059">
        <f t="shared" si="0"/>
        <v>0</v>
      </c>
      <c r="G10" s="1059">
        <f t="shared" si="0"/>
        <v>0</v>
      </c>
      <c r="H10" s="1059">
        <f t="shared" si="0"/>
        <v>0</v>
      </c>
      <c r="I10" s="1059">
        <f>SUM(I8:I9)</f>
        <v>0</v>
      </c>
      <c r="J10" s="1059">
        <f>SUM(J8:J9)</f>
        <v>4628.5714285714284</v>
      </c>
      <c r="K10" s="1059">
        <f t="shared" ref="K10:L10" si="1">SUM(K8:K9)</f>
        <v>0</v>
      </c>
      <c r="L10" s="1059">
        <f t="shared" si="1"/>
        <v>0</v>
      </c>
      <c r="M10" s="1059">
        <f>SUM(M8:M9)</f>
        <v>0</v>
      </c>
      <c r="N10" s="1059">
        <f>SUM(N8:N9)</f>
        <v>0</v>
      </c>
      <c r="O10" s="1059">
        <f>SUM(O8:O9)</f>
        <v>0</v>
      </c>
      <c r="P10" s="1059">
        <f>SUM(P8:P9)</f>
        <v>34.221176470588233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0.18563357239900233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205.71428571428572</v>
      </c>
      <c r="D17" s="1056">
        <f>'SEAP template'!D87</f>
        <v>242.0168067226891</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48.887394957983197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205.71428571428572</v>
      </c>
      <c r="D20" s="1059">
        <f t="shared" ref="D20:H20" si="2">SUM(D17:D19)</f>
        <v>242.0168067226891</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48.887394957983197</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0.18563357239900233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0.18563357239900233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0.18563357239900233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25461</v>
      </c>
      <c r="C9" s="342">
        <v>25945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385.04</v>
      </c>
    </row>
    <row r="15" spans="1:6">
      <c r="A15" s="348" t="s">
        <v>184</v>
      </c>
      <c r="B15" s="334">
        <v>0</v>
      </c>
    </row>
    <row r="16" spans="1:6">
      <c r="A16" s="348" t="s">
        <v>6</v>
      </c>
      <c r="B16" s="334">
        <v>0</v>
      </c>
    </row>
    <row r="17" spans="1:6">
      <c r="A17" s="348" t="s">
        <v>7</v>
      </c>
      <c r="B17" s="334">
        <v>8</v>
      </c>
    </row>
    <row r="18" spans="1:6">
      <c r="A18" s="348" t="s">
        <v>8</v>
      </c>
      <c r="B18" s="334">
        <v>5</v>
      </c>
    </row>
    <row r="19" spans="1:6">
      <c r="A19" s="348" t="s">
        <v>9</v>
      </c>
      <c r="B19" s="334">
        <v>4</v>
      </c>
    </row>
    <row r="20" spans="1:6">
      <c r="A20" s="348" t="s">
        <v>10</v>
      </c>
      <c r="B20" s="334">
        <v>22</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90</v>
      </c>
    </row>
    <row r="27" spans="1:6">
      <c r="A27" s="348" t="s">
        <v>17</v>
      </c>
      <c r="B27" s="334">
        <v>4</v>
      </c>
    </row>
    <row r="28" spans="1:6" s="356" customFormat="1">
      <c r="A28" s="355" t="s">
        <v>18</v>
      </c>
      <c r="B28" s="355">
        <v>29</v>
      </c>
    </row>
    <row r="29" spans="1:6">
      <c r="A29" s="355" t="s">
        <v>884</v>
      </c>
      <c r="B29" s="355">
        <v>74</v>
      </c>
      <c r="C29" s="356"/>
      <c r="D29" s="356"/>
      <c r="E29" s="356"/>
      <c r="F29" s="356"/>
    </row>
    <row r="30" spans="1:6">
      <c r="A30" s="355" t="s">
        <v>885</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82880</v>
      </c>
    </row>
    <row r="36" spans="1:6">
      <c r="A36" s="348" t="s">
        <v>25</v>
      </c>
      <c r="B36" s="348" t="s">
        <v>27</v>
      </c>
      <c r="C36" s="334">
        <v>0</v>
      </c>
      <c r="D36" s="334">
        <v>0</v>
      </c>
      <c r="E36" s="334">
        <v>35</v>
      </c>
      <c r="F36" s="334">
        <v>413613</v>
      </c>
    </row>
    <row r="37" spans="1:6">
      <c r="A37" s="348" t="s">
        <v>25</v>
      </c>
      <c r="B37" s="348" t="s">
        <v>28</v>
      </c>
      <c r="C37" s="334">
        <v>0</v>
      </c>
      <c r="D37" s="334">
        <v>0</v>
      </c>
      <c r="E37" s="334">
        <v>0</v>
      </c>
      <c r="F37" s="334">
        <v>0</v>
      </c>
    </row>
    <row r="38" spans="1:6">
      <c r="A38" s="348" t="s">
        <v>25</v>
      </c>
      <c r="B38" s="348" t="s">
        <v>29</v>
      </c>
      <c r="C38" s="334">
        <v>0</v>
      </c>
      <c r="D38" s="334">
        <v>0</v>
      </c>
      <c r="E38" s="334">
        <v>0</v>
      </c>
      <c r="F38" s="334">
        <v>58410</v>
      </c>
    </row>
    <row r="39" spans="1:6">
      <c r="A39" s="348" t="s">
        <v>30</v>
      </c>
      <c r="B39" s="348" t="s">
        <v>31</v>
      </c>
      <c r="C39" s="334">
        <v>11862</v>
      </c>
      <c r="D39" s="334">
        <v>174967591</v>
      </c>
      <c r="E39" s="334">
        <v>25953</v>
      </c>
      <c r="F39" s="334">
        <v>111330318</v>
      </c>
    </row>
    <row r="40" spans="1:6">
      <c r="A40" s="348" t="s">
        <v>30</v>
      </c>
      <c r="B40" s="348" t="s">
        <v>29</v>
      </c>
      <c r="C40" s="334">
        <v>0</v>
      </c>
      <c r="D40" s="334">
        <v>0</v>
      </c>
      <c r="E40" s="334">
        <v>0</v>
      </c>
      <c r="F40" s="334">
        <v>0</v>
      </c>
    </row>
    <row r="41" spans="1:6">
      <c r="A41" s="348" t="s">
        <v>32</v>
      </c>
      <c r="B41" s="348" t="s">
        <v>33</v>
      </c>
      <c r="C41" s="334">
        <v>177</v>
      </c>
      <c r="D41" s="334">
        <v>18244549</v>
      </c>
      <c r="E41" s="334">
        <v>579</v>
      </c>
      <c r="F41" s="334">
        <v>115741397</v>
      </c>
    </row>
    <row r="42" spans="1:6">
      <c r="A42" s="348" t="s">
        <v>32</v>
      </c>
      <c r="B42" s="348" t="s">
        <v>34</v>
      </c>
      <c r="C42" s="334">
        <v>5</v>
      </c>
      <c r="D42" s="334">
        <v>9368877</v>
      </c>
      <c r="E42" s="334">
        <v>9</v>
      </c>
      <c r="F42" s="334">
        <v>56858980</v>
      </c>
    </row>
    <row r="43" spans="1:6">
      <c r="A43" s="348" t="s">
        <v>32</v>
      </c>
      <c r="B43" s="348" t="s">
        <v>35</v>
      </c>
      <c r="C43" s="334">
        <v>3</v>
      </c>
      <c r="D43" s="334">
        <v>935047</v>
      </c>
      <c r="E43" s="334">
        <v>3</v>
      </c>
      <c r="F43" s="334">
        <v>1125416</v>
      </c>
    </row>
    <row r="44" spans="1:6">
      <c r="A44" s="348" t="s">
        <v>32</v>
      </c>
      <c r="B44" s="348" t="s">
        <v>36</v>
      </c>
      <c r="C44" s="334">
        <v>45</v>
      </c>
      <c r="D44" s="334">
        <v>42117714</v>
      </c>
      <c r="E44" s="334">
        <v>77</v>
      </c>
      <c r="F44" s="334">
        <v>33278015</v>
      </c>
    </row>
    <row r="45" spans="1:6">
      <c r="A45" s="348" t="s">
        <v>32</v>
      </c>
      <c r="B45" s="348" t="s">
        <v>37</v>
      </c>
      <c r="C45" s="334">
        <v>8</v>
      </c>
      <c r="D45" s="334">
        <v>669926</v>
      </c>
      <c r="E45" s="334">
        <v>15</v>
      </c>
      <c r="F45" s="334">
        <v>744686</v>
      </c>
    </row>
    <row r="46" spans="1:6">
      <c r="A46" s="348" t="s">
        <v>32</v>
      </c>
      <c r="B46" s="348" t="s">
        <v>38</v>
      </c>
      <c r="C46" s="334">
        <v>0</v>
      </c>
      <c r="D46" s="334">
        <v>0</v>
      </c>
      <c r="E46" s="334">
        <v>0</v>
      </c>
      <c r="F46" s="334">
        <v>0</v>
      </c>
    </row>
    <row r="47" spans="1:6">
      <c r="A47" s="348" t="s">
        <v>32</v>
      </c>
      <c r="B47" s="348" t="s">
        <v>39</v>
      </c>
      <c r="C47" s="334">
        <v>9</v>
      </c>
      <c r="D47" s="334">
        <v>7129716</v>
      </c>
      <c r="E47" s="334">
        <v>14</v>
      </c>
      <c r="F47" s="334">
        <v>15743008</v>
      </c>
    </row>
    <row r="48" spans="1:6">
      <c r="A48" s="348" t="s">
        <v>32</v>
      </c>
      <c r="B48" s="348" t="s">
        <v>29</v>
      </c>
      <c r="C48" s="334">
        <v>0</v>
      </c>
      <c r="D48" s="334">
        <v>0</v>
      </c>
      <c r="E48" s="334">
        <v>0</v>
      </c>
      <c r="F48" s="334">
        <v>65302</v>
      </c>
    </row>
    <row r="49" spans="1:6">
      <c r="A49" s="348" t="s">
        <v>32</v>
      </c>
      <c r="B49" s="348" t="s">
        <v>40</v>
      </c>
      <c r="C49" s="334">
        <v>9</v>
      </c>
      <c r="D49" s="334">
        <v>8709054</v>
      </c>
      <c r="E49" s="334">
        <v>11</v>
      </c>
      <c r="F49" s="334">
        <v>12452286</v>
      </c>
    </row>
    <row r="50" spans="1:6">
      <c r="A50" s="348" t="s">
        <v>32</v>
      </c>
      <c r="B50" s="348" t="s">
        <v>41</v>
      </c>
      <c r="C50" s="334">
        <v>13</v>
      </c>
      <c r="D50" s="334">
        <v>6316260</v>
      </c>
      <c r="E50" s="334">
        <v>35</v>
      </c>
      <c r="F50" s="334">
        <v>7873324</v>
      </c>
    </row>
    <row r="51" spans="1:6">
      <c r="A51" s="348" t="s">
        <v>42</v>
      </c>
      <c r="B51" s="348" t="s">
        <v>43</v>
      </c>
      <c r="C51" s="334">
        <v>18</v>
      </c>
      <c r="D51" s="334">
        <v>561219</v>
      </c>
      <c r="E51" s="334">
        <v>46</v>
      </c>
      <c r="F51" s="334">
        <v>597285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366</v>
      </c>
      <c r="F54" s="334">
        <v>4007254</v>
      </c>
    </row>
    <row r="55" spans="1:6">
      <c r="A55" s="348" t="s">
        <v>46</v>
      </c>
      <c r="B55" s="348" t="s">
        <v>29</v>
      </c>
      <c r="C55" s="334">
        <v>0</v>
      </c>
      <c r="D55" s="334">
        <v>0</v>
      </c>
      <c r="E55" s="334">
        <v>0</v>
      </c>
      <c r="F55" s="334">
        <v>0</v>
      </c>
    </row>
    <row r="56" spans="1:6">
      <c r="A56" s="348" t="s">
        <v>48</v>
      </c>
      <c r="B56" s="348" t="s">
        <v>29</v>
      </c>
      <c r="C56" s="334">
        <v>203</v>
      </c>
      <c r="D56" s="334">
        <v>5275748</v>
      </c>
      <c r="E56" s="334">
        <v>614</v>
      </c>
      <c r="F56" s="334">
        <v>4257996</v>
      </c>
    </row>
    <row r="57" spans="1:6">
      <c r="A57" s="348" t="s">
        <v>49</v>
      </c>
      <c r="B57" s="348" t="s">
        <v>50</v>
      </c>
      <c r="C57" s="334">
        <v>189</v>
      </c>
      <c r="D57" s="334">
        <v>12044165</v>
      </c>
      <c r="E57" s="334">
        <v>341</v>
      </c>
      <c r="F57" s="334">
        <v>16273042</v>
      </c>
    </row>
    <row r="58" spans="1:6">
      <c r="A58" s="348" t="s">
        <v>49</v>
      </c>
      <c r="B58" s="348" t="s">
        <v>51</v>
      </c>
      <c r="C58" s="334">
        <v>92</v>
      </c>
      <c r="D58" s="334">
        <v>8978817</v>
      </c>
      <c r="E58" s="334">
        <v>180</v>
      </c>
      <c r="F58" s="334">
        <v>28467203</v>
      </c>
    </row>
    <row r="59" spans="1:6">
      <c r="A59" s="348" t="s">
        <v>49</v>
      </c>
      <c r="B59" s="348" t="s">
        <v>52</v>
      </c>
      <c r="C59" s="334">
        <v>365</v>
      </c>
      <c r="D59" s="334">
        <v>27215223</v>
      </c>
      <c r="E59" s="334">
        <v>970</v>
      </c>
      <c r="F59" s="334">
        <v>45883638</v>
      </c>
    </row>
    <row r="60" spans="1:6">
      <c r="A60" s="348" t="s">
        <v>49</v>
      </c>
      <c r="B60" s="348" t="s">
        <v>53</v>
      </c>
      <c r="C60" s="334">
        <v>178</v>
      </c>
      <c r="D60" s="334">
        <v>10748556</v>
      </c>
      <c r="E60" s="334">
        <v>322</v>
      </c>
      <c r="F60" s="334">
        <v>11386826</v>
      </c>
    </row>
    <row r="61" spans="1:6">
      <c r="A61" s="348" t="s">
        <v>49</v>
      </c>
      <c r="B61" s="348" t="s">
        <v>54</v>
      </c>
      <c r="C61" s="334">
        <v>435</v>
      </c>
      <c r="D61" s="334">
        <v>65767435</v>
      </c>
      <c r="E61" s="334">
        <v>1326</v>
      </c>
      <c r="F61" s="334">
        <v>42305579</v>
      </c>
    </row>
    <row r="62" spans="1:6">
      <c r="A62" s="348" t="s">
        <v>49</v>
      </c>
      <c r="B62" s="348" t="s">
        <v>55</v>
      </c>
      <c r="C62" s="334">
        <v>46</v>
      </c>
      <c r="D62" s="334">
        <v>11666005</v>
      </c>
      <c r="E62" s="334">
        <v>79</v>
      </c>
      <c r="F62" s="334">
        <v>5099574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7282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1287461</v>
      </c>
      <c r="E68" s="334">
        <v>35</v>
      </c>
      <c r="F68" s="334">
        <v>3043809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295651732</v>
      </c>
      <c r="E73" s="475">
        <v>365270300.52731085</v>
      </c>
    </row>
    <row r="74" spans="1:6">
      <c r="A74" s="348" t="s">
        <v>64</v>
      </c>
      <c r="B74" s="348" t="s">
        <v>667</v>
      </c>
      <c r="C74" s="1294" t="s">
        <v>669</v>
      </c>
      <c r="D74" s="475">
        <v>25218651.702734333</v>
      </c>
      <c r="E74" s="475">
        <v>29232180.127648827</v>
      </c>
    </row>
    <row r="75" spans="1:6">
      <c r="A75" s="348" t="s">
        <v>65</v>
      </c>
      <c r="B75" s="348" t="s">
        <v>666</v>
      </c>
      <c r="C75" s="1294" t="s">
        <v>670</v>
      </c>
      <c r="D75" s="475">
        <v>72780407</v>
      </c>
      <c r="E75" s="475">
        <v>92688896.622623146</v>
      </c>
    </row>
    <row r="76" spans="1:6">
      <c r="A76" s="348" t="s">
        <v>65</v>
      </c>
      <c r="B76" s="348" t="s">
        <v>667</v>
      </c>
      <c r="C76" s="1294" t="s">
        <v>671</v>
      </c>
      <c r="D76" s="475">
        <v>970221.7027343337</v>
      </c>
      <c r="E76" s="475">
        <v>1399040.8102196555</v>
      </c>
    </row>
    <row r="77" spans="1:6">
      <c r="A77" s="348" t="s">
        <v>66</v>
      </c>
      <c r="B77" s="348" t="s">
        <v>666</v>
      </c>
      <c r="C77" s="1294" t="s">
        <v>672</v>
      </c>
      <c r="D77" s="475">
        <v>161978981</v>
      </c>
      <c r="E77" s="475">
        <v>180127562.64136457</v>
      </c>
    </row>
    <row r="78" spans="1:6">
      <c r="A78" s="341" t="s">
        <v>66</v>
      </c>
      <c r="B78" s="341" t="s">
        <v>667</v>
      </c>
      <c r="C78" s="341" t="s">
        <v>673</v>
      </c>
      <c r="D78" s="1295">
        <v>30654029</v>
      </c>
      <c r="E78" s="1295">
        <v>32778679.392041236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4182154.5945313326</v>
      </c>
      <c r="C83" s="475">
        <v>4182154.5945313326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46477.481623838197</v>
      </c>
    </row>
    <row r="91" spans="1:6">
      <c r="A91" s="348" t="s">
        <v>68</v>
      </c>
      <c r="B91" s="334">
        <v>10651.597068005147</v>
      </c>
    </row>
    <row r="92" spans="1:6">
      <c r="A92" s="341" t="s">
        <v>69</v>
      </c>
      <c r="B92" s="342">
        <v>25442.030648610624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45</v>
      </c>
      <c r="C123" s="334">
        <v>64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750</v>
      </c>
    </row>
    <row r="130" spans="1:6">
      <c r="A130" s="348" t="s">
        <v>295</v>
      </c>
      <c r="B130" s="334">
        <v>3</v>
      </c>
    </row>
    <row r="131" spans="1:6">
      <c r="A131" s="348" t="s">
        <v>296</v>
      </c>
      <c r="B131" s="334">
        <v>4</v>
      </c>
    </row>
    <row r="132" spans="1:6">
      <c r="A132" s="341" t="s">
        <v>297</v>
      </c>
      <c r="B132" s="342">
        <v>77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526031.02008654492</v>
      </c>
      <c r="C3" s="43" t="s">
        <v>170</v>
      </c>
      <c r="D3" s="43"/>
      <c r="E3" s="154"/>
      <c r="F3" s="43"/>
      <c r="G3" s="43"/>
      <c r="H3" s="43"/>
      <c r="I3" s="43"/>
      <c r="J3" s="43"/>
      <c r="K3" s="96"/>
    </row>
    <row r="4" spans="1:11">
      <c r="A4" s="383" t="s">
        <v>171</v>
      </c>
      <c r="B4" s="49">
        <f>IF(ISERROR('SEAP template'!B78+'SEAP template'!C78),0,'SEAP template'!B78+'SEAP template'!C78)</f>
        <v>84335.109340453957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34.221176470588233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0.18563357239900233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48.887394957983197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205.71428571428572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4007.2539999999999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4007.2539999999999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0.18563357239900233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743.8808755301917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111330.318</v>
      </c>
      <c r="C5" s="17">
        <f>IF(ISERROR('Eigen informatie GS &amp; warmtenet'!B57),0,'Eigen informatie GS &amp; warmtenet'!B57)</f>
        <v>0</v>
      </c>
      <c r="D5" s="30">
        <f>(SUM(HH_hh_gas_kWh,HH_rest_gas_kWh)/1000)*0.902</f>
        <v>157820.76708200001</v>
      </c>
      <c r="E5" s="17">
        <f>B46*B57</f>
        <v>2850.951020709052</v>
      </c>
      <c r="F5" s="17">
        <f>B51*B62</f>
        <v>139205.47687035831</v>
      </c>
      <c r="G5" s="18"/>
      <c r="H5" s="17"/>
      <c r="I5" s="17"/>
      <c r="J5" s="17">
        <f>B50*B61+C50*C61</f>
        <v>0</v>
      </c>
      <c r="K5" s="17"/>
      <c r="L5" s="17"/>
      <c r="M5" s="17"/>
      <c r="N5" s="17">
        <f>B48*B59+C48*C59</f>
        <v>10093.382113951262</v>
      </c>
      <c r="O5" s="17">
        <f>B69*B70*B71</f>
        <v>1277.2433333333333</v>
      </c>
      <c r="P5" s="17">
        <f>B77*B78*B79/1000-B77*B78*B79/1000/B80</f>
        <v>2364.2666666666664</v>
      </c>
    </row>
    <row r="6" spans="1:16">
      <c r="A6" s="16" t="s">
        <v>624</v>
      </c>
      <c r="B6" s="788">
        <f>kWh_PV_kleiner_dan_10kW</f>
        <v>10651.597068005147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121981.91506800515</v>
      </c>
      <c r="C8" s="21">
        <f>C5</f>
        <v>0</v>
      </c>
      <c r="D8" s="21">
        <f>D5</f>
        <v>157820.76708200001</v>
      </c>
      <c r="E8" s="21">
        <f>E5</f>
        <v>2850.951020709052</v>
      </c>
      <c r="F8" s="21">
        <f>F5</f>
        <v>139205.47687035831</v>
      </c>
      <c r="G8" s="21"/>
      <c r="H8" s="21"/>
      <c r="I8" s="21"/>
      <c r="J8" s="21">
        <f>J5</f>
        <v>0</v>
      </c>
      <c r="K8" s="21"/>
      <c r="L8" s="21">
        <f>L5</f>
        <v>0</v>
      </c>
      <c r="M8" s="21">
        <f>M5</f>
        <v>0</v>
      </c>
      <c r="N8" s="21">
        <f>N5</f>
        <v>10093.382113951262</v>
      </c>
      <c r="O8" s="21">
        <f>O5</f>
        <v>1277.2433333333333</v>
      </c>
      <c r="P8" s="21">
        <f>P5</f>
        <v>2364.2666666666664</v>
      </c>
    </row>
    <row r="9" spans="1:16">
      <c r="B9" s="19"/>
      <c r="C9" s="19"/>
      <c r="D9" s="258"/>
      <c r="E9" s="19"/>
      <c r="F9" s="19"/>
      <c r="G9" s="19"/>
      <c r="H9" s="19"/>
      <c r="I9" s="19"/>
      <c r="J9" s="19"/>
      <c r="K9" s="19"/>
      <c r="L9" s="19"/>
      <c r="M9" s="19"/>
      <c r="N9" s="19"/>
      <c r="O9" s="19"/>
      <c r="P9" s="19"/>
    </row>
    <row r="10" spans="1:16">
      <c r="A10" s="24" t="s">
        <v>214</v>
      </c>
      <c r="B10" s="25">
        <f ca="1">'EF ele_warmte'!B12</f>
        <v>0.18563357239900233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22643.938662145487</v>
      </c>
      <c r="C12" s="23">
        <f ca="1">C10*C8</f>
        <v>0</v>
      </c>
      <c r="D12" s="23">
        <f>D8*D10</f>
        <v>31879.794950564003</v>
      </c>
      <c r="E12" s="23">
        <f>E10*E8</f>
        <v>647.16588170095486</v>
      </c>
      <c r="F12" s="23">
        <f>F10*F8</f>
        <v>37167.862324385671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698</v>
      </c>
      <c r="B28" s="37">
        <f>aantalHuishoudens2011</f>
        <v>25461</v>
      </c>
      <c r="C28" s="36"/>
      <c r="D28" s="228"/>
    </row>
    <row r="29" spans="1:7" s="15" customFormat="1">
      <c r="A29" s="230" t="s">
        <v>699</v>
      </c>
      <c r="B29" s="37">
        <f>SUM(HH_hh_gas_aantal,HH_rest_gas_aantal)</f>
        <v>11862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11862</v>
      </c>
      <c r="C32" s="167">
        <f>IF(ISERROR(B32/SUM($B$32,$B$34,$B$35,$B$36,$B$38,$B$39)*100),0,B32/SUM($B$32,$B$34,$B$35,$B$36,$B$38,$B$39)*100)</f>
        <v>46.816908079093814</v>
      </c>
      <c r="D32" s="233"/>
      <c r="G32" s="15"/>
    </row>
    <row r="33" spans="1:7">
      <c r="A33" s="171" t="s">
        <v>72</v>
      </c>
      <c r="B33" s="34" t="s">
        <v>111</v>
      </c>
      <c r="C33" s="167"/>
      <c r="D33" s="233"/>
      <c r="G33" s="15"/>
    </row>
    <row r="34" spans="1:7">
      <c r="A34" s="171" t="s">
        <v>73</v>
      </c>
      <c r="B34" s="33">
        <f>IF((($B$28-$B$32-$B$39-$B$77-$B$38)*C20/100)&lt;0,0,($B$28-$B$32-$B$39-$B$77-$B$38)*C20/100)</f>
        <v>126.04850845948351</v>
      </c>
      <c r="C34" s="167">
        <f>IF(ISERROR(B34/SUM($B$32,$B$34,$B$35,$B$36,$B$38,$B$39)*100),0,B34/SUM($B$32,$B$34,$B$35,$B$36,$B$38,$B$39)*100)</f>
        <v>0.49748789698655527</v>
      </c>
      <c r="D34" s="233"/>
      <c r="G34" s="15"/>
    </row>
    <row r="35" spans="1:7">
      <c r="A35" s="171" t="s">
        <v>74</v>
      </c>
      <c r="B35" s="33">
        <f>IF((($B$28-$B$32-$B$39-$B$77-$B$38)*C21/100)&lt;0,0,($B$28-$B$32-$B$39-$B$77-$B$38)*C21/100)</f>
        <v>7473.1225289403383</v>
      </c>
      <c r="C35" s="167">
        <f>IF(ISERROR(B35/SUM($B$32,$B$34,$B$35,$B$36,$B$38,$B$39)*100),0,B35/SUM($B$32,$B$34,$B$35,$B$36,$B$38,$B$39)*100)</f>
        <v>29.494898878874132</v>
      </c>
      <c r="D35" s="233"/>
      <c r="G35" s="15"/>
    </row>
    <row r="36" spans="1:7">
      <c r="A36" s="171" t="s">
        <v>75</v>
      </c>
      <c r="B36" s="33">
        <f>IF((($B$28-$B$32-$B$39-$B$77-$B$38)*C22/100)&lt;0,0,($B$28-$B$32-$B$39-$B$77-$B$38)*C22/100)</f>
        <v>157.12896260017811</v>
      </c>
      <c r="C36" s="167">
        <f>IF(ISERROR(B36/SUM($B$32,$B$34,$B$35,$B$36,$B$38,$B$39)*100),0,B36/SUM($B$32,$B$34,$B$35,$B$36,$B$38,$B$39)*100)</f>
        <v>0.62015614555858267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5718.7</v>
      </c>
      <c r="C39" s="167">
        <f>IF(ISERROR(B39/SUM($B$32,$B$34,$B$35,$B$36,$B$38,$B$39)*100),0,B39/SUM($B$32,$B$34,$B$35,$B$36,$B$38,$B$39)*100)</f>
        <v>22.570548999486917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11862</v>
      </c>
      <c r="C44" s="34" t="s">
        <v>111</v>
      </c>
      <c r="D44" s="174"/>
    </row>
    <row r="45" spans="1:7">
      <c r="A45" s="171" t="s">
        <v>72</v>
      </c>
      <c r="B45" s="33" t="str">
        <f t="shared" si="0"/>
        <v>-</v>
      </c>
      <c r="C45" s="34" t="s">
        <v>111</v>
      </c>
      <c r="D45" s="174"/>
    </row>
    <row r="46" spans="1:7">
      <c r="A46" s="171" t="s">
        <v>73</v>
      </c>
      <c r="B46" s="33">
        <f t="shared" si="0"/>
        <v>126.04850845948351</v>
      </c>
      <c r="C46" s="34" t="s">
        <v>111</v>
      </c>
      <c r="D46" s="174"/>
    </row>
    <row r="47" spans="1:7">
      <c r="A47" s="171" t="s">
        <v>74</v>
      </c>
      <c r="B47" s="33">
        <f t="shared" si="0"/>
        <v>7473.1225289403383</v>
      </c>
      <c r="C47" s="34" t="s">
        <v>111</v>
      </c>
      <c r="D47" s="174"/>
    </row>
    <row r="48" spans="1:7">
      <c r="A48" s="171" t="s">
        <v>75</v>
      </c>
      <c r="B48" s="33">
        <f t="shared" si="0"/>
        <v>157.12896260017811</v>
      </c>
      <c r="C48" s="33">
        <f>B48*10</f>
        <v>1571.289626001781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5718.7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149415.86199999999</v>
      </c>
      <c r="C5" s="17">
        <f>IF(ISERROR('Eigen informatie GS &amp; warmtenet'!B58),0,'Eigen informatie GS &amp; warmtenet'!B58)</f>
        <v>0</v>
      </c>
      <c r="D5" s="30">
        <f>SUM(D6:D12)</f>
        <v>123051.02130200001</v>
      </c>
      <c r="E5" s="17">
        <f>SUM(E6:E12)</f>
        <v>2415.9207825185695</v>
      </c>
      <c r="F5" s="17">
        <f>SUM(F6:F12)</f>
        <v>36560.406654188482</v>
      </c>
      <c r="G5" s="18"/>
      <c r="H5" s="17"/>
      <c r="I5" s="17"/>
      <c r="J5" s="17">
        <f>SUM(J6:J12)</f>
        <v>0</v>
      </c>
      <c r="K5" s="17"/>
      <c r="L5" s="17"/>
      <c r="M5" s="17"/>
      <c r="N5" s="17">
        <f>SUM(N6:N12)</f>
        <v>13267.75754717424</v>
      </c>
      <c r="O5" s="17">
        <f>B38*B39*B40</f>
        <v>4.6900000000000004</v>
      </c>
      <c r="P5" s="17">
        <f>B46*B47*B48/1000-B46*B47*B48/1000/B49</f>
        <v>95.333333333333343</v>
      </c>
      <c r="R5" s="32"/>
    </row>
    <row r="6" spans="1:18">
      <c r="A6" s="32" t="s">
        <v>54</v>
      </c>
      <c r="B6" s="37">
        <f>B26</f>
        <v>42305.578999999998</v>
      </c>
      <c r="C6" s="33"/>
      <c r="D6" s="37">
        <f>IF(ISERROR(TER_kantoor_gas_kWh/1000),0,TER_kantoor_gas_kWh/1000)*0.902</f>
        <v>59322.226369999997</v>
      </c>
      <c r="E6" s="33">
        <f>$C$26*'E Balans VL '!I12/100/3.6*1000000</f>
        <v>553.83214202674515</v>
      </c>
      <c r="F6" s="33">
        <f>$C$26*('E Balans VL '!L12+'E Balans VL '!N12)/100/3.6*1000000</f>
        <v>10787.485475477037</v>
      </c>
      <c r="G6" s="34"/>
      <c r="H6" s="33"/>
      <c r="I6" s="33"/>
      <c r="J6" s="33">
        <f>$C$26*('E Balans VL '!D12+'E Balans VL '!E12)/100/3.6*1000000</f>
        <v>0</v>
      </c>
      <c r="K6" s="33"/>
      <c r="L6" s="33"/>
      <c r="M6" s="33"/>
      <c r="N6" s="33">
        <f>$C$26*'E Balans VL '!Y12/100/3.6*1000000</f>
        <v>42.44804077127683</v>
      </c>
      <c r="O6" s="33"/>
      <c r="P6" s="33"/>
      <c r="R6" s="32"/>
    </row>
    <row r="7" spans="1:18">
      <c r="A7" s="32" t="s">
        <v>53</v>
      </c>
      <c r="B7" s="37">
        <f t="shared" ref="B7:B12" si="0">B27</f>
        <v>11386.825999999999</v>
      </c>
      <c r="C7" s="33"/>
      <c r="D7" s="37">
        <f>IF(ISERROR(TER_horeca_gas_kWh/1000),0,TER_horeca_gas_kWh/1000)*0.902</f>
        <v>9695.1975120000006</v>
      </c>
      <c r="E7" s="33">
        <f>$C$27*'E Balans VL '!I9/100/3.6*1000000</f>
        <v>376.83467686095918</v>
      </c>
      <c r="F7" s="33">
        <f>$C$27*('E Balans VL '!L9+'E Balans VL '!N9)/100/3.6*1000000</f>
        <v>4896.2915403967791</v>
      </c>
      <c r="G7" s="34"/>
      <c r="H7" s="33"/>
      <c r="I7" s="33"/>
      <c r="J7" s="33">
        <f>$C$27*('E Balans VL '!D9+'E Balans VL '!E9)/100/3.6*1000000</f>
        <v>0</v>
      </c>
      <c r="K7" s="33"/>
      <c r="L7" s="33"/>
      <c r="M7" s="33"/>
      <c r="N7" s="33">
        <f>$C$27*'E Balans VL '!Y9/100/3.6*1000000</f>
        <v>2.7409743730597076</v>
      </c>
      <c r="O7" s="33"/>
      <c r="P7" s="33"/>
      <c r="R7" s="32"/>
    </row>
    <row r="8" spans="1:18">
      <c r="A8" s="6" t="s">
        <v>52</v>
      </c>
      <c r="B8" s="37">
        <f t="shared" si="0"/>
        <v>45883.637999999999</v>
      </c>
      <c r="C8" s="33"/>
      <c r="D8" s="37">
        <f>IF(ISERROR(TER_handel_gas_kWh/1000),0,TER_handel_gas_kWh/1000)*0.902</f>
        <v>24548.131146000003</v>
      </c>
      <c r="E8" s="33">
        <f>$C$28*'E Balans VL '!I13/100/3.6*1000000</f>
        <v>1448.1577233919847</v>
      </c>
      <c r="F8" s="33">
        <f>$C$28*('E Balans VL '!L13+'E Balans VL '!N13)/100/3.6*1000000</f>
        <v>8998.5893725025326</v>
      </c>
      <c r="G8" s="34"/>
      <c r="H8" s="33"/>
      <c r="I8" s="33"/>
      <c r="J8" s="33">
        <f>$C$28*('E Balans VL '!D13+'E Balans VL '!E13)/100/3.6*1000000</f>
        <v>0</v>
      </c>
      <c r="K8" s="33"/>
      <c r="L8" s="33"/>
      <c r="M8" s="33"/>
      <c r="N8" s="33">
        <f>$C$28*'E Balans VL '!Y13/100/3.6*1000000</f>
        <v>54.454970107043493</v>
      </c>
      <c r="O8" s="33"/>
      <c r="P8" s="33"/>
      <c r="R8" s="32"/>
    </row>
    <row r="9" spans="1:18">
      <c r="A9" s="32" t="s">
        <v>51</v>
      </c>
      <c r="B9" s="37">
        <f t="shared" si="0"/>
        <v>28467.203000000001</v>
      </c>
      <c r="C9" s="33"/>
      <c r="D9" s="37">
        <f>IF(ISERROR(TER_gezond_gas_kWh/1000),0,TER_gezond_gas_kWh/1000)*0.902</f>
        <v>8098.8929339999995</v>
      </c>
      <c r="E9" s="33">
        <f>$C$29*'E Balans VL '!I10/100/3.6*1000000</f>
        <v>3.6446347735457265</v>
      </c>
      <c r="F9" s="33">
        <f>$C$29*('E Balans VL '!L10+'E Balans VL '!N10)/100/3.6*1000000</f>
        <v>5930.9115547238471</v>
      </c>
      <c r="G9" s="34"/>
      <c r="H9" s="33"/>
      <c r="I9" s="33"/>
      <c r="J9" s="33">
        <f>$C$29*('E Balans VL '!D10+'E Balans VL '!E10)/100/3.6*1000000</f>
        <v>0</v>
      </c>
      <c r="K9" s="33"/>
      <c r="L9" s="33"/>
      <c r="M9" s="33"/>
      <c r="N9" s="33">
        <f>$C$29*'E Balans VL '!Y10/100/3.6*1000000</f>
        <v>334.36075460405897</v>
      </c>
      <c r="O9" s="33"/>
      <c r="P9" s="33"/>
      <c r="R9" s="32"/>
    </row>
    <row r="10" spans="1:18">
      <c r="A10" s="32" t="s">
        <v>50</v>
      </c>
      <c r="B10" s="37">
        <f t="shared" si="0"/>
        <v>16273.041999999999</v>
      </c>
      <c r="C10" s="33"/>
      <c r="D10" s="37">
        <f>IF(ISERROR(TER_ander_gas_kWh/1000),0,TER_ander_gas_kWh/1000)*0.902</f>
        <v>10863.83683</v>
      </c>
      <c r="E10" s="33">
        <f>$C$30*'E Balans VL '!I14/100/3.6*1000000</f>
        <v>24.470828308510807</v>
      </c>
      <c r="F10" s="33">
        <f>$C$30*('E Balans VL '!L14+'E Balans VL '!N14)/100/3.6*1000000</f>
        <v>3592.5631186493683</v>
      </c>
      <c r="G10" s="34"/>
      <c r="H10" s="33"/>
      <c r="I10" s="33"/>
      <c r="J10" s="33">
        <f>$C$30*('E Balans VL '!D14+'E Balans VL '!E14)/100/3.6*1000000</f>
        <v>0</v>
      </c>
      <c r="K10" s="33"/>
      <c r="L10" s="33"/>
      <c r="M10" s="33"/>
      <c r="N10" s="33">
        <f>$C$30*'E Balans VL '!Y14/100/3.6*1000000</f>
        <v>12824.252230435921</v>
      </c>
      <c r="O10" s="33"/>
      <c r="P10" s="33"/>
      <c r="R10" s="32"/>
    </row>
    <row r="11" spans="1:18">
      <c r="A11" s="32" t="s">
        <v>55</v>
      </c>
      <c r="B11" s="37">
        <f t="shared" si="0"/>
        <v>5099.5739999999996</v>
      </c>
      <c r="C11" s="33"/>
      <c r="D11" s="37">
        <f>IF(ISERROR(TER_onderwijs_gas_kWh/1000),0,TER_onderwijs_gas_kWh/1000)*0.902</f>
        <v>10522.736509999999</v>
      </c>
      <c r="E11" s="33">
        <f>$C$31*'E Balans VL '!I11/100/3.6*1000000</f>
        <v>8.9807771568240291</v>
      </c>
      <c r="F11" s="33">
        <f>$C$31*('E Balans VL '!L11+'E Balans VL '!N11)/100/3.6*1000000</f>
        <v>2354.5655924389112</v>
      </c>
      <c r="G11" s="34"/>
      <c r="H11" s="33"/>
      <c r="I11" s="33"/>
      <c r="J11" s="33">
        <f>$C$31*('E Balans VL '!D11+'E Balans VL '!E11)/100/3.6*1000000</f>
        <v>0</v>
      </c>
      <c r="K11" s="33"/>
      <c r="L11" s="33"/>
      <c r="M11" s="33"/>
      <c r="N11" s="33">
        <f>$C$31*'E Balans VL '!Y11/100/3.6*1000000</f>
        <v>9.5005768828803649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1764</v>
      </c>
      <c r="C13" s="247">
        <f ca="1">'lokale energieproductie'!O91+'lokale energieproductie'!O60</f>
        <v>205.71428571428572</v>
      </c>
      <c r="D13" s="310">
        <f ca="1">('lokale energieproductie'!P60+'lokale energieproductie'!P91)*(-1)</f>
        <v>-411.42857142857144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-4628.5714285714284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151179.86199999999</v>
      </c>
      <c r="C16" s="21">
        <f t="shared" ca="1" si="1"/>
        <v>205.71428571428572</v>
      </c>
      <c r="D16" s="21">
        <f t="shared" ca="1" si="1"/>
        <v>122639.59273057144</v>
      </c>
      <c r="E16" s="21">
        <f t="shared" si="1"/>
        <v>2415.9207825185695</v>
      </c>
      <c r="F16" s="21">
        <f t="shared" ca="1" si="1"/>
        <v>36560.406654188482</v>
      </c>
      <c r="G16" s="21">
        <f t="shared" si="1"/>
        <v>0</v>
      </c>
      <c r="H16" s="21">
        <f t="shared" si="1"/>
        <v>0</v>
      </c>
      <c r="I16" s="21">
        <f t="shared" si="1"/>
        <v>0</v>
      </c>
      <c r="J16" s="21">
        <f t="shared" si="1"/>
        <v>0</v>
      </c>
      <c r="K16" s="21">
        <f t="shared" si="1"/>
        <v>0</v>
      </c>
      <c r="L16" s="21">
        <f t="shared" ca="1" si="1"/>
        <v>0</v>
      </c>
      <c r="M16" s="21">
        <f t="shared" si="1"/>
        <v>0</v>
      </c>
      <c r="N16" s="21">
        <f t="shared" ca="1" si="1"/>
        <v>8639.1861186028109</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0.18563357239900233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28064.05785784818</v>
      </c>
      <c r="C20" s="23">
        <f t="shared" ref="C20:P20" ca="1" si="2">C16*C18</f>
        <v>48.887394957983197</v>
      </c>
      <c r="D20" s="23">
        <f t="shared" ca="1" si="2"/>
        <v>24773.197731575434</v>
      </c>
      <c r="E20" s="23">
        <f t="shared" si="2"/>
        <v>548.4140176317153</v>
      </c>
      <c r="F20" s="23">
        <f t="shared" ca="1" si="2"/>
        <v>9761.628576668325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42305.578999999998</v>
      </c>
      <c r="C26" s="39">
        <f>IF(ISERROR(B26*3.6/1000000/'E Balans VL '!Z12*100),0,B26*3.6/1000000/'E Balans VL '!Z12*100)</f>
        <v>0.90621836810454126</v>
      </c>
      <c r="D26" s="237" t="s">
        <v>660</v>
      </c>
      <c r="F26" s="6"/>
    </row>
    <row r="27" spans="1:18">
      <c r="A27" s="231" t="s">
        <v>53</v>
      </c>
      <c r="B27" s="33">
        <f>IF(ISERROR(TER_horeca_ele_kWh/1000),0,TER_horeca_ele_kWh/1000)</f>
        <v>11386.825999999999</v>
      </c>
      <c r="C27" s="39">
        <f>IF(ISERROR(B27*3.6/1000000/'E Balans VL '!Z9*100),0,B27*3.6/1000000/'E Balans VL '!Z9*100)</f>
        <v>0.91375320629682555</v>
      </c>
      <c r="D27" s="237" t="s">
        <v>660</v>
      </c>
      <c r="F27" s="6"/>
    </row>
    <row r="28" spans="1:18">
      <c r="A28" s="171" t="s">
        <v>52</v>
      </c>
      <c r="B28" s="33">
        <f>IF(ISERROR(TER_handel_ele_kWh/1000),0,TER_handel_ele_kWh/1000)</f>
        <v>45883.637999999999</v>
      </c>
      <c r="C28" s="39">
        <f>IF(ISERROR(B28*3.6/1000000/'E Balans VL '!Z13*100),0,B28*3.6/1000000/'E Balans VL '!Z13*100)</f>
        <v>1.3533041429497517</v>
      </c>
      <c r="D28" s="237" t="s">
        <v>660</v>
      </c>
      <c r="F28" s="6"/>
    </row>
    <row r="29" spans="1:18">
      <c r="A29" s="231" t="s">
        <v>51</v>
      </c>
      <c r="B29" s="33">
        <f>IF(ISERROR(TER_gezond_ele_kWh/1000),0,TER_gezond_ele_kWh/1000)</f>
        <v>28467.203000000001</v>
      </c>
      <c r="C29" s="39">
        <f>IF(ISERROR(B29*3.6/1000000/'E Balans VL '!Z10*100),0,B29*3.6/1000000/'E Balans VL '!Z10*100)</f>
        <v>3.0395340460665179</v>
      </c>
      <c r="D29" s="237" t="s">
        <v>660</v>
      </c>
      <c r="F29" s="6"/>
    </row>
    <row r="30" spans="1:18">
      <c r="A30" s="231" t="s">
        <v>50</v>
      </c>
      <c r="B30" s="33">
        <f>IF(ISERROR(TER_ander_ele_kWh/1000),0,TER_ander_ele_kWh/1000)</f>
        <v>16273.041999999999</v>
      </c>
      <c r="C30" s="39">
        <f>IF(ISERROR(B30*3.6/1000000/'E Balans VL '!Z14*100),0,B30*3.6/1000000/'E Balans VL '!Z14*100)</f>
        <v>1.2291667639183534</v>
      </c>
      <c r="D30" s="237" t="s">
        <v>660</v>
      </c>
      <c r="F30" s="6"/>
    </row>
    <row r="31" spans="1:18">
      <c r="A31" s="231" t="s">
        <v>55</v>
      </c>
      <c r="B31" s="33">
        <f>IF(ISERROR(TER_onderwijs_ele_kWh/1000),0,TER_onderwijs_ele_kWh/1000)</f>
        <v>5099.5739999999996</v>
      </c>
      <c r="C31" s="39">
        <f>IF(ISERROR(B31*3.6/1000000/'E Balans VL '!Z11*100),0,B31*3.6/1000000/'E Balans VL '!Z11*100)</f>
        <v>1.0297742275316399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243882.41399999996</v>
      </c>
      <c r="C5" s="17">
        <f>IF(ISERROR('Eigen informatie GS &amp; warmtenet'!B59),0,'Eigen informatie GS &amp; warmtenet'!B59)</f>
        <v>0</v>
      </c>
      <c r="D5" s="30">
        <f>SUM(D6:D15)</f>
        <v>84329.010986000008</v>
      </c>
      <c r="E5" s="17">
        <f>SUM(E6:E15)</f>
        <v>31189.559544421943</v>
      </c>
      <c r="F5" s="17">
        <f>SUM(F6:F15)</f>
        <v>117605.56860369243</v>
      </c>
      <c r="G5" s="18"/>
      <c r="H5" s="17"/>
      <c r="I5" s="17"/>
      <c r="J5" s="17">
        <f>SUM(J6:J15)</f>
        <v>1055.3050782972741</v>
      </c>
      <c r="K5" s="17"/>
      <c r="L5" s="17"/>
      <c r="M5" s="17"/>
      <c r="N5" s="17">
        <f>SUM(N6:N15)</f>
        <v>70686.306156098188</v>
      </c>
      <c r="O5" s="17">
        <f>B43*B44*B45</f>
        <v>0</v>
      </c>
      <c r="P5" s="17">
        <f>B51*B52*B53/1000-B51*B52*B53/1000/B54</f>
        <v>0</v>
      </c>
      <c r="R5" s="32"/>
    </row>
    <row r="6" spans="1:18">
      <c r="A6" s="6" t="s">
        <v>35</v>
      </c>
      <c r="B6" s="37">
        <f>IF( ISERROR(IND_ijzer_ele_kWh/1000),0,IND_ijzer_ele_kWh/1000)</f>
        <v>1125.4159999999999</v>
      </c>
      <c r="C6" s="33"/>
      <c r="D6" s="37">
        <f>IF( ISERROR(IND_ijzer_gas_kWh/1000),0,IND_ijzer_gas_kWh/1000)*0.902</f>
        <v>843.41239400000006</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33278.014999999999</v>
      </c>
      <c r="C8" s="33"/>
      <c r="D8" s="37">
        <f>IF( ISERROR(IND_metaal_Gas_kWH/1000),0,IND_metaal_Gas_kWH/1000)*0.902</f>
        <v>37990.178028000002</v>
      </c>
      <c r="E8" s="33">
        <f>C30*'E Balans VL '!I18/100/3.6*1000000</f>
        <v>1197.4436525197848</v>
      </c>
      <c r="F8" s="33">
        <f>C30*'E Balans VL '!L18/100/3.6*1000000+C30*'E Balans VL '!N18/100/3.6*1000000</f>
        <v>14531.430393317049</v>
      </c>
      <c r="G8" s="34"/>
      <c r="H8" s="33"/>
      <c r="I8" s="33"/>
      <c r="J8" s="40">
        <f>C30*'E Balans VL '!D18/100/3.6*1000000+C30*'E Balans VL '!E18/100/3.6*1000000</f>
        <v>0</v>
      </c>
      <c r="K8" s="33"/>
      <c r="L8" s="33"/>
      <c r="M8" s="33"/>
      <c r="N8" s="33">
        <f>C30*'E Balans VL '!Y18/100/3.6*1000000</f>
        <v>1667.8714969925513</v>
      </c>
      <c r="O8" s="33"/>
      <c r="P8" s="33"/>
      <c r="R8" s="32"/>
    </row>
    <row r="9" spans="1:18">
      <c r="A9" s="6" t="s">
        <v>33</v>
      </c>
      <c r="B9" s="37">
        <f t="shared" si="0"/>
        <v>115741.397</v>
      </c>
      <c r="C9" s="33"/>
      <c r="D9" s="37">
        <f>IF( ISERROR(IND_andere_gas_kWh/1000),0,IND_andere_gas_kWh/1000)*0.902</f>
        <v>16456.583198</v>
      </c>
      <c r="E9" s="33">
        <f>C31*'E Balans VL '!I19/100/3.6*1000000</f>
        <v>29534.585791945181</v>
      </c>
      <c r="F9" s="33">
        <f>C31*'E Balans VL '!L19/100/3.6*1000000+C31*'E Balans VL '!N19/100/3.6*1000000</f>
        <v>99644.643355395456</v>
      </c>
      <c r="G9" s="34"/>
      <c r="H9" s="33"/>
      <c r="I9" s="33"/>
      <c r="J9" s="40">
        <f>C31*'E Balans VL '!D19/100/3.6*1000000+C31*'E Balans VL '!E19/100/3.6*1000000</f>
        <v>0</v>
      </c>
      <c r="K9" s="33"/>
      <c r="L9" s="33"/>
      <c r="M9" s="33"/>
      <c r="N9" s="33">
        <f>C31*'E Balans VL '!Y19/100/3.6*1000000</f>
        <v>36196.298570780244</v>
      </c>
      <c r="O9" s="33"/>
      <c r="P9" s="33"/>
      <c r="R9" s="32"/>
    </row>
    <row r="10" spans="1:18">
      <c r="A10" s="6" t="s">
        <v>41</v>
      </c>
      <c r="B10" s="37">
        <f t="shared" si="0"/>
        <v>7873.3239999999996</v>
      </c>
      <c r="C10" s="33"/>
      <c r="D10" s="37">
        <f>IF( ISERROR(IND_voed_gas_kWh/1000),0,IND_voed_gas_kWh/1000)*0.902</f>
        <v>5697.2665200000001</v>
      </c>
      <c r="E10" s="33">
        <f>C32*'E Balans VL '!I20/100/3.6*1000000</f>
        <v>200.15070703979188</v>
      </c>
      <c r="F10" s="33">
        <f>C32*'E Balans VL '!L20/100/3.6*1000000+C32*'E Balans VL '!N20/100/3.6*1000000</f>
        <v>1781.6150324141527</v>
      </c>
      <c r="G10" s="34"/>
      <c r="H10" s="33"/>
      <c r="I10" s="33"/>
      <c r="J10" s="40">
        <f>C32*'E Balans VL '!D20/100/3.6*1000000+C32*'E Balans VL '!E20/100/3.6*1000000</f>
        <v>0</v>
      </c>
      <c r="K10" s="33"/>
      <c r="L10" s="33"/>
      <c r="M10" s="33"/>
      <c r="N10" s="33">
        <f>C32*'E Balans VL '!Y20/100/3.6*1000000</f>
        <v>2952.7099148414068</v>
      </c>
      <c r="O10" s="33"/>
      <c r="P10" s="33"/>
      <c r="R10" s="32"/>
    </row>
    <row r="11" spans="1:18">
      <c r="A11" s="6" t="s">
        <v>40</v>
      </c>
      <c r="B11" s="37">
        <f t="shared" si="0"/>
        <v>12452.286</v>
      </c>
      <c r="C11" s="33"/>
      <c r="D11" s="37">
        <f>IF( ISERROR(IND_textiel_gas_kWh/1000),0,IND_textiel_gas_kWh/1000)*0.902</f>
        <v>7855.5667080000003</v>
      </c>
      <c r="E11" s="33">
        <f>C33*'E Balans VL '!I21/100/3.6*1000000</f>
        <v>34.18487377424244</v>
      </c>
      <c r="F11" s="33">
        <f>C33*'E Balans VL '!L21/100/3.6*1000000+C33*'E Balans VL '!N21/100/3.6*1000000</f>
        <v>660.1683083573156</v>
      </c>
      <c r="G11" s="34"/>
      <c r="H11" s="33"/>
      <c r="I11" s="33"/>
      <c r="J11" s="40">
        <f>C33*'E Balans VL '!D21/100/3.6*1000000+C33*'E Balans VL '!E21/100/3.6*1000000</f>
        <v>0</v>
      </c>
      <c r="K11" s="33"/>
      <c r="L11" s="33"/>
      <c r="M11" s="33"/>
      <c r="N11" s="33">
        <f>C33*'E Balans VL '!Y21/100/3.6*1000000</f>
        <v>25.027034223258855</v>
      </c>
      <c r="O11" s="33"/>
      <c r="P11" s="33"/>
      <c r="R11" s="32"/>
    </row>
    <row r="12" spans="1:18">
      <c r="A12" s="6" t="s">
        <v>37</v>
      </c>
      <c r="B12" s="37">
        <f t="shared" si="0"/>
        <v>744.68600000000004</v>
      </c>
      <c r="C12" s="33"/>
      <c r="D12" s="37">
        <f>IF( ISERROR(IND_min_gas_kWh/1000),0,IND_min_gas_kWh/1000)*0.902</f>
        <v>604.27325200000007</v>
      </c>
      <c r="E12" s="33">
        <f>C34*'E Balans VL '!I22/100/3.6*1000000</f>
        <v>15.822711151403619</v>
      </c>
      <c r="F12" s="33">
        <f>C34*'E Balans VL '!L22/100/3.6*1000000+C34*'E Balans VL '!N22/100/3.6*1000000</f>
        <v>121.5018671875296</v>
      </c>
      <c r="G12" s="34"/>
      <c r="H12" s="33"/>
      <c r="I12" s="33"/>
      <c r="J12" s="40">
        <f>C34*'E Balans VL '!D22/100/3.6*1000000+C34*'E Balans VL '!E22/100/3.6*1000000</f>
        <v>0.86762868447876218</v>
      </c>
      <c r="K12" s="33"/>
      <c r="L12" s="33"/>
      <c r="M12" s="33"/>
      <c r="N12" s="33">
        <f>C34*'E Balans VL '!Y22/100/3.6*1000000</f>
        <v>0</v>
      </c>
      <c r="O12" s="33"/>
      <c r="P12" s="33"/>
      <c r="R12" s="32"/>
    </row>
    <row r="13" spans="1:18">
      <c r="A13" s="6" t="s">
        <v>39</v>
      </c>
      <c r="B13" s="37">
        <f t="shared" si="0"/>
        <v>15743.008</v>
      </c>
      <c r="C13" s="33"/>
      <c r="D13" s="37">
        <f>IF( ISERROR(IND_papier_gas_kWh/1000),0,IND_papier_gas_kWh/1000)*0.902</f>
        <v>6431.0038320000003</v>
      </c>
      <c r="E13" s="33">
        <f>C35*'E Balans VL '!I23/100/3.6*1000000</f>
        <v>67.517181391005906</v>
      </c>
      <c r="F13" s="33">
        <f>C35*'E Balans VL '!L23/100/3.6*1000000+C35*'E Balans VL '!N23/100/3.6*1000000</f>
        <v>395.67065422619947</v>
      </c>
      <c r="G13" s="34"/>
      <c r="H13" s="33"/>
      <c r="I13" s="33"/>
      <c r="J13" s="40">
        <f>C35*'E Balans VL '!D23/100/3.6*1000000+C35*'E Balans VL '!E23/100/3.6*1000000</f>
        <v>1053.9080387530803</v>
      </c>
      <c r="K13" s="33"/>
      <c r="L13" s="33"/>
      <c r="M13" s="33"/>
      <c r="N13" s="33">
        <f>C35*'E Balans VL '!Y23/100/3.6*1000000</f>
        <v>28656.018390138383</v>
      </c>
      <c r="O13" s="33"/>
      <c r="P13" s="33"/>
      <c r="R13" s="32"/>
    </row>
    <row r="14" spans="1:18">
      <c r="A14" s="6" t="s">
        <v>34</v>
      </c>
      <c r="B14" s="37">
        <f t="shared" si="0"/>
        <v>56858.98</v>
      </c>
      <c r="C14" s="33"/>
      <c r="D14" s="37">
        <f>IF( ISERROR(IND_chemie_gas_kWh/1000),0,IND_chemie_gas_kWh/1000)*0.902</f>
        <v>8450.7270540000009</v>
      </c>
      <c r="E14" s="33">
        <f>C36*'E Balans VL '!I24/100/3.6*1000000</f>
        <v>136.31049834011483</v>
      </c>
      <c r="F14" s="33">
        <f>C36*'E Balans VL '!L24/100/3.6*1000000+C36*'E Balans VL '!N24/100/3.6*1000000</f>
        <v>456.30617624173323</v>
      </c>
      <c r="G14" s="34"/>
      <c r="H14" s="33"/>
      <c r="I14" s="33"/>
      <c r="J14" s="40">
        <f>C36*'E Balans VL '!D24/100/3.6*1000000+C36*'E Balans VL '!E24/100/3.6*1000000</f>
        <v>0</v>
      </c>
      <c r="K14" s="33"/>
      <c r="L14" s="33"/>
      <c r="M14" s="33"/>
      <c r="N14" s="33">
        <f>C36*'E Balans VL '!Y24/100/3.6*1000000</f>
        <v>1175.2310360629483</v>
      </c>
      <c r="O14" s="33"/>
      <c r="P14" s="33"/>
      <c r="R14" s="32"/>
    </row>
    <row r="15" spans="1:18">
      <c r="A15" s="6" t="s">
        <v>270</v>
      </c>
      <c r="B15" s="37">
        <f t="shared" si="0"/>
        <v>65.302000000000007</v>
      </c>
      <c r="C15" s="33"/>
      <c r="D15" s="37">
        <f>IF( ISERROR(IND_rest_gas_kWh/1000),0,IND_rest_gas_kWh/1000)*0.902</f>
        <v>0</v>
      </c>
      <c r="E15" s="33">
        <f>C37*'E Balans VL '!I15/100/3.6*1000000</f>
        <v>3.5441282604180397</v>
      </c>
      <c r="F15" s="33">
        <f>C37*'E Balans VL '!L15/100/3.6*1000000+C37*'E Balans VL '!N15/100/3.6*1000000</f>
        <v>14.232816552998246</v>
      </c>
      <c r="G15" s="34"/>
      <c r="H15" s="33"/>
      <c r="I15" s="33"/>
      <c r="J15" s="40">
        <f>C37*'E Balans VL '!D15/100/3.6*1000000+C37*'E Balans VL '!E15/100/3.6*1000000</f>
        <v>0.52941085971493562</v>
      </c>
      <c r="K15" s="33"/>
      <c r="L15" s="33"/>
      <c r="M15" s="33"/>
      <c r="N15" s="33">
        <f>C37*'E Balans VL '!Y15/100/3.6*1000000</f>
        <v>13.149713059392582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243882.41399999996</v>
      </c>
      <c r="C18" s="21">
        <f>C5+C16</f>
        <v>0</v>
      </c>
      <c r="D18" s="21">
        <f>MAX((D5+D16),0)</f>
        <v>84329.010986000008</v>
      </c>
      <c r="E18" s="21">
        <f>MAX((E5+E16),0)</f>
        <v>31189.559544421943</v>
      </c>
      <c r="F18" s="21">
        <f>MAX((F5+F16),0)</f>
        <v>117605.56860369243</v>
      </c>
      <c r="G18" s="21"/>
      <c r="H18" s="21"/>
      <c r="I18" s="21"/>
      <c r="J18" s="21">
        <f>MAX((J5+J16),0)</f>
        <v>1055.3050782972741</v>
      </c>
      <c r="K18" s="21"/>
      <c r="L18" s="21">
        <f>MAX((L5+L16),0)</f>
        <v>0</v>
      </c>
      <c r="M18" s="21"/>
      <c r="N18" s="21">
        <f>MAX((N5+N16),0)</f>
        <v>70686.306156098188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0.18563357239900233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45272.76375611245</v>
      </c>
      <c r="C22" s="23">
        <f ca="1">C18*C20</f>
        <v>0</v>
      </c>
      <c r="D22" s="23">
        <f>D18*D20</f>
        <v>17034.460219172004</v>
      </c>
      <c r="E22" s="23">
        <f>E18*E20</f>
        <v>7080.0300165837816</v>
      </c>
      <c r="F22" s="23">
        <f>F18*F20</f>
        <v>31400.68681718588</v>
      </c>
      <c r="G22" s="23"/>
      <c r="H22" s="23"/>
      <c r="I22" s="23"/>
      <c r="J22" s="23">
        <f>J18*J20</f>
        <v>373.57799771723501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33278.014999999999</v>
      </c>
      <c r="C30" s="39">
        <f>IF(ISERROR(B30*3.6/1000000/'E Balans VL '!Z18*100),0,B30*3.6/1000000/'E Balans VL '!Z18*100)</f>
        <v>7.0508979166620742</v>
      </c>
      <c r="D30" s="237" t="s">
        <v>660</v>
      </c>
    </row>
    <row r="31" spans="1:18">
      <c r="A31" s="6" t="s">
        <v>33</v>
      </c>
      <c r="B31" s="37">
        <f>IF( ISERROR(IND_ander_ele_kWh/1000),0,IND_ander_ele_kWh/1000)</f>
        <v>115741.397</v>
      </c>
      <c r="C31" s="39">
        <f>IF(ISERROR(B31*3.6/1000000/'E Balans VL '!Z19*100),0,B31*3.6/1000000/'E Balans VL '!Z19*100)</f>
        <v>4.8718182096849825</v>
      </c>
      <c r="D31" s="237" t="s">
        <v>660</v>
      </c>
    </row>
    <row r="32" spans="1:18">
      <c r="A32" s="171" t="s">
        <v>41</v>
      </c>
      <c r="B32" s="37">
        <f>IF( ISERROR(IND_voed_ele_kWh/1000),0,IND_voed_ele_kWh/1000)</f>
        <v>7873.3239999999996</v>
      </c>
      <c r="C32" s="39">
        <f>IF(ISERROR(B32*3.6/1000000/'E Balans VL '!Z20*100),0,B32*3.6/1000000/'E Balans VL '!Z20*100)</f>
        <v>1.3153278547343972</v>
      </c>
      <c r="D32" s="237" t="s">
        <v>660</v>
      </c>
    </row>
    <row r="33" spans="1:5">
      <c r="A33" s="171" t="s">
        <v>40</v>
      </c>
      <c r="B33" s="37">
        <f>IF( ISERROR(IND_textiel_ele_kWh/1000),0,IND_textiel_ele_kWh/1000)</f>
        <v>12452.286</v>
      </c>
      <c r="C33" s="39">
        <f>IF(ISERROR(B33*3.6/1000000/'E Balans VL '!Z21*100),0,B33*3.6/1000000/'E Balans VL '!Z21*100)</f>
        <v>0.72700172035610344</v>
      </c>
      <c r="D33" s="237" t="s">
        <v>660</v>
      </c>
    </row>
    <row r="34" spans="1:5">
      <c r="A34" s="171" t="s">
        <v>37</v>
      </c>
      <c r="B34" s="37">
        <f>IF( ISERROR(IND_min_ele_kWh/1000),0,IND_min_ele_kWh/1000)</f>
        <v>744.68600000000004</v>
      </c>
      <c r="C34" s="39">
        <f>IF(ISERROR(B34*3.6/1000000/'E Balans VL '!Z22*100),0,B34*3.6/1000000/'E Balans VL '!Z22*100)</f>
        <v>9.4392966579736656E-2</v>
      </c>
      <c r="D34" s="237" t="s">
        <v>660</v>
      </c>
    </row>
    <row r="35" spans="1:5">
      <c r="A35" s="171" t="s">
        <v>39</v>
      </c>
      <c r="B35" s="37">
        <f>IF( ISERROR(IND_papier_ele_kWh/1000),0,IND_papier_ele_kWh/1000)</f>
        <v>15743.008</v>
      </c>
      <c r="C35" s="39">
        <f>IF(ISERROR(B35*3.6/1000000/'E Balans VL '!Z22*100),0,B35*3.6/1000000/'E Balans VL '!Z22*100)</f>
        <v>1.9955111657913898</v>
      </c>
      <c r="D35" s="237" t="s">
        <v>660</v>
      </c>
    </row>
    <row r="36" spans="1:5">
      <c r="A36" s="171" t="s">
        <v>34</v>
      </c>
      <c r="B36" s="37">
        <f>IF( ISERROR(IND_chemie_ele_kWh/1000),0,IND_chemie_ele_kWh/1000)</f>
        <v>56858.98</v>
      </c>
      <c r="C36" s="39">
        <f>IF(ISERROR(B36*3.6/1000000/'E Balans VL '!Z24*100),0,B36*3.6/1000000/'E Balans VL '!Z24*100)</f>
        <v>1.8467815039723605</v>
      </c>
      <c r="D36" s="237" t="s">
        <v>660</v>
      </c>
    </row>
    <row r="37" spans="1:5">
      <c r="A37" s="171" t="s">
        <v>270</v>
      </c>
      <c r="B37" s="37">
        <f>IF( ISERROR(IND_rest_ele_kWh/1000),0,IND_rest_ele_kWh/1000)</f>
        <v>65.302000000000007</v>
      </c>
      <c r="C37" s="39">
        <f>IF(ISERROR(B37*3.6/1000000/'E Balans VL '!Z15*100),0,B37*3.6/1000000/'E Balans VL '!Z15*100)</f>
        <v>5.2720833209335633E-4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597.28499999999997</v>
      </c>
      <c r="C5" s="17">
        <f>'Eigen informatie GS &amp; warmtenet'!B60</f>
        <v>0</v>
      </c>
      <c r="D5" s="30">
        <f>IF(ISERROR(SUM(LB_lb_gas_kWh,LB_rest_gas_kWh)/1000),0,SUM(LB_lb_gas_kWh,LB_rest_gas_kWh)/1000)*0.902</f>
        <v>506.21953800000006</v>
      </c>
      <c r="E5" s="17">
        <f>B17*'E Balans VL '!I25/3.6*1000000/100</f>
        <v>15.401686840740393</v>
      </c>
      <c r="F5" s="17">
        <f>B17*('E Balans VL '!L25/3.6*1000000+'E Balans VL '!N25/3.6*1000000)/100</f>
        <v>2183.1904224027267</v>
      </c>
      <c r="G5" s="18"/>
      <c r="H5" s="17"/>
      <c r="I5" s="17"/>
      <c r="J5" s="17">
        <f>('E Balans VL '!D25+'E Balans VL '!E25)/3.6*1000000*landbouw!B17/100</f>
        <v>85.987067881529498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597.28499999999997</v>
      </c>
      <c r="C8" s="21">
        <f>C5+C6</f>
        <v>0</v>
      </c>
      <c r="D8" s="21">
        <f>MAX((D5+D6),0)</f>
        <v>506.21953800000006</v>
      </c>
      <c r="E8" s="21">
        <f>MAX((E5+E6),0)</f>
        <v>15.401686840740393</v>
      </c>
      <c r="F8" s="21">
        <f>MAX((F5+F6),0)</f>
        <v>2183.1904224027267</v>
      </c>
      <c r="G8" s="21"/>
      <c r="H8" s="21"/>
      <c r="I8" s="21"/>
      <c r="J8" s="21">
        <f>MAX((J5+J6),0)</f>
        <v>85.987067881529498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0.18563357239900233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110.87614829033809</v>
      </c>
      <c r="C12" s="23">
        <f ca="1">C8*C10</f>
        <v>0</v>
      </c>
      <c r="D12" s="23">
        <f>D8*D10</f>
        <v>102.25634667600002</v>
      </c>
      <c r="E12" s="23">
        <f>E8*E10</f>
        <v>3.4961829128480693</v>
      </c>
      <c r="F12" s="23">
        <f>F8*F10</f>
        <v>582.91184278152809</v>
      </c>
      <c r="G12" s="23"/>
      <c r="H12" s="23"/>
      <c r="I12" s="23"/>
      <c r="J12" s="23">
        <f>J8*J10</f>
        <v>30.43942203006144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8.4221141327127783E-2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4.3759378692737148</v>
      </c>
      <c r="C26" s="247">
        <f>B26*'GWP N2O_CH4'!B5</f>
        <v>91.894695254748015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0.40524964345499609</v>
      </c>
      <c r="C27" s="247">
        <f>B27*'GWP N2O_CH4'!B5</f>
        <v>8.5102425125549175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4.4715448503916962E-2</v>
      </c>
      <c r="C28" s="247">
        <f>B28*'GWP N2O_CH4'!B4</f>
        <v>13.861789036214258</v>
      </c>
      <c r="D28" s="50"/>
    </row>
    <row r="29" spans="1:4">
      <c r="A29" s="41" t="s">
        <v>277</v>
      </c>
      <c r="B29" s="247">
        <f>B34*'ha_N2O bodem landbouw'!B4</f>
        <v>2.5401399203341009</v>
      </c>
      <c r="C29" s="247">
        <f>B29*'GWP N2O_CH4'!B4</f>
        <v>787.44337530357132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5.7166951729380471E-4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4.4745846674321338E-4</v>
      </c>
      <c r="C5" s="463" t="s">
        <v>211</v>
      </c>
      <c r="D5" s="448">
        <f>SUM(D6:D11)</f>
        <v>9.9584320099035278E-4</v>
      </c>
      <c r="E5" s="448">
        <f>SUM(E6:E11)</f>
        <v>4.1303401658390436E-3</v>
      </c>
      <c r="F5" s="461" t="s">
        <v>211</v>
      </c>
      <c r="G5" s="448">
        <f>SUM(G6:G11)</f>
        <v>1.469239272902342</v>
      </c>
      <c r="H5" s="448">
        <f>SUM(H6:H11)</f>
        <v>0.27123121605462996</v>
      </c>
      <c r="I5" s="463" t="s">
        <v>211</v>
      </c>
      <c r="J5" s="463" t="s">
        <v>211</v>
      </c>
      <c r="K5" s="463" t="s">
        <v>211</v>
      </c>
      <c r="L5" s="463" t="s">
        <v>211</v>
      </c>
      <c r="M5" s="448">
        <f>SUM(M6:M11)</f>
        <v>5.4414344932726691E-2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2.4941383335005387E-4</v>
      </c>
      <c r="C6" s="449"/>
      <c r="D6" s="892">
        <f>vkm_2011_GW_PW*SUMIFS(TableVerdeelsleutelVkm[CNG],TableVerdeelsleutelVkm[Voertuigtype],"Lichte voertuigen")*SUMIFS(TableECFTransport[EnergieConsumptieFactor (PJ per km)],TableECFTransport[Index],CONCATENATE($A6,"_CNG_CNG"))</f>
        <v>4.9558965573256401E-4</v>
      </c>
      <c r="E6" s="892">
        <f>vkm_2011_GW_PW*SUMIFS(TableVerdeelsleutelVkm[LPG],TableVerdeelsleutelVkm[Voertuigtype],"Lichte voertuigen")*SUMIFS(TableECFTransport[EnergieConsumptieFactor (PJ per km)],TableECFTransport[Index],CONCATENATE($A6,"_LPG_LPG"))</f>
        <v>1.9503229508813643E-3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0.4637198782369551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0.13417102929198046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1.8630832779137969E-2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0.24165010595504036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7.80633059471594E-5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7.6140250955998891E-3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6.1398051619217619E-5</v>
      </c>
      <c r="C8" s="449"/>
      <c r="D8" s="451">
        <f>vkm_2011_NGW_PW*SUMIFS(TableVerdeelsleutelVkm[CNG],TableVerdeelsleutelVkm[Voertuigtype],"Lichte voertuigen")*SUMIFS(TableECFTransport[EnergieConsumptieFactor (PJ per km)],TableECFTransport[Index],CONCATENATE($A8,"_CNG_CNG"))</f>
        <v>2.1601573211591505E-4</v>
      </c>
      <c r="E8" s="451">
        <f>vkm_2011_NGW_PW*SUMIFS(TableVerdeelsleutelVkm[LPG],TableVerdeelsleutelVkm[Voertuigtype],"Lichte voertuigen")*SUMIFS(TableECFTransport[EnergieConsumptieFactor (PJ per km)],TableECFTransport[Index],CONCATENATE($A8,"_LPG_LPG"))</f>
        <v>7.8619170847149403E-4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0.17455665993423183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5.6707292870313293E-2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7.1991566092863687E-3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1.1866532092226694E-2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3.6253261717510285E-6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3.7389002882219337E-4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1.3664658177394185E-4</v>
      </c>
      <c r="C10" s="449"/>
      <c r="D10" s="451">
        <f>vkm_2011_SW_PW*SUMIFS(TableVerdeelsleutelVkm[CNG],TableVerdeelsleutelVkm[Voertuigtype],"Lichte voertuigen")*SUMIFS(TableECFTransport[EnergieConsumptieFactor (PJ per km)],TableECFTransport[Index],CONCATENATE($A10,"_CNG_CNG"))</f>
        <v>2.8423781314187367E-4</v>
      </c>
      <c r="E10" s="451">
        <f>vkm_2011_SW_PW*SUMIFS(TableVerdeelsleutelVkm[LPG],TableVerdeelsleutelVkm[Voertuigtype],"Lichte voertuigen")*SUMIFS(TableECFTransport[EnergieConsumptieFactor (PJ per km)],TableECFTransport[Index],CONCATENATE($A10,"_LPG_LPG"))</f>
        <v>1.3938255064861853E-3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0.29686882950153165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8.0173547960281644E-2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1.1755669517327127E-2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0.28057726718235626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9.7657299935664674E-5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8.8407709025531429E-3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124.29401853978149</v>
      </c>
      <c r="C14" s="21"/>
      <c r="D14" s="21">
        <f t="shared" ref="D14:M14" si="0">((D5)*10^9/3600)+D12</f>
        <v>276.62311138620913</v>
      </c>
      <c r="E14" s="21">
        <f t="shared" si="0"/>
        <v>1147.3167127330676</v>
      </c>
      <c r="F14" s="21"/>
      <c r="G14" s="21">
        <f t="shared" si="0"/>
        <v>408122.02025065059</v>
      </c>
      <c r="H14" s="21">
        <f t="shared" si="0"/>
        <v>75342.004459619435</v>
      </c>
      <c r="I14" s="21"/>
      <c r="J14" s="21"/>
      <c r="K14" s="21"/>
      <c r="L14" s="21"/>
      <c r="M14" s="21">
        <f t="shared" si="0"/>
        <v>15115.095814646302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0.18563357239900233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23.073142689367465</v>
      </c>
      <c r="C18" s="23"/>
      <c r="D18" s="23">
        <f t="shared" ref="D18:M18" si="1">D14*D16</f>
        <v>55.877868500014252</v>
      </c>
      <c r="E18" s="23">
        <f t="shared" si="1"/>
        <v>260.44089379040634</v>
      </c>
      <c r="F18" s="23"/>
      <c r="G18" s="23">
        <f t="shared" si="1"/>
        <v>108968.57940692372</v>
      </c>
      <c r="H18" s="23">
        <f t="shared" si="1"/>
        <v>18760.159110445238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5.436914095768948E-2</v>
      </c>
      <c r="H50" s="321">
        <f t="shared" si="2"/>
        <v>0</v>
      </c>
      <c r="I50" s="321">
        <f t="shared" si="2"/>
        <v>0</v>
      </c>
      <c r="J50" s="321">
        <f t="shared" si="2"/>
        <v>0</v>
      </c>
      <c r="K50" s="321">
        <f t="shared" si="2"/>
        <v>0</v>
      </c>
      <c r="L50" s="321">
        <f t="shared" si="2"/>
        <v>0</v>
      </c>
      <c r="M50" s="321">
        <f t="shared" si="2"/>
        <v>1.6864091188392302E-3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5.436914095768948E-2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1.6864091188392302E-3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15102.539154913744</v>
      </c>
      <c r="H54" s="21">
        <f t="shared" si="3"/>
        <v>0</v>
      </c>
      <c r="I54" s="21">
        <f t="shared" si="3"/>
        <v>0</v>
      </c>
      <c r="J54" s="21">
        <f t="shared" si="3"/>
        <v>0</v>
      </c>
      <c r="K54" s="21">
        <f t="shared" si="3"/>
        <v>0</v>
      </c>
      <c r="L54" s="21">
        <f t="shared" si="3"/>
        <v>0</v>
      </c>
      <c r="M54" s="21">
        <f t="shared" si="3"/>
        <v>468.44697745534171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0.18563357239900233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4032.3779543619698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46477.481623838197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36093.627716615767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144</v>
      </c>
      <c r="C8" s="570">
        <f>B101</f>
        <v>169.41176470588235</v>
      </c>
      <c r="D8" s="1043"/>
      <c r="E8" s="1043">
        <f>E101</f>
        <v>0</v>
      </c>
      <c r="F8" s="1044"/>
      <c r="G8" s="571"/>
      <c r="H8" s="1043">
        <f>I101</f>
        <v>0</v>
      </c>
      <c r="I8" s="1043">
        <f>G101+F101</f>
        <v>0</v>
      </c>
      <c r="J8" s="1043">
        <f>H101+D101+C101</f>
        <v>0</v>
      </c>
      <c r="K8" s="1043"/>
      <c r="L8" s="1043"/>
      <c r="M8" s="1043"/>
      <c r="N8" s="572"/>
      <c r="O8" s="573">
        <f>C8*$C$12+D8*$D$12+E8*$E$12+F8*$F$12+G8*$G$12+H8*$H$12+I8*$I$12+J8*$J$12</f>
        <v>34.221176470588233</v>
      </c>
      <c r="P8" s="1258"/>
      <c r="Q8" s="1259"/>
      <c r="S8" s="1007"/>
      <c r="T8" s="1237"/>
      <c r="U8" s="1237"/>
    </row>
    <row r="9" spans="1:21" s="559" customFormat="1" ht="17.45" customHeight="1" thickBot="1">
      <c r="A9" s="574" t="s">
        <v>248</v>
      </c>
      <c r="B9" s="575">
        <f>N89+'Eigen informatie GS &amp; warmtenet'!B12</f>
        <v>1620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84335.109340453957</v>
      </c>
      <c r="C10" s="583">
        <f t="shared" ref="C10:L10" si="0">SUM(C8:C9)</f>
        <v>169.41176470588235</v>
      </c>
      <c r="D10" s="583">
        <f t="shared" si="0"/>
        <v>0</v>
      </c>
      <c r="E10" s="583">
        <f t="shared" si="0"/>
        <v>0</v>
      </c>
      <c r="F10" s="583">
        <f t="shared" si="0"/>
        <v>0</v>
      </c>
      <c r="G10" s="583">
        <f t="shared" si="0"/>
        <v>0</v>
      </c>
      <c r="H10" s="583">
        <f t="shared" si="0"/>
        <v>0</v>
      </c>
      <c r="I10" s="583">
        <f t="shared" si="0"/>
        <v>0</v>
      </c>
      <c r="J10" s="583">
        <f t="shared" si="0"/>
        <v>4628.5714285714284</v>
      </c>
      <c r="K10" s="583">
        <f t="shared" si="0"/>
        <v>0</v>
      </c>
      <c r="L10" s="583">
        <f t="shared" si="0"/>
        <v>0</v>
      </c>
      <c r="M10" s="1046"/>
      <c r="N10" s="1046"/>
      <c r="O10" s="584">
        <f>SUM(O4:O9)</f>
        <v>34.221176470588233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205.71428571428572</v>
      </c>
      <c r="C17" s="595">
        <f>B102</f>
        <v>242.0168067226891</v>
      </c>
      <c r="D17" s="596"/>
      <c r="E17" s="596">
        <f>E102</f>
        <v>0</v>
      </c>
      <c r="F17" s="1049"/>
      <c r="G17" s="597"/>
      <c r="H17" s="595">
        <f>I102</f>
        <v>0</v>
      </c>
      <c r="I17" s="596">
        <f>G102+F102</f>
        <v>0</v>
      </c>
      <c r="J17" s="596">
        <f>H102+D102+C102</f>
        <v>0</v>
      </c>
      <c r="K17" s="596"/>
      <c r="L17" s="596"/>
      <c r="M17" s="596"/>
      <c r="N17" s="1050"/>
      <c r="O17" s="598">
        <f>C17*$C$22+E17*$E$22+H17*$H$22+I17*$I$22+J17*$J$22+D17*$D$22+F17*$F$22+G17*$G$22+K17*$K$22+L17*$L$22</f>
        <v>48.887394957983197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205.71428571428572</v>
      </c>
      <c r="C20" s="582">
        <f>SUM(C17:C19)</f>
        <v>242.0168067226891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48.887394957983197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71016</v>
      </c>
      <c r="C28" s="796">
        <v>3600</v>
      </c>
      <c r="D28" s="653" t="s">
        <v>890</v>
      </c>
      <c r="E28" s="652" t="s">
        <v>891</v>
      </c>
      <c r="F28" s="652" t="s">
        <v>892</v>
      </c>
      <c r="G28" s="652" t="s">
        <v>893</v>
      </c>
      <c r="H28" s="652" t="s">
        <v>894</v>
      </c>
      <c r="I28" s="652" t="s">
        <v>891</v>
      </c>
      <c r="J28" s="795">
        <v>39239</v>
      </c>
      <c r="K28" s="795">
        <v>39356</v>
      </c>
      <c r="L28" s="652" t="s">
        <v>895</v>
      </c>
      <c r="M28" s="652">
        <v>17</v>
      </c>
      <c r="N28" s="652">
        <v>76.5</v>
      </c>
      <c r="O28" s="652">
        <v>109.28571428571429</v>
      </c>
      <c r="P28" s="652">
        <v>218.57142857142858</v>
      </c>
      <c r="Q28" s="652">
        <v>0</v>
      </c>
      <c r="R28" s="652">
        <v>0</v>
      </c>
      <c r="S28" s="652">
        <v>0</v>
      </c>
      <c r="T28" s="652">
        <v>0</v>
      </c>
      <c r="U28" s="652">
        <v>0</v>
      </c>
      <c r="V28" s="652">
        <v>0</v>
      </c>
      <c r="W28" s="652">
        <v>0</v>
      </c>
      <c r="X28" s="652">
        <v>1600</v>
      </c>
      <c r="Y28" s="652" t="s">
        <v>50</v>
      </c>
      <c r="Z28" s="654" t="s">
        <v>156</v>
      </c>
    </row>
    <row r="29" spans="1:26" s="606" customFormat="1" ht="25.5">
      <c r="A29" s="605"/>
      <c r="B29" s="796">
        <v>71016</v>
      </c>
      <c r="C29" s="796">
        <v>3600</v>
      </c>
      <c r="D29" s="653" t="s">
        <v>896</v>
      </c>
      <c r="E29" s="652" t="s">
        <v>897</v>
      </c>
      <c r="F29" s="652" t="s">
        <v>898</v>
      </c>
      <c r="G29" s="652" t="s">
        <v>893</v>
      </c>
      <c r="H29" s="652" t="s">
        <v>894</v>
      </c>
      <c r="I29" s="652" t="s">
        <v>899</v>
      </c>
      <c r="J29" s="795">
        <v>41099</v>
      </c>
      <c r="K29" s="795">
        <v>41244</v>
      </c>
      <c r="L29" s="652" t="s">
        <v>895</v>
      </c>
      <c r="M29" s="652">
        <v>15</v>
      </c>
      <c r="N29" s="652">
        <v>67.5</v>
      </c>
      <c r="O29" s="652">
        <v>96.428571428571431</v>
      </c>
      <c r="P29" s="652">
        <v>192.85714285714286</v>
      </c>
      <c r="Q29" s="652">
        <v>0</v>
      </c>
      <c r="R29" s="652">
        <v>0</v>
      </c>
      <c r="S29" s="652">
        <v>0</v>
      </c>
      <c r="T29" s="652">
        <v>0</v>
      </c>
      <c r="U29" s="652">
        <v>0</v>
      </c>
      <c r="V29" s="652">
        <v>0</v>
      </c>
      <c r="W29" s="652">
        <v>0</v>
      </c>
      <c r="X29" s="652">
        <v>1300</v>
      </c>
      <c r="Y29" s="652" t="s">
        <v>54</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32</v>
      </c>
      <c r="N58" s="610">
        <f>SUM(N28:N57)</f>
        <v>144</v>
      </c>
      <c r="O58" s="610">
        <f t="shared" ref="O58:W58" si="2">SUM(O28:O57)</f>
        <v>205.71428571428572</v>
      </c>
      <c r="P58" s="610">
        <f t="shared" si="2"/>
        <v>411.42857142857144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32</v>
      </c>
      <c r="N60" s="610">
        <f ca="1">SUMIF($Z$28:AD57,"tertiair",N28:N57)</f>
        <v>144</v>
      </c>
      <c r="O60" s="610">
        <f ca="1">SUMIF($Z$28:AE57,"tertiair",O28:O57)</f>
        <v>205.71428571428572</v>
      </c>
      <c r="P60" s="610">
        <f ca="1">SUMIF($Z$28:AF57,"tertiair",P28:P57)</f>
        <v>411.42857142857144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71016</v>
      </c>
      <c r="C64" s="796">
        <v>3600</v>
      </c>
      <c r="D64" s="655" t="s">
        <v>900</v>
      </c>
      <c r="E64" s="655" t="s">
        <v>901</v>
      </c>
      <c r="F64" s="655" t="s">
        <v>902</v>
      </c>
      <c r="G64" s="655" t="s">
        <v>903</v>
      </c>
      <c r="H64" s="655" t="s">
        <v>904</v>
      </c>
      <c r="I64" s="655" t="s">
        <v>905</v>
      </c>
      <c r="J64" s="795">
        <v>33970</v>
      </c>
      <c r="K64" s="795">
        <v>37316</v>
      </c>
      <c r="L64" s="655" t="s">
        <v>895</v>
      </c>
      <c r="M64" s="655">
        <v>360</v>
      </c>
      <c r="N64" s="655">
        <v>1620</v>
      </c>
      <c r="O64" s="655">
        <v>0</v>
      </c>
      <c r="P64" s="655">
        <v>0</v>
      </c>
      <c r="Q64" s="655">
        <v>4628.5714285714284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360</v>
      </c>
      <c r="N89" s="610">
        <f t="shared" ref="N89:W89" si="5">SUM(N64:N88)</f>
        <v>1620</v>
      </c>
      <c r="O89" s="610">
        <f t="shared" si="5"/>
        <v>0</v>
      </c>
      <c r="P89" s="610">
        <f t="shared" si="5"/>
        <v>0</v>
      </c>
      <c r="Q89" s="610">
        <f t="shared" si="5"/>
        <v>4628.5714285714284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360</v>
      </c>
      <c r="N91" s="610">
        <f t="shared" si="7"/>
        <v>1620</v>
      </c>
      <c r="O91" s="610">
        <f t="shared" si="7"/>
        <v>0</v>
      </c>
      <c r="P91" s="610">
        <f t="shared" si="7"/>
        <v>0</v>
      </c>
      <c r="Q91" s="610">
        <f t="shared" si="7"/>
        <v>4628.5714285714284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169.41176470588235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242.0168067226891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2019-08-12T08:26:06Z</dcterms:modified>
</cp:coreProperties>
</file>