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F19"/>
  <c r="E19"/>
  <c r="D19"/>
  <c r="E89" i="14" s="1"/>
  <c r="E19" i="59" s="1"/>
  <c r="C19" i="18"/>
  <c r="D89" i="14" s="1"/>
  <c r="D19" i="59" s="1"/>
  <c r="B19" i="18"/>
  <c r="N18"/>
  <c r="M18"/>
  <c r="L18"/>
  <c r="K18"/>
  <c r="N88" i="14" s="1"/>
  <c r="N18" i="59" s="1"/>
  <c r="J18" i="18"/>
  <c r="J88" i="14" s="1"/>
  <c r="J18" i="59" s="1"/>
  <c r="I18" i="18"/>
  <c r="H18"/>
  <c r="G18"/>
  <c r="F18"/>
  <c r="E18"/>
  <c r="D18"/>
  <c r="C18"/>
  <c r="D88" i="14" s="1"/>
  <c r="D18" i="59" s="1"/>
  <c r="B18" i="18"/>
  <c r="L9"/>
  <c r="O77" i="14" s="1"/>
  <c r="K9" i="18"/>
  <c r="K10" s="1"/>
  <c r="G9"/>
  <c r="F9"/>
  <c r="D9"/>
  <c r="E77" i="14" s="1"/>
  <c r="E9" i="59" s="1"/>
  <c r="C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U61"/>
  <c r="T61"/>
  <c r="S61"/>
  <c r="R61"/>
  <c r="Q61"/>
  <c r="P61"/>
  <c r="D6" i="17" s="1"/>
  <c r="O61" i="18"/>
  <c r="N61"/>
  <c r="M61"/>
  <c r="W60"/>
  <c r="V60"/>
  <c r="U60"/>
  <c r="T60"/>
  <c r="S60"/>
  <c r="F13" i="15" s="1"/>
  <c r="R60" i="18"/>
  <c r="Q60"/>
  <c r="P60"/>
  <c r="O60"/>
  <c r="C13" i="15" s="1"/>
  <c r="N60" i="18"/>
  <c r="B13" i="15" s="1"/>
  <c r="M60" i="18"/>
  <c r="W59"/>
  <c r="V59"/>
  <c r="U59"/>
  <c r="T59"/>
  <c r="S59"/>
  <c r="R59"/>
  <c r="Q59"/>
  <c r="P59"/>
  <c r="O59"/>
  <c r="N59"/>
  <c r="M59"/>
  <c r="W58"/>
  <c r="V58"/>
  <c r="U58"/>
  <c r="T58"/>
  <c r="S58"/>
  <c r="R58"/>
  <c r="Q58"/>
  <c r="P58"/>
  <c r="O58"/>
  <c r="B98" s="1"/>
  <c r="N58"/>
  <c r="M58"/>
  <c r="G22"/>
  <c r="F22"/>
  <c r="E22"/>
  <c r="D22"/>
  <c r="C22"/>
  <c r="K20"/>
  <c r="G12"/>
  <c r="F12"/>
  <c r="E12"/>
  <c r="D12"/>
  <c r="C12"/>
  <c r="F10"/>
  <c r="D10"/>
  <c r="B6"/>
  <c r="B5"/>
  <c r="B73" i="14" s="1"/>
  <c r="B5" i="59" s="1"/>
  <c r="B4" i="18"/>
  <c r="F6" i="17"/>
  <c r="D5"/>
  <c r="B19" i="6"/>
  <c r="B18"/>
  <c r="B5"/>
  <c r="B6"/>
  <c r="D14" i="48"/>
  <c r="B14"/>
  <c r="P7"/>
  <c r="O7"/>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1" s="1"/>
  <c r="O17"/>
  <c r="O29" s="1"/>
  <c r="M4"/>
  <c r="L4"/>
  <c r="K4"/>
  <c r="I4"/>
  <c r="H4"/>
  <c r="G4"/>
  <c r="P11"/>
  <c r="P29" s="1"/>
  <c r="O11"/>
  <c r="N11"/>
  <c r="M11"/>
  <c r="L11"/>
  <c r="K11"/>
  <c r="J11"/>
  <c r="I11"/>
  <c r="H11"/>
  <c r="G11"/>
  <c r="F11"/>
  <c r="E11"/>
  <c r="D11"/>
  <c r="C11"/>
  <c r="Q11" s="1"/>
  <c r="B11"/>
  <c r="P32"/>
  <c r="O32"/>
  <c r="Q12"/>
  <c r="P28"/>
  <c r="O28"/>
  <c r="P27"/>
  <c r="P25"/>
  <c r="O25"/>
  <c r="M89" i="14"/>
  <c r="M19" i="59" s="1"/>
  <c r="L89" i="14"/>
  <c r="L19" i="59" s="1"/>
  <c r="K89" i="14"/>
  <c r="K19" i="59" s="1"/>
  <c r="K20" s="1"/>
  <c r="J89" i="14"/>
  <c r="J19" i="59" s="1"/>
  <c r="G89" i="14"/>
  <c r="G19" i="59" s="1"/>
  <c r="M88" i="14"/>
  <c r="M18" i="59" s="1"/>
  <c r="L88" i="14"/>
  <c r="L18" i="59" s="1"/>
  <c r="K88" i="14"/>
  <c r="K18" i="59" s="1"/>
  <c r="I88" i="14"/>
  <c r="I18" i="59" s="1"/>
  <c r="H88" i="14"/>
  <c r="F88"/>
  <c r="F18" i="59" s="1"/>
  <c r="O87" i="14"/>
  <c r="N87"/>
  <c r="N17" i="59" s="1"/>
  <c r="L87" i="14"/>
  <c r="L17" i="59" s="1"/>
  <c r="K87" i="14"/>
  <c r="K17" i="59" s="1"/>
  <c r="H87" i="14"/>
  <c r="H17" i="59" s="1"/>
  <c r="G87" i="14"/>
  <c r="G17" i="59" s="1"/>
  <c r="E87" i="14"/>
  <c r="E17" i="59" s="1"/>
  <c r="N77" i="14"/>
  <c r="N9" i="59" s="1"/>
  <c r="L77" i="14"/>
  <c r="L9" i="59" s="1"/>
  <c r="K77" i="14"/>
  <c r="K9" i="59" s="1"/>
  <c r="G77" i="14"/>
  <c r="G9" i="59" s="1"/>
  <c r="D77" i="14"/>
  <c r="D9" i="59" s="1"/>
  <c r="O76" i="14"/>
  <c r="O8" i="59" s="1"/>
  <c r="N76" i="14"/>
  <c r="N8" i="59" s="1"/>
  <c r="L76" i="14"/>
  <c r="K76"/>
  <c r="K8" i="59" s="1"/>
  <c r="H76" i="14"/>
  <c r="G76"/>
  <c r="G8" i="59" s="1"/>
  <c r="G10" s="1"/>
  <c r="E76" i="14"/>
  <c r="E8" i="59" s="1"/>
  <c r="B75" i="14"/>
  <c r="B7" i="59" s="1"/>
  <c r="B74" i="14"/>
  <c r="B6" i="59" s="1"/>
  <c r="B72" i="14"/>
  <c r="B4" i="59" s="1"/>
  <c r="C64" i="14"/>
  <c r="C29"/>
  <c r="Q54"/>
  <c r="Q56" s="1"/>
  <c r="P54"/>
  <c r="L54"/>
  <c r="L56" s="1"/>
  <c r="J54"/>
  <c r="J56" s="1"/>
  <c r="I54"/>
  <c r="H54"/>
  <c r="Q24"/>
  <c r="P24"/>
  <c r="P26" s="1"/>
  <c r="N24"/>
  <c r="N26" s="1"/>
  <c r="L24"/>
  <c r="J24"/>
  <c r="I24"/>
  <c r="H24"/>
  <c r="H26" s="1"/>
  <c r="Q50"/>
  <c r="Q52" s="1"/>
  <c r="P50"/>
  <c r="O50"/>
  <c r="M50"/>
  <c r="L50"/>
  <c r="K50"/>
  <c r="J50"/>
  <c r="G50"/>
  <c r="D50"/>
  <c r="Q49"/>
  <c r="P49"/>
  <c r="Q20"/>
  <c r="P20"/>
  <c r="O20"/>
  <c r="M20"/>
  <c r="L20"/>
  <c r="K20"/>
  <c r="J20"/>
  <c r="G20"/>
  <c r="D20"/>
  <c r="Q19"/>
  <c r="P19"/>
  <c r="O19"/>
  <c r="M19"/>
  <c r="L19"/>
  <c r="L22" s="1"/>
  <c r="K19"/>
  <c r="J19"/>
  <c r="I19"/>
  <c r="G19"/>
  <c r="G22" s="1"/>
  <c r="F19"/>
  <c r="E19"/>
  <c r="D19"/>
  <c r="Q48"/>
  <c r="P48"/>
  <c r="P52" s="1"/>
  <c r="O48"/>
  <c r="M48"/>
  <c r="L48"/>
  <c r="K48"/>
  <c r="J48"/>
  <c r="G48"/>
  <c r="D48"/>
  <c r="Q18"/>
  <c r="Q22" s="1"/>
  <c r="P18"/>
  <c r="P22" s="1"/>
  <c r="O18"/>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I56"/>
  <c r="R44"/>
  <c r="R25"/>
  <c r="E25"/>
  <c r="E55" s="1"/>
  <c r="C25"/>
  <c r="Q26"/>
  <c r="L26"/>
  <c r="J26"/>
  <c r="I26"/>
  <c r="O22"/>
  <c r="J22"/>
  <c r="R12"/>
  <c r="O78" l="1"/>
  <c r="O9" i="59"/>
  <c r="G10" i="18"/>
  <c r="H77" i="14"/>
  <c r="H9" i="59" s="1"/>
  <c r="O20"/>
  <c r="D22" i="14"/>
  <c r="N6" i="17"/>
  <c r="D20" i="18"/>
  <c r="E88" i="14"/>
  <c r="E18" i="59" s="1"/>
  <c r="E20" s="1"/>
  <c r="O88" i="14"/>
  <c r="O18" i="59" s="1"/>
  <c r="L20" i="18"/>
  <c r="H89" i="14"/>
  <c r="H19" i="59" s="1"/>
  <c r="G20" i="18"/>
  <c r="O17" i="59"/>
  <c r="O90" i="14"/>
  <c r="L6" i="17"/>
  <c r="N20" i="59"/>
  <c r="L78" i="14"/>
  <c r="L8" i="59"/>
  <c r="L10" s="1"/>
  <c r="H90" i="14"/>
  <c r="H18" i="59"/>
  <c r="H8"/>
  <c r="O10"/>
  <c r="K10"/>
  <c r="H20"/>
  <c r="C98" i="18"/>
  <c r="E101" s="1"/>
  <c r="E8" s="1"/>
  <c r="D13" i="15"/>
  <c r="B10" i="18"/>
  <c r="L10"/>
  <c r="K90" i="14"/>
  <c r="F20" i="18"/>
  <c r="N90" i="14"/>
  <c r="E10" i="59"/>
  <c r="B17" i="18"/>
  <c r="B20" s="1"/>
  <c r="G78" i="14"/>
  <c r="N10" i="59"/>
  <c r="L20"/>
  <c r="B8" i="18"/>
  <c r="O19"/>
  <c r="L13" i="15"/>
  <c r="N13"/>
  <c r="Q77" i="14"/>
  <c r="P9" i="59" s="1"/>
  <c r="O9" i="18"/>
  <c r="O18"/>
  <c r="B89" i="14"/>
  <c r="B19" i="59" s="1"/>
  <c r="G88" i="14"/>
  <c r="F89"/>
  <c r="I101" i="18"/>
  <c r="H8" s="1"/>
  <c r="H101"/>
  <c r="D101"/>
  <c r="G101"/>
  <c r="C101"/>
  <c r="F101"/>
  <c r="B101"/>
  <c r="C8" s="1"/>
  <c r="I102"/>
  <c r="H17" s="1"/>
  <c r="E102"/>
  <c r="E17" s="1"/>
  <c r="H102"/>
  <c r="D102"/>
  <c r="G102"/>
  <c r="C102"/>
  <c r="F102"/>
  <c r="B102"/>
  <c r="C17" s="1"/>
  <c r="B77" i="14"/>
  <c r="B9" i="59" s="1"/>
  <c r="Q14" i="48"/>
  <c r="O24"/>
  <c r="O30"/>
  <c r="P24"/>
  <c r="P30"/>
  <c r="C77" i="14"/>
  <c r="C9" i="59" s="1"/>
  <c r="C88" i="14"/>
  <c r="C18" i="59" s="1"/>
  <c r="E78" i="14"/>
  <c r="E90"/>
  <c r="N78"/>
  <c r="G90" l="1"/>
  <c r="G18" i="59"/>
  <c r="G20" s="1"/>
  <c r="C89" i="14"/>
  <c r="C19" i="59" s="1"/>
  <c r="F19"/>
  <c r="H10"/>
  <c r="Q88" i="14"/>
  <c r="P18" i="59" s="1"/>
  <c r="B88" i="14"/>
  <c r="B18" i="59" s="1"/>
  <c r="H78" i="14"/>
  <c r="Q89"/>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F32" i="48"/>
  <c r="F28"/>
  <c r="F27"/>
  <c r="F31"/>
  <c r="F29"/>
  <c r="F30"/>
  <c r="F24"/>
  <c r="N32"/>
  <c r="N28"/>
  <c r="N27"/>
  <c r="N31"/>
  <c r="N29"/>
  <c r="N30"/>
  <c r="N24"/>
  <c r="J32"/>
  <c r="J29"/>
  <c r="J28"/>
  <c r="J30"/>
  <c r="J27"/>
  <c r="J31"/>
  <c r="J24"/>
  <c r="Q11" i="14"/>
  <c r="P4" i="48"/>
  <c r="O4"/>
  <c r="P11" i="14"/>
  <c r="I32" i="48"/>
  <c r="I25"/>
  <c r="I26"/>
  <c r="I27"/>
  <c r="I22"/>
  <c r="I29"/>
  <c r="I30"/>
  <c r="I24"/>
  <c r="I28"/>
  <c r="I31"/>
  <c r="D4"/>
  <c r="D22" s="1"/>
  <c r="E11" i="14"/>
  <c r="H26" i="48"/>
  <c r="H28"/>
  <c r="H32"/>
  <c r="H24"/>
  <c r="H29"/>
  <c r="H25"/>
  <c r="H22"/>
  <c r="H30"/>
  <c r="H23"/>
  <c r="N46" i="14"/>
  <c r="G29" i="48"/>
  <c r="G32"/>
  <c r="G25"/>
  <c r="G22"/>
  <c r="G30"/>
  <c r="G24"/>
  <c r="G26"/>
  <c r="G23"/>
  <c r="B4"/>
  <c r="C11" i="14"/>
  <c r="B10" i="48"/>
  <c r="C19" i="14"/>
  <c r="E28" i="48"/>
  <c r="E32"/>
  <c r="E31"/>
  <c r="E29"/>
  <c r="E30"/>
  <c r="E24"/>
  <c r="M32"/>
  <c r="M26"/>
  <c r="M29"/>
  <c r="M25"/>
  <c r="M22"/>
  <c r="M24"/>
  <c r="M30"/>
  <c r="M23"/>
  <c r="L10" i="14"/>
  <c r="L16" s="1"/>
  <c r="L27" s="1"/>
  <c r="K5" i="48"/>
  <c r="D30"/>
  <c r="D29"/>
  <c r="D24"/>
  <c r="D31"/>
  <c r="D28"/>
  <c r="D32"/>
  <c r="L27"/>
  <c r="L32"/>
  <c r="L29"/>
  <c r="L31"/>
  <c r="L28"/>
  <c r="L24"/>
  <c r="L22"/>
  <c r="L30"/>
  <c r="Q10" i="14"/>
  <c r="P5" i="48"/>
  <c r="P23" s="1"/>
  <c r="K32"/>
  <c r="K31"/>
  <c r="K25"/>
  <c r="K28"/>
  <c r="K30"/>
  <c r="K29"/>
  <c r="K24"/>
  <c r="K27"/>
  <c r="K26"/>
  <c r="K22"/>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F20"/>
  <c r="F22" s="1"/>
  <c r="E9" i="48"/>
  <c r="E27" s="1"/>
  <c r="K23"/>
  <c r="K15"/>
  <c r="D9"/>
  <c r="D27" s="1"/>
  <c r="E20" i="14"/>
  <c r="E22" s="1"/>
  <c r="O5" i="48"/>
  <c r="O23" s="1"/>
  <c r="P10" i="14"/>
  <c r="J7" i="48"/>
  <c r="J25" s="1"/>
  <c r="K24" i="14"/>
  <c r="K26" s="1"/>
  <c r="C20"/>
  <c r="B9" i="48"/>
  <c r="F4"/>
  <c r="F22" s="1"/>
  <c r="G11" i="14"/>
  <c r="I5" i="48"/>
  <c r="J10" i="14"/>
  <c r="J16" s="1"/>
  <c r="J27" s="1"/>
  <c r="P22" i="48"/>
  <c r="P33" s="1"/>
  <c r="J12" i="17"/>
  <c r="K54" i="14" s="1"/>
  <c r="K56" s="1"/>
  <c r="L46"/>
  <c r="L61" s="1"/>
  <c r="L63" s="1"/>
  <c r="K33" i="48"/>
  <c r="J46" i="14"/>
  <c r="J61" s="1"/>
  <c r="M12" i="22"/>
  <c r="M13" i="48"/>
  <c r="M31" s="1"/>
  <c r="N18" i="14"/>
  <c r="O22" i="48"/>
  <c r="G13"/>
  <c r="H18" i="14"/>
  <c r="H13" i="48"/>
  <c r="H31" s="1"/>
  <c r="I18" i="14"/>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F11"/>
  <c r="E4" i="48"/>
  <c r="N4"/>
  <c r="N22" s="1"/>
  <c r="O11" i="14"/>
  <c r="G10" i="48"/>
  <c r="H19" i="14"/>
  <c r="R19" s="1"/>
  <c r="G31" i="48"/>
  <c r="Q13"/>
  <c r="I23"/>
  <c r="I33" s="1"/>
  <c r="I15"/>
  <c r="H20" i="14"/>
  <c r="G9" i="48"/>
  <c r="I20" i="14"/>
  <c r="H9" i="48"/>
  <c r="M10"/>
  <c r="M28" s="1"/>
  <c r="N19" i="14"/>
  <c r="J4" i="48"/>
  <c r="K11" i="14"/>
  <c r="E7" i="48"/>
  <c r="E25" s="1"/>
  <c r="F24" i="14"/>
  <c r="F26" s="1"/>
  <c r="R18"/>
  <c r="O22" i="16"/>
  <c r="P43" i="14" s="1"/>
  <c r="O8" i="48"/>
  <c r="P13" i="14"/>
  <c r="P16" s="1"/>
  <c r="P27" s="1"/>
  <c r="I22"/>
  <c r="I27" s="1"/>
  <c r="C22"/>
  <c r="P46"/>
  <c r="P61" s="1"/>
  <c r="J63"/>
  <c r="M14" i="22"/>
  <c r="P15"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J22" i="48"/>
  <c r="G28"/>
  <c r="Q10"/>
  <c r="N20" i="14"/>
  <c r="M9" i="48"/>
  <c r="J5"/>
  <c r="J23" s="1"/>
  <c r="K10" i="14"/>
  <c r="H27" i="48"/>
  <c r="H33" s="1"/>
  <c r="H15"/>
  <c r="E22"/>
  <c r="Q4"/>
  <c r="H22" i="14"/>
  <c r="H27" s="1"/>
  <c r="R11"/>
  <c r="F10"/>
  <c r="E5" i="48"/>
  <c r="E23" s="1"/>
  <c r="G27"/>
  <c r="G33" s="1"/>
  <c r="G15"/>
  <c r="O26"/>
  <c r="O33" s="1"/>
  <c r="O15"/>
  <c r="P63" i="14"/>
  <c r="Q7" i="48"/>
  <c r="E20" i="15"/>
  <c r="F40" i="14" s="1"/>
  <c r="J18" i="16"/>
  <c r="E18"/>
  <c r="F18"/>
  <c r="F22" s="1"/>
  <c r="G43" i="14" s="1"/>
  <c r="N18" i="16"/>
  <c r="G18" i="22"/>
  <c r="H50" i="14" s="1"/>
  <c r="E22" i="16"/>
  <c r="F43" i="14" s="1"/>
  <c r="H18" i="22"/>
  <c r="I50" i="14" s="1"/>
  <c r="I52" s="1"/>
  <c r="I61" s="1"/>
  <c r="I63" s="1"/>
  <c r="M27" i="48" l="1"/>
  <c r="M33" s="1"/>
  <c r="M15"/>
  <c r="H63" i="14"/>
  <c r="Q9" i="48"/>
  <c r="K16" i="14"/>
  <c r="K27" s="1"/>
  <c r="J22" i="16"/>
  <c r="K43" i="14" s="1"/>
  <c r="K46" s="1"/>
  <c r="K61" s="1"/>
  <c r="J8" i="48"/>
  <c r="K13" i="14"/>
  <c r="E8" i="48"/>
  <c r="E26" s="1"/>
  <c r="E33" s="1"/>
  <c r="F13" i="14"/>
  <c r="F16" s="1"/>
  <c r="F27" s="1"/>
  <c r="R20"/>
  <c r="R22" s="1"/>
  <c r="N22"/>
  <c r="N27" s="1"/>
  <c r="N63" s="1"/>
  <c r="F46"/>
  <c r="F61" s="1"/>
  <c r="E15" i="48"/>
  <c r="N8"/>
  <c r="N26" s="1"/>
  <c r="O13" i="14"/>
  <c r="N22" i="16"/>
  <c r="O43" i="14" s="1"/>
  <c r="G13"/>
  <c r="R13" s="1"/>
  <c r="F8" i="48"/>
  <c r="J26" l="1"/>
  <c r="J33" s="1"/>
  <c r="J15"/>
  <c r="F6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<sst xmlns="http://schemas.openxmlformats.org/spreadsheetml/2006/main" count="2419" uniqueCount="902">
  <si>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</si>
  <si>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</si>
  <si>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</si>
  <si>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</si>
  <si>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</si>
  <si>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</si>
  <si>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</si>
  <si>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</si>
  <si>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</si>
  <si>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</si>
  <si>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</si>
  <si>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</si>
  <si>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</si>
  <si>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</si>
  <si>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</si>
  <si>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</si>
  <si>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</si>
  <si>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</si>
  <si>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</si>
  <si>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</si>
  <si>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</si>
  <si>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</si>
  <si>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</si>
  <si>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</si>
  <si>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</si>
  <si>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</si>
  <si>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</si>
  <si>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</si>
  <si>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</si>
  <si>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</si>
  <si>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</si>
  <si>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</si>
  <si>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</si>
  <si>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</si>
  <si>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</si>
  <si>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</si>
  <si>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</si>
  <si>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</si>
  <si>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</si>
  <si>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</si>
  <si>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</si>
  <si>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</si>
  <si>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</si>
  <si>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</si>
  <si>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</si>
  <si>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</si>
  <si>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</si>
  <si>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</si>
  <si>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</si>
  <si>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</si>
  <si>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</si>
  <si>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</si>
  <si>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</si>
  <si>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</si>
  <si>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</si>
  <si>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</si>
  <si>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</si>
  <si>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</si>
  <si>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</si>
  <si>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</si>
  <si>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</si>
  <si>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</si>
  <si>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</si>
  <si>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</si>
  <si>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</si>
  <si>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</si>
  <si>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</si>
  <si>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</si>
  <si>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</si>
  <si>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</si>
  <si>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</si>
  <si>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</si>
  <si>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</si>
  <si>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</si>
  <si>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</si>
  <si>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</si>
  <si>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</si>
  <si>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</si>
  <si>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</si>
  <si>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</si>
  <si>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</si>
  <si>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</si>
  <si>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</si>
  <si>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</si>
  <si>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</si>
  <si>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</si>
  <si>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</si>
  <si>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</si>
  <si>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</si>
  <si>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</si>
  <si>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</si>
  <si>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</si>
  <si>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</si>
  <si>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</si>
  <si>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</si>
  <si>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</si>
  <si>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</si>
  <si>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</si>
  <si>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</si>
  <si>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</si>
  <si>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</si>
  <si>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</si>
  <si>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</si>
  <si>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</si>
  <si>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</si>
  <si>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</si>
  <si>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</si>
  <si>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</si>
  <si>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</si>
  <si>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</si>
  <si>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</si>
  <si>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</si>
  <si>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</si>
  <si>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</si>
  <si>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</si>
  <si>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</si>
  <si>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</si>
  <si>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</si>
  <si>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</si>
  <si>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</si>
  <si>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</si>
  <si>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</si>
  <si>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</si>
  <si>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</si>
  <si>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</si>
  <si>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</si>
  <si>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</si>
  <si>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</si>
  <si>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</si>
  <si>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</si>
  <si>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</si>
  <si>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</si>
  <si>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</si>
  <si>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</si>
  <si>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</si>
  <si>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</si>
  <si>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</si>
  <si>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</si>
  <si>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</si>
  <si>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</si>
  <si>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</si>
  <si>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</si>
  <si>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</si>
  <si>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</si>
  <si>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</si>
  <si>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</si>
  <si>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</si>
  <si>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</si>
  <si>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</si>
  <si>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</si>
  <si>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</si>
  <si>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</si>
  <si>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</si>
  <si>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</si>
  <si>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</si>
  <si>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</si>
  <si>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</si>
  <si>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</si>
  <si>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</si>
  <si>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</si>
  <si>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</si>
  <si>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</si>
  <si>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</si>
  <si>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</si>
  <si>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</si>
  <si>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</si>
  <si>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</si>
  <si>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</si>
  <si>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</si>
  <si>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</si>
  <si>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</si>
  <si>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</si>
  <si>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</si>
  <si>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</si>
  <si>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</si>
  <si>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</si>
  <si>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</si>
  <si>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</si>
  <si>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</si>
  <si>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</si>
  <si>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</si>
  <si>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</si>
  <si>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</si>
  <si>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</si>
  <si>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</si>
  <si>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</si>
  <si>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</si>
  <si>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</si>
  <si>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</si>
  <si>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</si>
  <si>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</si>
  <si>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</si>
  <si>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</si>
  <si>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</si>
  <si>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</si>
  <si>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</si>
  <si>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</si>
  <si>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</si>
  <si>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</si>
  <si>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</si>
  <si>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</si>
  <si>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</si>
  <si>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</si>
  <si>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</si>
  <si>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</si>
  <si>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</si>
  <si>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</si>
  <si>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</si>
  <si>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</si>
  <si>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</si>
  <si>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</si>
  <si>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</si>
  <si>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</si>
  <si>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</si>
  <si>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</si>
  <si>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</si>
  <si>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</si>
  <si>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</si>
  <si>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</si>
  <si>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</si>
  <si>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</si>
  <si>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</si>
  <si>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</si>
  <si>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</si>
  <si>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</si>
  <si>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</si>
  <si>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</si>
  <si>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</si>
  <si>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</si>
  <si>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</si>
  <si>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</si>
  <si>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</si>
  <si>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</si>
  <si>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</si>
  <si>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</si>
  <si>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</si>
  <si>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</si>
  <si>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</si>
  <si>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</si>
  <si>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</si>
  <si>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</si>
  <si>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</si>
  <si>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</si>
  <si>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</si>
  <si>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</si>
  <si>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</si>
  <si>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</si>
  <si>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</si>
  <si>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</si>
  <si>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</si>
  <si>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</si>
  <si>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</si>
  <si>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</si>
  <si>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</si>
  <si>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</si>
  <si>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</si>
  <si>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</si>
  <si>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</si>
  <si>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</si>
  <si>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</si>
  <si>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</si>
  <si>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</si>
  <si>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</si>
  <si>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</si>
  <si>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</si>
  <si>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</si>
  <si>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</si>
  <si>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</si>
  <si>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</si>
  <si>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</si>
  <si>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</si>
  <si>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</si>
  <si>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</si>
  <si>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</si>
  <si>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</si>
  <si>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</si>
  <si>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</si>
  <si>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</si>
  <si>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</si>
  <si>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</si>
  <si>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</si>
  <si>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</si>
  <si>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</si>
  <si>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</si>
  <si>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</si>
  <si>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</si>
  <si>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</si>
  <si>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</si>
  <si>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</si>
  <si>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</si>
  <si>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</si>
  <si>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</si>
  <si>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</si>
  <si>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</si>
  <si>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</si>
  <si>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</si>
  <si>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</si>
  <si>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</si>
  <si>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</si>
  <si>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</si>
  <si>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</si>
  <si>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</si>
  <si>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</si>
  <si>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</si>
  <si>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</si>
  <si>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</si>
  <si>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</si>
  <si>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</si>
  <si>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</si>
  <si>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</si>
  <si>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</si>
  <si>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</si>
  <si>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</si>
  <si>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</si>
  <si>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</si>
  <si>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</si>
  <si>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</si>
  <si>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</si>
  <si>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</si>
  <si>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</si>
  <si>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</si>
  <si>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</si>
  <si>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</si>
  <si>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</si>
  <si>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</si>
  <si>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</si>
  <si>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</si>
  <si>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</si>
  <si>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</si>
  <si>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</si>
  <si>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</si>
  <si>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</si>
  <si>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</si>
  <si>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</si>
  <si>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</si>
  <si>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</si>
  <si>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</si>
  <si>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</si>
  <si>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</si>
  <si>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</si>
  <si>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</si>
  <si>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</si>
  <si>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</si>
  <si>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</si>
  <si>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</si>
  <si>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</si>
  <si>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</si>
  <si>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</si>
  <si>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</si>
  <si>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</si>
  <si>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</si>
  <si>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</si>
  <si>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</si>
  <si>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</si>
  <si>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</si>
  <si>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</si>
  <si>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</si>
  <si>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</si>
  <si>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</si>
  <si>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</si>
  <si>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</si>
  <si>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</si>
  <si>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</si>
  <si>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</si>
  <si>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</si>
  <si>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</si>
  <si>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</si>
  <si>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</si>
  <si>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</si>
  <si>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</si>
  <si>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</si>
  <si>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</si>
  <si>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</si>
  <si>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</si>
  <si>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</si>
  <si>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</si>
  <si>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</si>
  <si>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</si>
  <si>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</si>
  <si>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</si>
  <si>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</si>
  <si>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</si>
  <si>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</si>
  <si>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</si>
  <si>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</si>
  <si>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</si>
  <si>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</si>
  <si>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</si>
  <si>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</si>
  <si>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</si>
  <si>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</si>
  <si>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</si>
  <si>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</si>
  <si>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</si>
  <si>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</si>
  <si>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</si>
  <si>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</si>
  <si>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</si>
  <si>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</si>
  <si>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</si>
  <si>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</si>
  <si>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</si>
  <si>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</si>
  <si>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</si>
  <si>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</si>
  <si>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</si>
  <si>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</si>
  <si>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</si>
  <si>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</si>
  <si>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</si>
  <si>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</si>
  <si>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</si>
  <si>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</si>
  <si>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</si>
  <si>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</si>
  <si>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</si>
  <si>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</si>
  <si>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</si>
  <si>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</si>
  <si>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</si>
  <si>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</si>
  <si>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</si>
  <si>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</si>
  <si>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</si>
  <si>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</si>
  <si>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</si>
  <si>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</si>
  <si>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</si>
  <si>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</si>
  <si>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</si>
  <si>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</si>
  <si>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</si>
  <si>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</si>
  <si>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</si>
  <si>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</si>
  <si>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</si>
  <si>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</si>
  <si>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</si>
  <si>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</si>
  <si>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</si>
  <si>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</si>
  <si>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</si>
  <si>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</si>
  <si>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</si>
  <si>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</si>
  <si>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</si>
  <si>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</si>
  <si>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</si>
  <si>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</si>
  <si>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</si>
  <si>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</si>
  <si>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</si>
  <si>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</si>
  <si>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</si>
  <si>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</si>
  <si>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</si>
  <si>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</si>
  <si>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</si>
  <si>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</si>
  <si>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</si>
  <si>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</si>
  <si>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</si>
  <si>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</si>
  <si>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</si>
  <si>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</si>
  <si>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</si>
  <si>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</si>
  <si>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</si>
  <si>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</si>
  <si>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</si>
  <si>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</si>
  <si>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</si>
  <si>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</si>
  <si>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</si>
  <si>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</si>
  <si>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</si>
  <si>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</si>
  <si>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</si>
  <si>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</si>
  <si>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</si>
  <si>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</si>
  <si>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</si>
  <si>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</si>
  <si>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</si>
  <si>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</si>
  <si>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</si>
  <si>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</si>
  <si>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</si>
  <si>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</si>
  <si>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</si>
  <si>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</si>
  <si>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</si>
  <si>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</si>
  <si>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</si>
  <si>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</si>
  <si>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</si>
  <si>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</si>
  <si>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</si>
  <si>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</si>
  <si>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</si>
  <si>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</si>
  <si>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</si>
  <si>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</si>
  <si>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</si>
  <si>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</si>
  <si>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</si>
  <si>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</si>
  <si>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</si>
  <si>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</si>
  <si>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</si>
  <si>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</si>
  <si>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</si>
  <si>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</si>
  <si>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</si>
  <si>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</si>
  <si>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</si>
  <si>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</si>
  <si>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</si>
  <si>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</si>
  <si>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</si>
  <si>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</si>
  <si>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</si>
  <si>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</si>
  <si>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</si>
  <si>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</si>
  <si>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</si>
  <si>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</si>
  <si>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</si>
  <si>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</si>
  <si>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</si>
  <si>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</si>
  <si>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</si>
  <si>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</si>
  <si>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</si>
  <si>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</si>
  <si>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</si>
  <si>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</si>
  <si>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</si>
  <si>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</si>
  <si>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</si>
  <si>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</si>
  <si>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</si>
  <si>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</si>
  <si>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</si>
  <si>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</si>
  <si>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</si>
  <si>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</si>
  <si>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</si>
  <si>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</si>
  <si>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</si>
  <si>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</si>
  <si>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</si>
  <si>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</si>
  <si>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</si>
  <si>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</si>
  <si>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</si>
  <si>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</si>
  <si>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</si>
  <si>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</si>
  <si>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</si>
  <si>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</si>
  <si>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</si>
  <si>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</si>
  <si>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</si>
  <si>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</si>
  <si>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</si>
  <si>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</si>
  <si>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</si>
  <si>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</si>
  <si>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</si>
  <si>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</si>
  <si>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</si>
  <si>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</si>
  <si>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</si>
  <si>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</si>
  <si>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</si>
  <si>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</si>
  <si>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</si>
  <si>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</si>
  <si>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</si>
  <si>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</si>
  <si>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</si>
  <si>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</si>
  <si>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</si>
  <si>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</si>
  <si>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</si>
  <si>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</si>
  <si>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</si>
  <si>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</si>
  <si>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</si>
  <si>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</si>
  <si>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</si>
  <si>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</si>
  <si>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</si>
  <si>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</si>
  <si>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</si>
  <si>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</si>
  <si>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</si>
  <si>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</si>
  <si>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</si>
  <si>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</si>
  <si>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</si>
  <si>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</si>
  <si>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</si>
  <si>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</si>
  <si>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</si>
  <si>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</si>
  <si>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</si>
  <si>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</si>
  <si>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</si>
  <si>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</si>
  <si>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</si>
  <si>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</si>
  <si>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</si>
  <si>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</si>
  <si>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</si>
  <si>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</si>
  <si>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</si>
  <si>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</si>
  <si>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</si>
  <si>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</si>
  <si>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</si>
  <si>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</si>
  <si>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</si>
  <si>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</si>
  <si>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</si>
  <si>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</si>
  <si>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</si>
  <si>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</si>
  <si>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</si>
  <si>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</si>
  <si>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</si>
  <si>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</si>
  <si>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</si>
  <si>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</si>
  <si>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</si>
  <si>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</si>
  <si>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</si>
  <si>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</si>
  <si>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</si>
  <si>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</si>
  <si>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</si>
  <si>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</si>
  <si>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</si>
  <si>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</si>
  <si>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</si>
  <si>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</si>
  <si>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</si>
  <si>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</si>
  <si>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</si>
  <si>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</si>
  <si>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</si>
  <si>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</si>
  <si>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</si>
  <si>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</si>
  <si>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</si>
  <si>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</si>
  <si>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</si>
  <si>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</si>
  <si>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</si>
  <si>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</si>
  <si>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</si>
  <si>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</si>
  <si>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</si>
  <si>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</si>
  <si>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</si>
  <si>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</si>
  <si>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</si>
  <si>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</si>
  <si>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</si>
  <si>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</si>
  <si>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</si>
  <si>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</si>
  <si>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</si>
  <si>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</si>
  <si>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</si>
  <si>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</si>
  <si>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</si>
  <si>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</si>
  <si>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</si>
  <si>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</si>
  <si>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</si>
  <si>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</si>
  <si>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</si>
  <si>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</si>
  <si>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</si>
  <si>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</si>
  <si>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</si>
  <si>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</si>
  <si>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</si>
  <si>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</si>
  <si>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</si>
  <si>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</si>
  <si>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</si>
  <si>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</si>
  <si>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</si>
  <si>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</si>
  <si>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</si>
  <si>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</si>
  <si>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</si>
  <si>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</si>
  <si>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</si>
  <si>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</si>
  <si>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</si>
  <si>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</si>
  <si>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</si>
  <si>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</si>
  <si>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</si>
  <si>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</si>
  <si>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</si>
  <si>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</si>
  <si>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</si>
  <si>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</si>
  <si>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</si>
  <si>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</si>
  <si>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</si>
  <si>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</si>
  <si>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</si>
  <si>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</si>
  <si>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</si>
  <si>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</si>
  <si>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</si>
  <si>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</si>
  <si>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</si>
  <si>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</si>
  <si>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</si>
  <si>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</si>
  <si>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</si>
  <si>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</si>
  <si>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</si>
  <si>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</si>
  <si>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</si>
  <si>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</si>
  <si>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</si>
  <si>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</si>
  <si>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</si>
  <si>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</si>
  <si>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</si>
  <si>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</si>
  <si>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</si>
  <si>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</si>
  <si>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</si>
  <si>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</si>
  <si>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</si>
  <si>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</si>
  <si>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</si>
  <si>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</si>
  <si>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</si>
  <si>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</si>
  <si>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</si>
  <si>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</si>
  <si>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</si>
  <si>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</si>
  <si>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</si>
  <si>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</si>
  <si>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</si>
  <si>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</si>
  <si>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</si>
  <si>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</si>
  <si>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</si>
  <si>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</si>
  <si>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</si>
  <si>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</si>
  <si>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</si>
  <si>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</si>
  <si>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</si>
  <si>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</si>
  <si>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</si>
  <si>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</si>
  <si>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</si>
  <si>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</si>
  <si>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</si>
  <si>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</si>
  <si>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</si>
  <si>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</si>
  <si>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</si>
  <si>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</si>
  <si>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</si>
  <si>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</si>
  <si>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</si>
  <si>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</si>
  <si>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</si>
  <si>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</si>
  <si>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</si>
  <si>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</si>
  <si>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</si>
  <si>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</si>
  <si>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</si>
  <si>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</si>
  <si>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</si>
  <si>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</si>
  <si>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</si>
  <si>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</si>
  <si>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</si>
  <si>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</si>
  <si>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</si>
  <si>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</si>
  <si>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</si>
  <si>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</si>
  <si>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</si>
  <si>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</si>
  <si>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</si>
  <si>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</si>
  <si>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</si>
  <si>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</si>
  <si>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</si>
  <si>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</si>
  <si>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</si>
  <si>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</si>
  <si>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</si>
  <si>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</si>
  <si>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</si>
  <si>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</si>
  <si>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</si>
  <si>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</si>
  <si>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</si>
  <si>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</si>
  <si>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</si>
  <si>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</si>
  <si>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</si>
  <si>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</si>
  <si>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</si>
  <si>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</si>
  <si>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</si>
  <si>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</si>
  <si>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</si>
  <si>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</si>
  <si>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</si>
  <si>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</si>
  <si>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</si>
  <si>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</si>
  <si>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</si>
  <si>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</si>
  <si>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</si>
  <si>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</si>
  <si>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</si>
  <si>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</si>
  <si>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</si>
  <si>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</si>
  <si>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</si>
  <si>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</si>
  <si>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</si>
  <si>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</si>
  <si>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</si>
  <si>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</si>
  <si>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</si>
  <si>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</si>
  <si>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</si>
  <si>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</si>
  <si>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</si>
  <si>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</si>
  <si>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</si>
  <si>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</si>
  <si>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</si>
  <si>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</si>
  <si>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</si>
  <si>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</si>
  <si>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</si>
  <si>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</si>
  <si>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</si>
  <si>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</si>
  <si>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</si>
  <si>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</si>
  <si>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</si>
  <si>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</si>
  <si>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</si>
  <si>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</si>
  <si>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</si>
  <si>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</si>
  <si>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</si>
  <si>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</si>
  <si>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</si>
  <si>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</si>
  <si>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</si>
  <si>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</si>
  <si>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</si>
  <si>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</si>
  <si>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</si>
  <si>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</si>
  <si>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</si>
  <si>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</si>
  <si>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</si>
  <si>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46021</t>
  </si>
  <si>
    <t>SINT-NIKLAAS</t>
  </si>
  <si>
    <t>Paarden&amp;pony's 200 - 600 kg</t>
  </si>
  <si>
    <t>Paarden&amp;pony's &lt; 200 kg</t>
  </si>
  <si>
    <t>referentietaak LNE (2017); Jaarverslag De Lijn (2015)</t>
  </si>
  <si>
    <t>op basis van VEA (maart 2018) en Inventaris Hernieuwbare Energiebronnen (juni 2018)</t>
  </si>
  <si>
    <t>VEA (januari 2017)</t>
  </si>
  <si>
    <t>VEA (juni 2018)</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</si>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</sst>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489671.63404284063</c:v>
                </c:pt>
                <c:pt idx="1">
                  <c:v>329263.74159766926</c:v>
                </c:pt>
                <c:pt idx="2">
                  <c:v>3501.7269999999999</c:v>
                </c:pt>
                <c:pt idx="3">
                  <c:v>21922.29444541367</c:v>
                </c:pt>
                <c:pt idx="4">
                  <c:v>178052.21918507243</c:v>
                </c:pt>
                <c:pt idx="5">
                  <c:v>517171.18184826267</c:v>
                </c:pt>
                <c:pt idx="6">
                  <c:v>10292.899315071767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489671.63404284063</c:v>
                </c:pt>
                <c:pt idx="1">
                  <c:v>329263.74159766926</c:v>
                </c:pt>
                <c:pt idx="2">
                  <c:v>3501.7269999999999</c:v>
                </c:pt>
                <c:pt idx="3">
                  <c:v>21922.29444541367</c:v>
                </c:pt>
                <c:pt idx="4">
                  <c:v>178052.21918507243</c:v>
                </c:pt>
                <c:pt idx="5">
                  <c:v>517171.18184826267</c:v>
                </c:pt>
                <c:pt idx="6">
                  <c:v>10292.899315071767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89586.311410440016</c:v>
                </c:pt>
                <c:pt idx="2">
                  <c:v>66815.048621739727</c:v>
                </c:pt>
                <c:pt idx="3">
                  <c:v>719.75898838488695</c:v>
                </c:pt>
                <c:pt idx="4">
                  <c:v>5501.9072562296578</c:v>
                </c:pt>
                <c:pt idx="5">
                  <c:v>34107.473057079565</c:v>
                </c:pt>
                <c:pt idx="6">
                  <c:v>132472.74139958058</c:v>
                </c:pt>
                <c:pt idx="7">
                  <c:v>2665.5254800004086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89586.311410440016</c:v>
                </c:pt>
                <c:pt idx="2">
                  <c:v>66815.048621739727</c:v>
                </c:pt>
                <c:pt idx="3">
                  <c:v>719.75898838488695</c:v>
                </c:pt>
                <c:pt idx="4">
                  <c:v>5501.9072562296578</c:v>
                </c:pt>
                <c:pt idx="5">
                  <c:v>34107.473057079565</c:v>
                </c:pt>
                <c:pt idx="6">
                  <c:v>132472.74139958058</c:v>
                </c:pt>
                <c:pt idx="7">
                  <c:v>2665.5254800004086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46021</v>
      </c>
      <c r="B6" s="415"/>
      <c r="C6" s="416"/>
    </row>
    <row r="7" spans="1:7" s="413" customFormat="1" ht="15.75" customHeight="1">
      <c r="A7" s="417" t="str">
        <f>txtMunicipality</f>
        <v>SINT-NIKLAAS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0.20554400396858094</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0.20554400396858094</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31436</v>
      </c>
      <c r="C9" s="342">
        <v>32708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3796.21</v>
      </c>
    </row>
    <row r="15" spans="1:6">
      <c r="A15" s="348" t="s">
        <v>184</v>
      </c>
      <c r="B15" s="334">
        <v>55</v>
      </c>
    </row>
    <row r="16" spans="1:6">
      <c r="A16" s="348" t="s">
        <v>6</v>
      </c>
      <c r="B16" s="334">
        <v>2184</v>
      </c>
    </row>
    <row r="17" spans="1:6">
      <c r="A17" s="348" t="s">
        <v>7</v>
      </c>
      <c r="B17" s="334">
        <v>1007</v>
      </c>
    </row>
    <row r="18" spans="1:6">
      <c r="A18" s="348" t="s">
        <v>8</v>
      </c>
      <c r="B18" s="334">
        <v>2004</v>
      </c>
    </row>
    <row r="19" spans="1:6">
      <c r="A19" s="348" t="s">
        <v>9</v>
      </c>
      <c r="B19" s="334">
        <v>1871</v>
      </c>
    </row>
    <row r="20" spans="1:6">
      <c r="A20" s="348" t="s">
        <v>10</v>
      </c>
      <c r="B20" s="334">
        <v>798</v>
      </c>
    </row>
    <row r="21" spans="1:6">
      <c r="A21" s="348" t="s">
        <v>11</v>
      </c>
      <c r="B21" s="334">
        <v>16373</v>
      </c>
    </row>
    <row r="22" spans="1:6">
      <c r="A22" s="348" t="s">
        <v>12</v>
      </c>
      <c r="B22" s="334">
        <v>28074</v>
      </c>
    </row>
    <row r="23" spans="1:6">
      <c r="A23" s="348" t="s">
        <v>13</v>
      </c>
      <c r="B23" s="334">
        <v>851</v>
      </c>
    </row>
    <row r="24" spans="1:6">
      <c r="A24" s="348" t="s">
        <v>14</v>
      </c>
      <c r="B24" s="334">
        <v>39</v>
      </c>
    </row>
    <row r="25" spans="1:6">
      <c r="A25" s="348" t="s">
        <v>15</v>
      </c>
      <c r="B25" s="334">
        <v>4262</v>
      </c>
    </row>
    <row r="26" spans="1:6">
      <c r="A26" s="348" t="s">
        <v>16</v>
      </c>
      <c r="B26" s="334">
        <v>297</v>
      </c>
    </row>
    <row r="27" spans="1:6">
      <c r="A27" s="348" t="s">
        <v>17</v>
      </c>
      <c r="B27" s="334">
        <v>823</v>
      </c>
    </row>
    <row r="28" spans="1:6" s="356" customFormat="1">
      <c r="A28" s="355" t="s">
        <v>18</v>
      </c>
      <c r="B28" s="355">
        <v>241449</v>
      </c>
    </row>
    <row r="29" spans="1:6">
      <c r="A29" s="355" t="s">
        <v>884</v>
      </c>
      <c r="B29" s="355">
        <v>449</v>
      </c>
      <c r="C29" s="356"/>
      <c r="D29" s="356"/>
      <c r="E29" s="356"/>
      <c r="F29" s="356"/>
    </row>
    <row r="30" spans="1:6">
      <c r="A30" s="355" t="s">
        <v>885</v>
      </c>
      <c r="B30" s="341">
        <v>134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1055131.6895999999</v>
      </c>
      <c r="E36" s="334">
        <v>9</v>
      </c>
      <c r="F36" s="334">
        <v>323072.94102999999</v>
      </c>
    </row>
    <row r="37" spans="1:6">
      <c r="A37" s="348" t="s">
        <v>25</v>
      </c>
      <c r="B37" s="348" t="s">
        <v>28</v>
      </c>
      <c r="C37" s="334">
        <v>0</v>
      </c>
      <c r="D37" s="334">
        <v>0</v>
      </c>
      <c r="E37" s="334">
        <v>0</v>
      </c>
      <c r="F37" s="334">
        <v>0</v>
      </c>
    </row>
    <row r="38" spans="1:6">
      <c r="A38" s="348" t="s">
        <v>25</v>
      </c>
      <c r="B38" s="348" t="s">
        <v>29</v>
      </c>
      <c r="C38" s="334">
        <v>2</v>
      </c>
      <c r="D38" s="334">
        <v>324743.28999999998</v>
      </c>
      <c r="E38" s="334">
        <v>4</v>
      </c>
      <c r="F38" s="334">
        <v>76462.739115000004</v>
      </c>
    </row>
    <row r="39" spans="1:6">
      <c r="A39" s="348" t="s">
        <v>30</v>
      </c>
      <c r="B39" s="348" t="s">
        <v>31</v>
      </c>
      <c r="C39" s="334">
        <v>23661</v>
      </c>
      <c r="D39" s="334">
        <v>326569530.38</v>
      </c>
      <c r="E39" s="334">
        <v>31232</v>
      </c>
      <c r="F39" s="334">
        <v>105560305.8</v>
      </c>
    </row>
    <row r="40" spans="1:6">
      <c r="A40" s="348" t="s">
        <v>30</v>
      </c>
      <c r="B40" s="348" t="s">
        <v>29</v>
      </c>
      <c r="C40" s="334">
        <v>0</v>
      </c>
      <c r="D40" s="334">
        <v>0</v>
      </c>
      <c r="E40" s="334">
        <v>1</v>
      </c>
      <c r="F40" s="334">
        <v>13001.610742000001</v>
      </c>
    </row>
    <row r="41" spans="1:6">
      <c r="A41" s="348" t="s">
        <v>32</v>
      </c>
      <c r="B41" s="348" t="s">
        <v>33</v>
      </c>
      <c r="C41" s="334">
        <v>277</v>
      </c>
      <c r="D41" s="334">
        <v>6851802.7434</v>
      </c>
      <c r="E41" s="334">
        <v>564</v>
      </c>
      <c r="F41" s="334">
        <v>6262692.7580000004</v>
      </c>
    </row>
    <row r="42" spans="1:6">
      <c r="A42" s="348" t="s">
        <v>32</v>
      </c>
      <c r="B42" s="348" t="s">
        <v>34</v>
      </c>
      <c r="C42" s="334">
        <v>4</v>
      </c>
      <c r="D42" s="334">
        <v>3448268.1987000001</v>
      </c>
      <c r="E42" s="334">
        <v>7</v>
      </c>
      <c r="F42" s="334">
        <v>2321242.3269000002</v>
      </c>
    </row>
    <row r="43" spans="1:6">
      <c r="A43" s="348" t="s">
        <v>32</v>
      </c>
      <c r="B43" s="348" t="s">
        <v>35</v>
      </c>
      <c r="C43" s="334">
        <v>0</v>
      </c>
      <c r="D43" s="334">
        <v>0</v>
      </c>
      <c r="E43" s="334">
        <v>6</v>
      </c>
      <c r="F43" s="334">
        <v>28435.063153999999</v>
      </c>
    </row>
    <row r="44" spans="1:6">
      <c r="A44" s="348" t="s">
        <v>32</v>
      </c>
      <c r="B44" s="348" t="s">
        <v>36</v>
      </c>
      <c r="C44" s="334">
        <v>25</v>
      </c>
      <c r="D44" s="334">
        <v>9427676.8905999996</v>
      </c>
      <c r="E44" s="334">
        <v>65</v>
      </c>
      <c r="F44" s="334">
        <v>11947536.967</v>
      </c>
    </row>
    <row r="45" spans="1:6">
      <c r="A45" s="348" t="s">
        <v>32</v>
      </c>
      <c r="B45" s="348" t="s">
        <v>37</v>
      </c>
      <c r="C45" s="334">
        <v>3</v>
      </c>
      <c r="D45" s="334">
        <v>167842.18361000001</v>
      </c>
      <c r="E45" s="334">
        <v>14</v>
      </c>
      <c r="F45" s="334">
        <v>228432.88871999999</v>
      </c>
    </row>
    <row r="46" spans="1:6">
      <c r="A46" s="348" t="s">
        <v>32</v>
      </c>
      <c r="B46" s="348" t="s">
        <v>38</v>
      </c>
      <c r="C46" s="334">
        <v>0</v>
      </c>
      <c r="D46" s="334">
        <v>0</v>
      </c>
      <c r="E46" s="334">
        <v>0</v>
      </c>
      <c r="F46" s="334">
        <v>0</v>
      </c>
    </row>
    <row r="47" spans="1:6">
      <c r="A47" s="348" t="s">
        <v>32</v>
      </c>
      <c r="B47" s="348" t="s">
        <v>39</v>
      </c>
      <c r="C47" s="334">
        <v>16</v>
      </c>
      <c r="D47" s="334">
        <v>1343767.5774999999</v>
      </c>
      <c r="E47" s="334">
        <v>18</v>
      </c>
      <c r="F47" s="334">
        <v>1830971.4071</v>
      </c>
    </row>
    <row r="48" spans="1:6">
      <c r="A48" s="348" t="s">
        <v>32</v>
      </c>
      <c r="B48" s="348" t="s">
        <v>29</v>
      </c>
      <c r="C48" s="334">
        <v>85</v>
      </c>
      <c r="D48" s="334">
        <v>34663592.191</v>
      </c>
      <c r="E48" s="334">
        <v>101</v>
      </c>
      <c r="F48" s="334">
        <v>37731206.267999999</v>
      </c>
    </row>
    <row r="49" spans="1:6">
      <c r="A49" s="348" t="s">
        <v>32</v>
      </c>
      <c r="B49" s="348" t="s">
        <v>40</v>
      </c>
      <c r="C49" s="334">
        <v>10</v>
      </c>
      <c r="D49" s="334">
        <v>419397.29070000001</v>
      </c>
      <c r="E49" s="334">
        <v>25</v>
      </c>
      <c r="F49" s="334">
        <v>863609.90151999996</v>
      </c>
    </row>
    <row r="50" spans="1:6">
      <c r="A50" s="348" t="s">
        <v>32</v>
      </c>
      <c r="B50" s="348" t="s">
        <v>41</v>
      </c>
      <c r="C50" s="334">
        <v>37</v>
      </c>
      <c r="D50" s="334">
        <v>7783066.8574999999</v>
      </c>
      <c r="E50" s="334">
        <v>53</v>
      </c>
      <c r="F50" s="334">
        <v>13676327.068</v>
      </c>
    </row>
    <row r="51" spans="1:6">
      <c r="A51" s="348" t="s">
        <v>42</v>
      </c>
      <c r="B51" s="348" t="s">
        <v>43</v>
      </c>
      <c r="C51" s="334">
        <v>28</v>
      </c>
      <c r="D51" s="334">
        <v>729042.50462999998</v>
      </c>
      <c r="E51" s="334">
        <v>174</v>
      </c>
      <c r="F51" s="334">
        <v>3588852.8110000002</v>
      </c>
    </row>
    <row r="52" spans="1:6">
      <c r="A52" s="348" t="s">
        <v>42</v>
      </c>
      <c r="B52" s="348" t="s">
        <v>29</v>
      </c>
      <c r="C52" s="334">
        <v>18</v>
      </c>
      <c r="D52" s="334">
        <v>1793557.1887000001</v>
      </c>
      <c r="E52" s="334">
        <v>25</v>
      </c>
      <c r="F52" s="334">
        <v>483096.32769000001</v>
      </c>
    </row>
    <row r="53" spans="1:6">
      <c r="A53" s="348" t="s">
        <v>44</v>
      </c>
      <c r="B53" s="348" t="s">
        <v>45</v>
      </c>
      <c r="C53" s="334">
        <v>610</v>
      </c>
      <c r="D53" s="334">
        <v>11319357.627</v>
      </c>
      <c r="E53" s="334">
        <v>1223</v>
      </c>
      <c r="F53" s="334">
        <v>4672673.2363</v>
      </c>
    </row>
    <row r="54" spans="1:6">
      <c r="A54" s="348" t="s">
        <v>46</v>
      </c>
      <c r="B54" s="348" t="s">
        <v>47</v>
      </c>
      <c r="C54" s="334">
        <v>0</v>
      </c>
      <c r="D54" s="334">
        <v>0</v>
      </c>
      <c r="E54" s="334">
        <v>1</v>
      </c>
      <c r="F54" s="334">
        <v>3501727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293</v>
      </c>
      <c r="D57" s="334">
        <v>19898973.662</v>
      </c>
      <c r="E57" s="334">
        <v>488</v>
      </c>
      <c r="F57" s="334">
        <v>12197346.897</v>
      </c>
    </row>
    <row r="58" spans="1:6">
      <c r="A58" s="348" t="s">
        <v>49</v>
      </c>
      <c r="B58" s="348" t="s">
        <v>51</v>
      </c>
      <c r="C58" s="334">
        <v>187</v>
      </c>
      <c r="D58" s="334">
        <v>35390766.219999999</v>
      </c>
      <c r="E58" s="334">
        <v>308</v>
      </c>
      <c r="F58" s="334">
        <v>18656134.368000001</v>
      </c>
    </row>
    <row r="59" spans="1:6">
      <c r="A59" s="348" t="s">
        <v>49</v>
      </c>
      <c r="B59" s="348" t="s">
        <v>52</v>
      </c>
      <c r="C59" s="334">
        <v>582</v>
      </c>
      <c r="D59" s="334">
        <v>33988773.486000001</v>
      </c>
      <c r="E59" s="334">
        <v>1091</v>
      </c>
      <c r="F59" s="334">
        <v>42714398.398000002</v>
      </c>
    </row>
    <row r="60" spans="1:6">
      <c r="A60" s="348" t="s">
        <v>49</v>
      </c>
      <c r="B60" s="348" t="s">
        <v>53</v>
      </c>
      <c r="C60" s="334">
        <v>266</v>
      </c>
      <c r="D60" s="334">
        <v>12414068.526000001</v>
      </c>
      <c r="E60" s="334">
        <v>328</v>
      </c>
      <c r="F60" s="334">
        <v>9869937.8147999998</v>
      </c>
    </row>
    <row r="61" spans="1:6">
      <c r="A61" s="348" t="s">
        <v>49</v>
      </c>
      <c r="B61" s="348" t="s">
        <v>54</v>
      </c>
      <c r="C61" s="334">
        <v>757</v>
      </c>
      <c r="D61" s="334">
        <v>49845054.633000001</v>
      </c>
      <c r="E61" s="334">
        <v>1573</v>
      </c>
      <c r="F61" s="334">
        <v>30873471.429000001</v>
      </c>
    </row>
    <row r="62" spans="1:6">
      <c r="A62" s="348" t="s">
        <v>49</v>
      </c>
      <c r="B62" s="348" t="s">
        <v>55</v>
      </c>
      <c r="C62" s="334">
        <v>76</v>
      </c>
      <c r="D62" s="334">
        <v>10768772.880000001</v>
      </c>
      <c r="E62" s="334">
        <v>86</v>
      </c>
      <c r="F62" s="334">
        <v>3250445.7217000001</v>
      </c>
    </row>
    <row r="63" spans="1:6">
      <c r="A63" s="348" t="s">
        <v>49</v>
      </c>
      <c r="B63" s="348" t="s">
        <v>29</v>
      </c>
      <c r="C63" s="334">
        <v>226</v>
      </c>
      <c r="D63" s="334">
        <v>14348464.726</v>
      </c>
      <c r="E63" s="334">
        <v>253</v>
      </c>
      <c r="F63" s="334">
        <v>8472261.0829000007</v>
      </c>
    </row>
    <row r="64" spans="1:6">
      <c r="A64" s="348" t="s">
        <v>56</v>
      </c>
      <c r="B64" s="348" t="s">
        <v>57</v>
      </c>
      <c r="C64" s="334">
        <v>0</v>
      </c>
      <c r="D64" s="334">
        <v>0</v>
      </c>
      <c r="E64" s="334">
        <v>0</v>
      </c>
      <c r="F64" s="334">
        <v>0</v>
      </c>
    </row>
    <row r="65" spans="1:6">
      <c r="A65" s="348" t="s">
        <v>56</v>
      </c>
      <c r="B65" s="348" t="s">
        <v>29</v>
      </c>
      <c r="C65" s="334">
        <v>7</v>
      </c>
      <c r="D65" s="334">
        <v>295878.30631999997</v>
      </c>
      <c r="E65" s="334">
        <v>7</v>
      </c>
      <c r="F65" s="334">
        <v>63547.470589999997</v>
      </c>
    </row>
    <row r="66" spans="1:6">
      <c r="A66" s="348" t="s">
        <v>56</v>
      </c>
      <c r="B66" s="348" t="s">
        <v>58</v>
      </c>
      <c r="C66" s="334">
        <v>3</v>
      </c>
      <c r="D66" s="334">
        <v>379788.71370000002</v>
      </c>
      <c r="E66" s="334">
        <v>31</v>
      </c>
      <c r="F66" s="334">
        <v>1243240.1369</v>
      </c>
    </row>
    <row r="67" spans="1:6">
      <c r="A67" s="355" t="s">
        <v>56</v>
      </c>
      <c r="B67" s="355" t="s">
        <v>59</v>
      </c>
      <c r="C67" s="334">
        <v>0</v>
      </c>
      <c r="D67" s="334">
        <v>0</v>
      </c>
      <c r="E67" s="334">
        <v>0</v>
      </c>
      <c r="F67" s="334">
        <v>0</v>
      </c>
    </row>
    <row r="68" spans="1:6">
      <c r="A68" s="341" t="s">
        <v>56</v>
      </c>
      <c r="B68" s="341" t="s">
        <v>60</v>
      </c>
      <c r="C68" s="334">
        <v>8</v>
      </c>
      <c r="D68" s="334">
        <v>120873.9436</v>
      </c>
      <c r="E68" s="334">
        <v>40</v>
      </c>
      <c r="F68" s="334">
        <v>475940.06488999998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171467071</v>
      </c>
      <c r="E73" s="475">
        <v>171800236.35742125</v>
      </c>
    </row>
    <row r="74" spans="1:6">
      <c r="A74" s="348" t="s">
        <v>64</v>
      </c>
      <c r="B74" s="348" t="s">
        <v>667</v>
      </c>
      <c r="C74" s="1294" t="s">
        <v>669</v>
      </c>
      <c r="D74" s="475">
        <v>19638077.783986539</v>
      </c>
      <c r="E74" s="475">
        <v>19914514.495293826</v>
      </c>
    </row>
    <row r="75" spans="1:6">
      <c r="A75" s="348" t="s">
        <v>65</v>
      </c>
      <c r="B75" s="348" t="s">
        <v>666</v>
      </c>
      <c r="C75" s="1294" t="s">
        <v>670</v>
      </c>
      <c r="D75" s="475">
        <v>164880604</v>
      </c>
      <c r="E75" s="475">
        <v>168387097.71443754</v>
      </c>
    </row>
    <row r="76" spans="1:6">
      <c r="A76" s="348" t="s">
        <v>65</v>
      </c>
      <c r="B76" s="348" t="s">
        <v>667</v>
      </c>
      <c r="C76" s="1294" t="s">
        <v>671</v>
      </c>
      <c r="D76" s="475">
        <v>10467917.783986539</v>
      </c>
      <c r="E76" s="475">
        <v>10766657.859276945</v>
      </c>
    </row>
    <row r="77" spans="1:6">
      <c r="A77" s="348" t="s">
        <v>66</v>
      </c>
      <c r="B77" s="348" t="s">
        <v>666</v>
      </c>
      <c r="C77" s="1294" t="s">
        <v>672</v>
      </c>
      <c r="D77" s="475">
        <v>135161249</v>
      </c>
      <c r="E77" s="475">
        <v>142943238.68607464</v>
      </c>
    </row>
    <row r="78" spans="1:6">
      <c r="A78" s="341" t="s">
        <v>66</v>
      </c>
      <c r="B78" s="341" t="s">
        <v>667</v>
      </c>
      <c r="C78" s="341" t="s">
        <v>673</v>
      </c>
      <c r="D78" s="1295">
        <v>32594807</v>
      </c>
      <c r="E78" s="1295">
        <v>33691105.249666251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2764532.4320269227</v>
      </c>
      <c r="C83" s="475">
        <v>2764532.4320269227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10558.992119439625</v>
      </c>
    </row>
    <row r="92" spans="1:6">
      <c r="A92" s="341" t="s">
        <v>69</v>
      </c>
      <c r="B92" s="342">
        <v>12579.425669773655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16810</v>
      </c>
    </row>
    <row r="98" spans="1:6">
      <c r="A98" s="348" t="s">
        <v>72</v>
      </c>
      <c r="B98" s="334">
        <v>15</v>
      </c>
    </row>
    <row r="99" spans="1:6">
      <c r="A99" s="348" t="s">
        <v>73</v>
      </c>
      <c r="B99" s="334">
        <v>215</v>
      </c>
    </row>
    <row r="100" spans="1:6">
      <c r="A100" s="348" t="s">
        <v>74</v>
      </c>
      <c r="B100" s="334">
        <v>2077</v>
      </c>
    </row>
    <row r="101" spans="1:6">
      <c r="A101" s="348" t="s">
        <v>75</v>
      </c>
      <c r="B101" s="334">
        <v>290</v>
      </c>
    </row>
    <row r="102" spans="1:6">
      <c r="A102" s="348" t="s">
        <v>76</v>
      </c>
      <c r="B102" s="334">
        <v>856</v>
      </c>
    </row>
    <row r="103" spans="1:6">
      <c r="A103" s="348" t="s">
        <v>77</v>
      </c>
      <c r="B103" s="334">
        <v>965</v>
      </c>
    </row>
    <row r="104" spans="1:6">
      <c r="A104" s="348" t="s">
        <v>78</v>
      </c>
      <c r="B104" s="334">
        <v>6412</v>
      </c>
    </row>
    <row r="105" spans="1:6">
      <c r="A105" s="341" t="s">
        <v>79</v>
      </c>
      <c r="B105" s="341">
        <v>32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68</v>
      </c>
      <c r="C123" s="334">
        <v>61</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429</v>
      </c>
    </row>
    <row r="130" spans="1:6">
      <c r="A130" s="348" t="s">
        <v>295</v>
      </c>
      <c r="B130" s="334">
        <v>11</v>
      </c>
    </row>
    <row r="131" spans="1:6">
      <c r="A131" s="348" t="s">
        <v>296</v>
      </c>
      <c r="B131" s="334">
        <v>10</v>
      </c>
    </row>
    <row r="132" spans="1:6">
      <c r="A132" s="341" t="s">
        <v>297</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330104.34042310982</v>
      </c>
      <c r="C3" s="43" t="s">
        <v>170</v>
      </c>
      <c r="D3" s="43"/>
      <c r="E3" s="154"/>
      <c r="F3" s="43"/>
      <c r="G3" s="43"/>
      <c r="H3" s="43"/>
      <c r="I3" s="43"/>
      <c r="J3" s="43"/>
      <c r="K3" s="96"/>
    </row>
    <row r="4" spans="1:11">
      <c r="A4" s="383" t="s">
        <v>171</v>
      </c>
      <c r="B4" s="49">
        <f>IF(ISERROR('SEAP template'!B78+'SEAP template'!C78),0,'SEAP template'!B78+'SEAP template'!C78)</f>
        <v>23829.167789213279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164.15470588235297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0.20554400396858094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234.50672268907564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986.78571428571433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3501.7269999999999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3501.7269999999999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0.20554400396858094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719.75898838488695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105573.307410742</v>
      </c>
      <c r="C5" s="17">
        <f>IF(ISERROR('Eigen informatie GS &amp; warmtenet'!B57),0,'Eigen informatie GS &amp; warmtenet'!B57)</f>
        <v>0</v>
      </c>
      <c r="D5" s="30">
        <f>(SUM(HH_hh_gas_kWh,HH_rest_gas_kWh)/1000)*0.902</f>
        <v>294565.71640276001</v>
      </c>
      <c r="E5" s="17">
        <f>B46*B57</f>
        <v>13861.747454277007</v>
      </c>
      <c r="F5" s="17">
        <f>B51*B62</f>
        <v>0</v>
      </c>
      <c r="G5" s="18"/>
      <c r="H5" s="17"/>
      <c r="I5" s="17"/>
      <c r="J5" s="17">
        <f>B50*B61+C50*C61</f>
        <v>8664.1869758461144</v>
      </c>
      <c r="K5" s="17"/>
      <c r="L5" s="17"/>
      <c r="M5" s="17"/>
      <c r="N5" s="17">
        <f>B48*B59+C48*C59</f>
        <v>53101.397013109148</v>
      </c>
      <c r="O5" s="17">
        <f>B69*B70*B71</f>
        <v>772.28666666666675</v>
      </c>
      <c r="P5" s="17">
        <f>B77*B78*B79/1000-B77*B78*B79/1000/B80</f>
        <v>2574</v>
      </c>
    </row>
    <row r="6" spans="1:16">
      <c r="A6" s="16" t="s">
        <v>624</v>
      </c>
      <c r="B6" s="788">
        <f>kWh_PV_kleiner_dan_10kW</f>
        <v>10558.992119439625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116132.29953018163</v>
      </c>
      <c r="C8" s="21">
        <f>C5</f>
        <v>0</v>
      </c>
      <c r="D8" s="21">
        <f>D5</f>
        <v>294565.71640276001</v>
      </c>
      <c r="E8" s="21">
        <f>E5</f>
        <v>13861.747454277007</v>
      </c>
      <c r="F8" s="21">
        <f>F5</f>
        <v>0</v>
      </c>
      <c r="G8" s="21"/>
      <c r="H8" s="21"/>
      <c r="I8" s="21"/>
      <c r="J8" s="21">
        <f>J5</f>
        <v>8664.1869758461144</v>
      </c>
      <c r="K8" s="21"/>
      <c r="L8" s="21">
        <f>L5</f>
        <v>0</v>
      </c>
      <c r="M8" s="21">
        <f>M5</f>
        <v>0</v>
      </c>
      <c r="N8" s="21">
        <f>N5</f>
        <v>53101.397013109148</v>
      </c>
      <c r="O8" s="21">
        <f>O5</f>
        <v>772.28666666666675</v>
      </c>
      <c r="P8" s="21">
        <f>P5</f>
        <v>2574</v>
      </c>
    </row>
    <row r="9" spans="1:16">
      <c r="B9" s="19"/>
      <c r="C9" s="19"/>
      <c r="D9" s="258"/>
      <c r="E9" s="19"/>
      <c r="F9" s="19"/>
      <c r="G9" s="19"/>
      <c r="H9" s="19"/>
      <c r="I9" s="19"/>
      <c r="J9" s="19"/>
      <c r="K9" s="19"/>
      <c r="L9" s="19"/>
      <c r="M9" s="19"/>
      <c r="N9" s="19"/>
      <c r="O9" s="19"/>
      <c r="P9" s="19"/>
    </row>
    <row r="10" spans="1:16">
      <c r="A10" s="24" t="s">
        <v>214</v>
      </c>
      <c r="B10" s="25">
        <f ca="1">'EF ele_warmte'!B12</f>
        <v>0.20554400396858094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23870.297835512083</v>
      </c>
      <c r="C12" s="23">
        <f ca="1">C10*C8</f>
        <v>0</v>
      </c>
      <c r="D12" s="23">
        <f>D8*D10</f>
        <v>59502.274713357525</v>
      </c>
      <c r="E12" s="23">
        <f>E10*E8</f>
        <v>3146.6166721208806</v>
      </c>
      <c r="F12" s="23">
        <f>F10*F8</f>
        <v>0</v>
      </c>
      <c r="G12" s="23"/>
      <c r="H12" s="23"/>
      <c r="I12" s="23"/>
      <c r="J12" s="23">
        <f>J10*J8</f>
        <v>3067.1221894495243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16810</v>
      </c>
      <c r="C18" s="166" t="s">
        <v>111</v>
      </c>
      <c r="D18" s="228"/>
      <c r="E18" s="15"/>
    </row>
    <row r="19" spans="1:7">
      <c r="A19" s="171" t="s">
        <v>72</v>
      </c>
      <c r="B19" s="37">
        <f>aantalw2001_ander</f>
        <v>15</v>
      </c>
      <c r="C19" s="166" t="s">
        <v>111</v>
      </c>
      <c r="D19" s="229"/>
      <c r="E19" s="15"/>
    </row>
    <row r="20" spans="1:7">
      <c r="A20" s="171" t="s">
        <v>73</v>
      </c>
      <c r="B20" s="37">
        <f>aantalw2001_propaan</f>
        <v>215</v>
      </c>
      <c r="C20" s="167">
        <f>IF(ISERROR(B20/SUM($B$20,$B$21,$B$22)*100),0,B20/SUM($B$20,$B$21,$B$22)*100)</f>
        <v>8.3268783888458557</v>
      </c>
      <c r="D20" s="229"/>
      <c r="E20" s="15"/>
    </row>
    <row r="21" spans="1:7">
      <c r="A21" s="171" t="s">
        <v>74</v>
      </c>
      <c r="B21" s="37">
        <f>aantalw2001_elektriciteit</f>
        <v>2077</v>
      </c>
      <c r="C21" s="167">
        <f>IF(ISERROR(B21/SUM($B$20,$B$21,$B$22)*100),0,B21/SUM($B$20,$B$21,$B$22)*100)</f>
        <v>80.441518202943456</v>
      </c>
      <c r="D21" s="229"/>
      <c r="E21" s="15"/>
    </row>
    <row r="22" spans="1:7">
      <c r="A22" s="171" t="s">
        <v>75</v>
      </c>
      <c r="B22" s="37">
        <f>aantalw2001_hout</f>
        <v>290</v>
      </c>
      <c r="C22" s="167">
        <f>IF(ISERROR(B22/SUM($B$20,$B$21,$B$22)*100),0,B22/SUM($B$20,$B$21,$B$22)*100)</f>
        <v>11.23160340821069</v>
      </c>
      <c r="D22" s="229"/>
      <c r="E22" s="15"/>
    </row>
    <row r="23" spans="1:7">
      <c r="A23" s="171" t="s">
        <v>76</v>
      </c>
      <c r="B23" s="37">
        <f>aantalw2001_niet_gespec</f>
        <v>856</v>
      </c>
      <c r="C23" s="166" t="s">
        <v>111</v>
      </c>
      <c r="D23" s="228"/>
      <c r="E23" s="15"/>
    </row>
    <row r="24" spans="1:7">
      <c r="A24" s="171" t="s">
        <v>77</v>
      </c>
      <c r="B24" s="37">
        <f>aantalw2001_steenkool</f>
        <v>965</v>
      </c>
      <c r="C24" s="166" t="s">
        <v>111</v>
      </c>
      <c r="D24" s="229"/>
      <c r="E24" s="15"/>
    </row>
    <row r="25" spans="1:7">
      <c r="A25" s="171" t="s">
        <v>78</v>
      </c>
      <c r="B25" s="37">
        <f>aantalw2001_stookolie</f>
        <v>6412</v>
      </c>
      <c r="C25" s="166" t="s">
        <v>111</v>
      </c>
      <c r="D25" s="228"/>
      <c r="E25" s="52"/>
    </row>
    <row r="26" spans="1:7">
      <c r="A26" s="171" t="s">
        <v>79</v>
      </c>
      <c r="B26" s="37">
        <f>aantalw2001_WP</f>
        <v>32</v>
      </c>
      <c r="C26" s="166" t="s">
        <v>111</v>
      </c>
      <c r="D26" s="228"/>
      <c r="E26" s="15"/>
    </row>
    <row r="27" spans="1:7" s="15" customFormat="1">
      <c r="A27" s="171"/>
      <c r="B27" s="29"/>
      <c r="C27" s="36"/>
      <c r="D27" s="228"/>
    </row>
    <row r="28" spans="1:7" s="15" customFormat="1">
      <c r="A28" s="230" t="s">
        <v>698</v>
      </c>
      <c r="B28" s="37">
        <f>aantalHuishoudens2011</f>
        <v>31436</v>
      </c>
      <c r="C28" s="36"/>
      <c r="D28" s="228"/>
    </row>
    <row r="29" spans="1:7" s="15" customFormat="1">
      <c r="A29" s="230" t="s">
        <v>699</v>
      </c>
      <c r="B29" s="37">
        <f>SUM(HH_hh_gas_aantal,HH_rest_gas_aantal)</f>
        <v>23661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23661</v>
      </c>
      <c r="C32" s="167">
        <f>IF(ISERROR(B32/SUM($B$32,$B$34,$B$35,$B$36,$B$38,$B$39)*100),0,B32/SUM($B$32,$B$34,$B$35,$B$36,$B$38,$B$39)*100)</f>
        <v>75.591834126705209</v>
      </c>
      <c r="D32" s="233"/>
      <c r="G32" s="15"/>
    </row>
    <row r="33" spans="1:7">
      <c r="A33" s="171" t="s">
        <v>72</v>
      </c>
      <c r="B33" s="34" t="s">
        <v>111</v>
      </c>
      <c r="C33" s="167"/>
      <c r="D33" s="233"/>
      <c r="G33" s="15"/>
    </row>
    <row r="34" spans="1:7">
      <c r="A34" s="171" t="s">
        <v>73</v>
      </c>
      <c r="B34" s="33">
        <f>IF((($B$28-$B$32-$B$39-$B$77-$B$38)*C20/100)&lt;0,0,($B$28-$B$32-$B$39-$B$77-$B$38)*C20/100)</f>
        <v>612.86657629744377</v>
      </c>
      <c r="C34" s="167">
        <f>IF(ISERROR(B34/SUM($B$32,$B$34,$B$35,$B$36,$B$38,$B$39)*100),0,B34/SUM($B$32,$B$34,$B$35,$B$36,$B$38,$B$39)*100)</f>
        <v>1.9579776246683611</v>
      </c>
      <c r="D34" s="233"/>
      <c r="G34" s="15"/>
    </row>
    <row r="35" spans="1:7">
      <c r="A35" s="171" t="s">
        <v>74</v>
      </c>
      <c r="B35" s="33">
        <f>IF((($B$28-$B$32-$B$39-$B$77-$B$38)*C21/100)&lt;0,0,($B$28-$B$32-$B$39-$B$77-$B$38)*C21/100)</f>
        <v>5920.5761812548417</v>
      </c>
      <c r="C35" s="167">
        <f>IF(ISERROR(B35/SUM($B$32,$B$34,$B$35,$B$36,$B$38,$B$39)*100),0,B35/SUM($B$32,$B$34,$B$35,$B$36,$B$38,$B$39)*100)</f>
        <v>18.914974541563659</v>
      </c>
      <c r="D35" s="233"/>
      <c r="G35" s="15"/>
    </row>
    <row r="36" spans="1:7">
      <c r="A36" s="171" t="s">
        <v>75</v>
      </c>
      <c r="B36" s="33">
        <f>IF((($B$28-$B$32-$B$39-$B$77-$B$38)*C22/100)&lt;0,0,($B$28-$B$32-$B$39-$B$77-$B$38)*C22/100)</f>
        <v>826.65724244771491</v>
      </c>
      <c r="C36" s="167">
        <f>IF(ISERROR(B36/SUM($B$32,$B$34,$B$35,$B$36,$B$38,$B$39)*100),0,B36/SUM($B$32,$B$34,$B$35,$B$36,$B$38,$B$39)*100)</f>
        <v>2.6409930751340687</v>
      </c>
      <c r="D36" s="233"/>
      <c r="G36" s="15"/>
    </row>
    <row r="37" spans="1:7">
      <c r="A37" s="171" t="s">
        <v>76</v>
      </c>
      <c r="B37" s="34" t="s">
        <v>111</v>
      </c>
      <c r="C37" s="167"/>
      <c r="D37" s="173"/>
      <c r="G37" s="15"/>
    </row>
    <row r="38" spans="1:7">
      <c r="A38" s="171" t="s">
        <v>77</v>
      </c>
      <c r="B38" s="33">
        <f>IF((B24-(B29-B18)*0.1)&lt;0,0,B24-(B29-B18)*0.1)</f>
        <v>279.89999999999998</v>
      </c>
      <c r="C38" s="167">
        <f>IF(ISERROR(B38/SUM($B$32,$B$34,$B$35,$B$36,$B$38,$B$39)*100),0,B38/SUM($B$32,$B$34,$B$35,$B$36,$B$38,$B$39)*100)</f>
        <v>0.89422063192869228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23661</v>
      </c>
      <c r="C44" s="34" t="s">
        <v>111</v>
      </c>
      <c r="D44" s="174"/>
    </row>
    <row r="45" spans="1:7">
      <c r="A45" s="171" t="s">
        <v>72</v>
      </c>
      <c r="B45" s="33" t="str">
        <f t="shared" si="0"/>
        <v>-</v>
      </c>
      <c r="C45" s="34" t="s">
        <v>111</v>
      </c>
      <c r="D45" s="174"/>
    </row>
    <row r="46" spans="1:7">
      <c r="A46" s="171" t="s">
        <v>73</v>
      </c>
      <c r="B46" s="33">
        <f t="shared" si="0"/>
        <v>612.86657629744377</v>
      </c>
      <c r="C46" s="34" t="s">
        <v>111</v>
      </c>
      <c r="D46" s="174"/>
    </row>
    <row r="47" spans="1:7">
      <c r="A47" s="171" t="s">
        <v>74</v>
      </c>
      <c r="B47" s="33">
        <f t="shared" si="0"/>
        <v>5920.5761812548417</v>
      </c>
      <c r="C47" s="34" t="s">
        <v>111</v>
      </c>
      <c r="D47" s="174"/>
    </row>
    <row r="48" spans="1:7">
      <c r="A48" s="171" t="s">
        <v>75</v>
      </c>
      <c r="B48" s="33">
        <f t="shared" si="0"/>
        <v>826.65724244771491</v>
      </c>
      <c r="C48" s="33">
        <f>B48*10</f>
        <v>8266.5724244771482</v>
      </c>
      <c r="D48" s="234"/>
    </row>
    <row r="49" spans="1:6">
      <c r="A49" s="171" t="s">
        <v>76</v>
      </c>
      <c r="B49" s="33" t="str">
        <f t="shared" si="0"/>
        <v>-</v>
      </c>
      <c r="C49" s="34" t="s">
        <v>111</v>
      </c>
      <c r="D49" s="234"/>
    </row>
    <row r="50" spans="1:6">
      <c r="A50" s="171" t="s">
        <v>77</v>
      </c>
      <c r="B50" s="33">
        <f t="shared" si="0"/>
        <v>279.89999999999998</v>
      </c>
      <c r="C50" s="33">
        <f>B50*2</f>
        <v>559.79999999999995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126033.9957114</v>
      </c>
      <c r="C5" s="17">
        <f>IF(ISERROR('Eigen informatie GS &amp; warmtenet'!B58),0,'Eigen informatie GS &amp; warmtenet'!B58)</f>
        <v>0</v>
      </c>
      <c r="D5" s="30">
        <f>SUM(D6:D12)</f>
        <v>159342.69646796602</v>
      </c>
      <c r="E5" s="17">
        <f>SUM(E6:E12)</f>
        <v>2254.5600982716719</v>
      </c>
      <c r="F5" s="17">
        <f>SUM(F6:F12)</f>
        <v>30756.642500242328</v>
      </c>
      <c r="G5" s="18"/>
      <c r="H5" s="17"/>
      <c r="I5" s="17"/>
      <c r="J5" s="17">
        <f>SUM(J6:J12)</f>
        <v>0</v>
      </c>
      <c r="K5" s="17"/>
      <c r="L5" s="17"/>
      <c r="M5" s="17"/>
      <c r="N5" s="17">
        <f>SUM(N6:N12)</f>
        <v>10669.166819789194</v>
      </c>
      <c r="O5" s="17">
        <f>B38*B39*B40</f>
        <v>17.196666666666669</v>
      </c>
      <c r="P5" s="17">
        <f>B46*B47*B48/1000-B46*B47*B48/1000/B49</f>
        <v>209.73333333333335</v>
      </c>
      <c r="R5" s="32"/>
    </row>
    <row r="6" spans="1:18">
      <c r="A6" s="32" t="s">
        <v>54</v>
      </c>
      <c r="B6" s="37">
        <f>B26</f>
        <v>30873.471429000001</v>
      </c>
      <c r="C6" s="33"/>
      <c r="D6" s="37">
        <f>IF(ISERROR(TER_kantoor_gas_kWh/1000),0,TER_kantoor_gas_kWh/1000)*0.902</f>
        <v>44960.239278966001</v>
      </c>
      <c r="E6" s="33">
        <f>$C$26*'E Balans VL '!I12/100/3.6*1000000</f>
        <v>404.17177160782029</v>
      </c>
      <c r="F6" s="33">
        <f>$C$26*('E Balans VL '!L12+'E Balans VL '!N12)/100/3.6*1000000</f>
        <v>7872.4161798587565</v>
      </c>
      <c r="G6" s="34"/>
      <c r="H6" s="33"/>
      <c r="I6" s="33"/>
      <c r="J6" s="33">
        <f>$C$26*('E Balans VL '!D12+'E Balans VL '!E12)/100/3.6*1000000</f>
        <v>0</v>
      </c>
      <c r="K6" s="33"/>
      <c r="L6" s="33"/>
      <c r="M6" s="33"/>
      <c r="N6" s="33">
        <f>$C$26*'E Balans VL '!Y12/100/3.6*1000000</f>
        <v>30.9774361903673</v>
      </c>
      <c r="O6" s="33"/>
      <c r="P6" s="33"/>
      <c r="R6" s="32"/>
    </row>
    <row r="7" spans="1:18">
      <c r="A7" s="32" t="s">
        <v>53</v>
      </c>
      <c r="B7" s="37">
        <f t="shared" ref="B7:B12" si="0">B27</f>
        <v>9869.9378147999996</v>
      </c>
      <c r="C7" s="33"/>
      <c r="D7" s="37">
        <f>IF(ISERROR(TER_horeca_gas_kWh/1000),0,TER_horeca_gas_kWh/1000)*0.902</f>
        <v>11197.489810452002</v>
      </c>
      <c r="E7" s="33">
        <f>$C$27*'E Balans VL '!I9/100/3.6*1000000</f>
        <v>326.63490485214407</v>
      </c>
      <c r="F7" s="33">
        <f>$C$27*('E Balans VL '!L9+'E Balans VL '!N9)/100/3.6*1000000</f>
        <v>4244.0354341804741</v>
      </c>
      <c r="G7" s="34"/>
      <c r="H7" s="33"/>
      <c r="I7" s="33"/>
      <c r="J7" s="33">
        <f>$C$27*('E Balans VL '!D9+'E Balans VL '!E9)/100/3.6*1000000</f>
        <v>0</v>
      </c>
      <c r="K7" s="33"/>
      <c r="L7" s="33"/>
      <c r="M7" s="33"/>
      <c r="N7" s="33">
        <f>$C$27*'E Balans VL '!Y9/100/3.6*1000000</f>
        <v>2.3758373592482869</v>
      </c>
      <c r="O7" s="33"/>
      <c r="P7" s="33"/>
      <c r="R7" s="32"/>
    </row>
    <row r="8" spans="1:18">
      <c r="A8" s="6" t="s">
        <v>52</v>
      </c>
      <c r="B8" s="37">
        <f t="shared" si="0"/>
        <v>42714.398398000005</v>
      </c>
      <c r="C8" s="33"/>
      <c r="D8" s="37">
        <f>IF(ISERROR(TER_handel_gas_kWh/1000),0,TER_handel_gas_kWh/1000)*0.902</f>
        <v>30657.873684372</v>
      </c>
      <c r="E8" s="33">
        <f>$C$28*'E Balans VL '!I13/100/3.6*1000000</f>
        <v>1348.1316790988967</v>
      </c>
      <c r="F8" s="33">
        <f>$C$28*('E Balans VL '!L13+'E Balans VL '!N13)/100/3.6*1000000</f>
        <v>8377.0456797057377</v>
      </c>
      <c r="G8" s="34"/>
      <c r="H8" s="33"/>
      <c r="I8" s="33"/>
      <c r="J8" s="33">
        <f>$C$28*('E Balans VL '!D13+'E Balans VL '!E13)/100/3.6*1000000</f>
        <v>0</v>
      </c>
      <c r="K8" s="33"/>
      <c r="L8" s="33"/>
      <c r="M8" s="33"/>
      <c r="N8" s="33">
        <f>$C$28*'E Balans VL '!Y13/100/3.6*1000000</f>
        <v>50.693697999784511</v>
      </c>
      <c r="O8" s="33"/>
      <c r="P8" s="33"/>
      <c r="R8" s="32"/>
    </row>
    <row r="9" spans="1:18">
      <c r="A9" s="32" t="s">
        <v>51</v>
      </c>
      <c r="B9" s="37">
        <f t="shared" si="0"/>
        <v>18656.134367999999</v>
      </c>
      <c r="C9" s="33"/>
      <c r="D9" s="37">
        <f>IF(ISERROR(TER_gezond_gas_kWh/1000),0,TER_gezond_gas_kWh/1000)*0.902</f>
        <v>31922.471130439997</v>
      </c>
      <c r="E9" s="33">
        <f>$C$29*'E Balans VL '!I10/100/3.6*1000000</f>
        <v>2.3885309722052543</v>
      </c>
      <c r="F9" s="33">
        <f>$C$29*('E Balans VL '!L10+'E Balans VL '!N10)/100/3.6*1000000</f>
        <v>3886.8547391063289</v>
      </c>
      <c r="G9" s="34"/>
      <c r="H9" s="33"/>
      <c r="I9" s="33"/>
      <c r="J9" s="33">
        <f>$C$29*('E Balans VL '!D10+'E Balans VL '!E10)/100/3.6*1000000</f>
        <v>0</v>
      </c>
      <c r="K9" s="33"/>
      <c r="L9" s="33"/>
      <c r="M9" s="33"/>
      <c r="N9" s="33">
        <f>$C$29*'E Balans VL '!Y10/100/3.6*1000000</f>
        <v>219.12511620053431</v>
      </c>
      <c r="O9" s="33"/>
      <c r="P9" s="33"/>
      <c r="R9" s="32"/>
    </row>
    <row r="10" spans="1:18">
      <c r="A10" s="32" t="s">
        <v>50</v>
      </c>
      <c r="B10" s="37">
        <f t="shared" si="0"/>
        <v>12197.346896999999</v>
      </c>
      <c r="C10" s="33"/>
      <c r="D10" s="37">
        <f>IF(ISERROR(TER_ander_gas_kWh/1000),0,TER_ander_gas_kWh/1000)*0.902</f>
        <v>17948.874243124003</v>
      </c>
      <c r="E10" s="33">
        <f>$C$30*'E Balans VL '!I14/100/3.6*1000000</f>
        <v>18.341941336833898</v>
      </c>
      <c r="F10" s="33">
        <f>$C$30*('E Balans VL '!L14+'E Balans VL '!N14)/100/3.6*1000000</f>
        <v>2692.7810182960588</v>
      </c>
      <c r="G10" s="34"/>
      <c r="H10" s="33"/>
      <c r="I10" s="33"/>
      <c r="J10" s="33">
        <f>$C$30*('E Balans VL '!D14+'E Balans VL '!E14)/100/3.6*1000000</f>
        <v>0</v>
      </c>
      <c r="K10" s="33"/>
      <c r="L10" s="33"/>
      <c r="M10" s="33"/>
      <c r="N10" s="33">
        <f>$C$30*'E Balans VL '!Y14/100/3.6*1000000</f>
        <v>9612.3302053330262</v>
      </c>
      <c r="O10" s="33"/>
      <c r="P10" s="33"/>
      <c r="R10" s="32"/>
    </row>
    <row r="11" spans="1:18">
      <c r="A11" s="32" t="s">
        <v>55</v>
      </c>
      <c r="B11" s="37">
        <f t="shared" si="0"/>
        <v>3250.4457216999999</v>
      </c>
      <c r="C11" s="33"/>
      <c r="D11" s="37">
        <f>IF(ISERROR(TER_onderwijs_gas_kWh/1000),0,TER_onderwijs_gas_kWh/1000)*0.902</f>
        <v>9713.433137760001</v>
      </c>
      <c r="E11" s="33">
        <f>$C$31*'E Balans VL '!I11/100/3.6*1000000</f>
        <v>5.7243073023236368</v>
      </c>
      <c r="F11" s="33">
        <f>$C$31*('E Balans VL '!L11+'E Balans VL '!N11)/100/3.6*1000000</f>
        <v>1500.7896064269457</v>
      </c>
      <c r="G11" s="34"/>
      <c r="H11" s="33"/>
      <c r="I11" s="33"/>
      <c r="J11" s="33">
        <f>$C$31*('E Balans VL '!D11+'E Balans VL '!E11)/100/3.6*1000000</f>
        <v>0</v>
      </c>
      <c r="K11" s="33"/>
      <c r="L11" s="33"/>
      <c r="M11" s="33"/>
      <c r="N11" s="33">
        <f>$C$31*'E Balans VL '!Y11/100/3.6*1000000</f>
        <v>6.0556253292216971</v>
      </c>
      <c r="O11" s="33"/>
      <c r="P11" s="33"/>
      <c r="R11" s="32"/>
    </row>
    <row r="12" spans="1:18">
      <c r="A12" s="32" t="s">
        <v>260</v>
      </c>
      <c r="B12" s="37">
        <f t="shared" si="0"/>
        <v>8472.2610829000005</v>
      </c>
      <c r="C12" s="33"/>
      <c r="D12" s="37">
        <f>IF(ISERROR(TER_rest_gas_kWh/1000),0,TER_rest_gas_kWh/1000)*0.902</f>
        <v>12942.315182852</v>
      </c>
      <c r="E12" s="33">
        <f>$C$32*'E Balans VL '!I8/100/3.6*1000000</f>
        <v>149.16696310144795</v>
      </c>
      <c r="F12" s="33">
        <f>$C$32*('E Balans VL '!L8+'E Balans VL '!N8)/100/3.6*1000000</f>
        <v>2182.7198426680275</v>
      </c>
      <c r="G12" s="34"/>
      <c r="H12" s="33"/>
      <c r="I12" s="33"/>
      <c r="J12" s="33">
        <f>$C$32*('E Balans VL '!D8+'E Balans VL '!E8)/100/3.6*1000000</f>
        <v>0</v>
      </c>
      <c r="K12" s="33"/>
      <c r="L12" s="33"/>
      <c r="M12" s="33"/>
      <c r="N12" s="33">
        <f>$C$32*'E Balans VL '!Y8/100/3.6*1000000</f>
        <v>747.60890137701301</v>
      </c>
      <c r="O12" s="33"/>
      <c r="P12" s="33"/>
      <c r="R12" s="32"/>
    </row>
    <row r="13" spans="1:18">
      <c r="A13" s="16" t="s">
        <v>491</v>
      </c>
      <c r="B13" s="247">
        <f ca="1">'lokale energieproductie'!N91+'lokale energieproductie'!N60</f>
        <v>47.25</v>
      </c>
      <c r="C13" s="247">
        <f ca="1">'lokale energieproductie'!O91+'lokale energieproductie'!O60</f>
        <v>67.5</v>
      </c>
      <c r="D13" s="310">
        <f ca="1">('lokale energieproductie'!P60+'lokale energieproductie'!P91)*(-1)</f>
        <v>-135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126081.2457114</v>
      </c>
      <c r="C16" s="21">
        <f t="shared" ca="1" si="1"/>
        <v>67.5</v>
      </c>
      <c r="D16" s="21">
        <f t="shared" ca="1" si="1"/>
        <v>159207.69646796602</v>
      </c>
      <c r="E16" s="21">
        <f t="shared" si="1"/>
        <v>2254.5600982716719</v>
      </c>
      <c r="F16" s="21">
        <f t="shared" ca="1" si="1"/>
        <v>30756.642500242328</v>
      </c>
      <c r="G16" s="21">
        <f t="shared" si="1"/>
        <v>0</v>
      </c>
      <c r="H16" s="21">
        <f t="shared" si="1"/>
        <v>0</v>
      </c>
      <c r="I16" s="21">
        <f t="shared" si="1"/>
        <v>0</v>
      </c>
      <c r="J16" s="21">
        <f t="shared" si="1"/>
        <v>0</v>
      </c>
      <c r="K16" s="21">
        <f t="shared" si="1"/>
        <v>0</v>
      </c>
      <c r="L16" s="21">
        <f t="shared" ca="1" si="1"/>
        <v>0</v>
      </c>
      <c r="M16" s="21">
        <f t="shared" si="1"/>
        <v>0</v>
      </c>
      <c r="N16" s="21">
        <f t="shared" ca="1" si="1"/>
        <v>10669.166819789194</v>
      </c>
      <c r="O16" s="21">
        <f>O5</f>
        <v>17.196666666666669</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0.20554400396858094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25915.244068867629</v>
      </c>
      <c r="C20" s="23">
        <f t="shared" ref="C20:P20" ca="1" si="2">C16*C18</f>
        <v>16.041176470588233</v>
      </c>
      <c r="D20" s="23">
        <f t="shared" ca="1" si="2"/>
        <v>32159.954686529138</v>
      </c>
      <c r="E20" s="23">
        <f t="shared" si="2"/>
        <v>511.78514230766956</v>
      </c>
      <c r="F20" s="23">
        <f t="shared" ca="1" si="2"/>
        <v>8212.0235475647023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30873.471429000001</v>
      </c>
      <c r="C26" s="39">
        <f>IF(ISERROR(B26*3.6/1000000/'E Balans VL '!Z12*100),0,B26*3.6/1000000/'E Balans VL '!Z12*100)</f>
        <v>0.66133374267518164</v>
      </c>
      <c r="D26" s="237" t="s">
        <v>660</v>
      </c>
      <c r="F26" s="6"/>
    </row>
    <row r="27" spans="1:18">
      <c r="A27" s="231" t="s">
        <v>53</v>
      </c>
      <c r="B27" s="33">
        <f>IF(ISERROR(TER_horeca_ele_kWh/1000),0,TER_horeca_ele_kWh/1000)</f>
        <v>9869.9378147999996</v>
      </c>
      <c r="C27" s="39">
        <f>IF(ISERROR(B27*3.6/1000000/'E Balans VL '!Z9*100),0,B27*3.6/1000000/'E Balans VL '!Z9*100)</f>
        <v>0.79202820208403857</v>
      </c>
      <c r="D27" s="237" t="s">
        <v>660</v>
      </c>
      <c r="F27" s="6"/>
    </row>
    <row r="28" spans="1:18">
      <c r="A28" s="171" t="s">
        <v>52</v>
      </c>
      <c r="B28" s="33">
        <f>IF(ISERROR(TER_handel_ele_kWh/1000),0,TER_handel_ele_kWh/1000)</f>
        <v>42714.398398000005</v>
      </c>
      <c r="C28" s="39">
        <f>IF(ISERROR(B28*3.6/1000000/'E Balans VL '!Z13*100),0,B28*3.6/1000000/'E Balans VL '!Z13*100)</f>
        <v>1.2598297527240461</v>
      </c>
      <c r="D28" s="237" t="s">
        <v>660</v>
      </c>
      <c r="F28" s="6"/>
    </row>
    <row r="29" spans="1:18">
      <c r="A29" s="231" t="s">
        <v>51</v>
      </c>
      <c r="B29" s="33">
        <f>IF(ISERROR(TER_gezond_ele_kWh/1000),0,TER_gezond_ele_kWh/1000)</f>
        <v>18656.134367999999</v>
      </c>
      <c r="C29" s="39">
        <f>IF(ISERROR(B29*3.6/1000000/'E Balans VL '!Z10*100),0,B29*3.6/1000000/'E Balans VL '!Z10*100)</f>
        <v>1.9919749607830342</v>
      </c>
      <c r="D29" s="237" t="s">
        <v>660</v>
      </c>
      <c r="F29" s="6"/>
    </row>
    <row r="30" spans="1:18">
      <c r="A30" s="231" t="s">
        <v>50</v>
      </c>
      <c r="B30" s="33">
        <f>IF(ISERROR(TER_ander_ele_kWh/1000),0,TER_ander_ele_kWh/1000)</f>
        <v>12197.346896999999</v>
      </c>
      <c r="C30" s="39">
        <f>IF(ISERROR(B30*3.6/1000000/'E Balans VL '!Z14*100),0,B30*3.6/1000000/'E Balans VL '!Z14*100)</f>
        <v>0.92131350817966695</v>
      </c>
      <c r="D30" s="237" t="s">
        <v>660</v>
      </c>
      <c r="F30" s="6"/>
    </row>
    <row r="31" spans="1:18">
      <c r="A31" s="231" t="s">
        <v>55</v>
      </c>
      <c r="B31" s="33">
        <f>IF(ISERROR(TER_onderwijs_ele_kWh/1000),0,TER_onderwijs_ele_kWh/1000)</f>
        <v>3250.4457216999999</v>
      </c>
      <c r="C31" s="39">
        <f>IF(ISERROR(B31*3.6/1000000/'E Balans VL '!Z11*100),0,B31*3.6/1000000/'E Balans VL '!Z11*100)</f>
        <v>0.65637349947214052</v>
      </c>
      <c r="D31" s="237" t="s">
        <v>660</v>
      </c>
    </row>
    <row r="32" spans="1:18">
      <c r="A32" s="231" t="s">
        <v>260</v>
      </c>
      <c r="B32" s="33">
        <f>IF(ISERROR(TER_rest_ele_kWh/1000),0,TER_rest_ele_kWh/1000)</f>
        <v>8472.2610829000005</v>
      </c>
      <c r="C32" s="39">
        <f>IF(ISERROR(B32*3.6/1000000/'E Balans VL '!Z8*100),0,B32*3.6/1000000/'E Balans VL '!Z8*100)</f>
        <v>7.0246841915690098E-2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74890.454648394007</v>
      </c>
      <c r="C5" s="17">
        <f>IF(ISERROR('Eigen informatie GS &amp; warmtenet'!B59),0,'Eigen informatie GS &amp; warmtenet'!B59)</f>
        <v>0</v>
      </c>
      <c r="D5" s="30">
        <f>SUM(D6:D15)</f>
        <v>57823.083367575018</v>
      </c>
      <c r="E5" s="17">
        <f>SUM(E6:E15)</f>
        <v>4444.1004238569985</v>
      </c>
      <c r="F5" s="17">
        <f>SUM(F6:F15)</f>
        <v>22074.917957355312</v>
      </c>
      <c r="G5" s="18"/>
      <c r="H5" s="17"/>
      <c r="I5" s="17"/>
      <c r="J5" s="17">
        <f>SUM(J6:J15)</f>
        <v>428.73088796844957</v>
      </c>
      <c r="K5" s="17"/>
      <c r="L5" s="17"/>
      <c r="M5" s="17"/>
      <c r="N5" s="17">
        <f>SUM(N6:N15)</f>
        <v>18666.717614208366</v>
      </c>
      <c r="O5" s="17">
        <f>B43*B44*B45</f>
        <v>0</v>
      </c>
      <c r="P5" s="17">
        <f>B51*B52*B53/1000-B51*B52*B53/1000/B54</f>
        <v>0</v>
      </c>
      <c r="R5" s="32"/>
    </row>
    <row r="6" spans="1:18">
      <c r="A6" s="6" t="s">
        <v>35</v>
      </c>
      <c r="B6" s="37">
        <f>IF( ISERROR(IND_ijzer_ele_kWh/1000),0,IND_ijzer_ele_kWh/1000)</f>
        <v>28.435063153999998</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11947.536967</v>
      </c>
      <c r="C8" s="33"/>
      <c r="D8" s="37">
        <f>IF( ISERROR(IND_metaal_Gas_kWH/1000),0,IND_metaal_Gas_kWH/1000)*0.902</f>
        <v>8503.7645553212005</v>
      </c>
      <c r="E8" s="33">
        <f>C30*'E Balans VL '!I18/100/3.6*1000000</f>
        <v>429.90852382209783</v>
      </c>
      <c r="F8" s="33">
        <f>C30*'E Balans VL '!L18/100/3.6*1000000+C30*'E Balans VL '!N18/100/3.6*1000000</f>
        <v>5217.1020960097148</v>
      </c>
      <c r="G8" s="34"/>
      <c r="H8" s="33"/>
      <c r="I8" s="33"/>
      <c r="J8" s="40">
        <f>C30*'E Balans VL '!D18/100/3.6*1000000+C30*'E Balans VL '!E18/100/3.6*1000000</f>
        <v>0</v>
      </c>
      <c r="K8" s="33"/>
      <c r="L8" s="33"/>
      <c r="M8" s="33"/>
      <c r="N8" s="33">
        <f>C30*'E Balans VL '!Y18/100/3.6*1000000</f>
        <v>598.80243357436234</v>
      </c>
      <c r="O8" s="33"/>
      <c r="P8" s="33"/>
      <c r="R8" s="32"/>
    </row>
    <row r="9" spans="1:18">
      <c r="A9" s="6" t="s">
        <v>33</v>
      </c>
      <c r="B9" s="37">
        <f t="shared" si="0"/>
        <v>6262.6927580000001</v>
      </c>
      <c r="C9" s="33"/>
      <c r="D9" s="37">
        <f>IF( ISERROR(IND_andere_gas_kWh/1000),0,IND_andere_gas_kWh/1000)*0.902</f>
        <v>6180.3260745467996</v>
      </c>
      <c r="E9" s="33">
        <f>C31*'E Balans VL '!I19/100/3.6*1000000</f>
        <v>1598.0974944491536</v>
      </c>
      <c r="F9" s="33">
        <f>C31*'E Balans VL '!L19/100/3.6*1000000+C31*'E Balans VL '!N19/100/3.6*1000000</f>
        <v>5391.7077423501978</v>
      </c>
      <c r="G9" s="34"/>
      <c r="H9" s="33"/>
      <c r="I9" s="33"/>
      <c r="J9" s="40">
        <f>C31*'E Balans VL '!D19/100/3.6*1000000+C31*'E Balans VL '!E19/100/3.6*1000000</f>
        <v>0</v>
      </c>
      <c r="K9" s="33"/>
      <c r="L9" s="33"/>
      <c r="M9" s="33"/>
      <c r="N9" s="33">
        <f>C31*'E Balans VL '!Y19/100/3.6*1000000</f>
        <v>1958.5585002540724</v>
      </c>
      <c r="O9" s="33"/>
      <c r="P9" s="33"/>
      <c r="R9" s="32"/>
    </row>
    <row r="10" spans="1:18">
      <c r="A10" s="6" t="s">
        <v>41</v>
      </c>
      <c r="B10" s="37">
        <f t="shared" si="0"/>
        <v>13676.327068000001</v>
      </c>
      <c r="C10" s="33"/>
      <c r="D10" s="37">
        <f>IF( ISERROR(IND_voed_gas_kWh/1000),0,IND_voed_gas_kWh/1000)*0.902</f>
        <v>7020.3263054650006</v>
      </c>
      <c r="E10" s="33">
        <f>C32*'E Balans VL '!I20/100/3.6*1000000</f>
        <v>347.67101320454287</v>
      </c>
      <c r="F10" s="33">
        <f>C32*'E Balans VL '!L20/100/3.6*1000000+C32*'E Balans VL '!N20/100/3.6*1000000</f>
        <v>3094.7475161140806</v>
      </c>
      <c r="G10" s="34"/>
      <c r="H10" s="33"/>
      <c r="I10" s="33"/>
      <c r="J10" s="40">
        <f>C32*'E Balans VL '!D20/100/3.6*1000000+C32*'E Balans VL '!E20/100/3.6*1000000</f>
        <v>0</v>
      </c>
      <c r="K10" s="33"/>
      <c r="L10" s="33"/>
      <c r="M10" s="33"/>
      <c r="N10" s="33">
        <f>C32*'E Balans VL '!Y20/100/3.6*1000000</f>
        <v>5128.9933619266158</v>
      </c>
      <c r="O10" s="33"/>
      <c r="P10" s="33"/>
      <c r="R10" s="32"/>
    </row>
    <row r="11" spans="1:18">
      <c r="A11" s="6" t="s">
        <v>40</v>
      </c>
      <c r="B11" s="37">
        <f t="shared" si="0"/>
        <v>863.60990151999999</v>
      </c>
      <c r="C11" s="33"/>
      <c r="D11" s="37">
        <f>IF( ISERROR(IND_textiel_gas_kWh/1000),0,IND_textiel_gas_kWh/1000)*0.902</f>
        <v>378.2963562114</v>
      </c>
      <c r="E11" s="33">
        <f>C33*'E Balans VL '!I21/100/3.6*1000000</f>
        <v>2.3708414241085651</v>
      </c>
      <c r="F11" s="33">
        <f>C33*'E Balans VL '!L21/100/3.6*1000000+C33*'E Balans VL '!N21/100/3.6*1000000</f>
        <v>45.784997852369145</v>
      </c>
      <c r="G11" s="34"/>
      <c r="H11" s="33"/>
      <c r="I11" s="33"/>
      <c r="J11" s="40">
        <f>C33*'E Balans VL '!D21/100/3.6*1000000+C33*'E Balans VL '!E21/100/3.6*1000000</f>
        <v>0</v>
      </c>
      <c r="K11" s="33"/>
      <c r="L11" s="33"/>
      <c r="M11" s="33"/>
      <c r="N11" s="33">
        <f>C33*'E Balans VL '!Y21/100/3.6*1000000</f>
        <v>1.7357129896379071</v>
      </c>
      <c r="O11" s="33"/>
      <c r="P11" s="33"/>
      <c r="R11" s="32"/>
    </row>
    <row r="12" spans="1:18">
      <c r="A12" s="6" t="s">
        <v>37</v>
      </c>
      <c r="B12" s="37">
        <f t="shared" si="0"/>
        <v>228.43288871999999</v>
      </c>
      <c r="C12" s="33"/>
      <c r="D12" s="37">
        <f>IF( ISERROR(IND_min_gas_kWh/1000),0,IND_min_gas_kWh/1000)*0.902</f>
        <v>151.39364961622002</v>
      </c>
      <c r="E12" s="33">
        <f>C34*'E Balans VL '!I22/100/3.6*1000000</f>
        <v>4.8536263817196588</v>
      </c>
      <c r="F12" s="33">
        <f>C34*'E Balans VL '!L22/100/3.6*1000000+C34*'E Balans VL '!N22/100/3.6*1000000</f>
        <v>37.270772522272708</v>
      </c>
      <c r="G12" s="34"/>
      <c r="H12" s="33"/>
      <c r="I12" s="33"/>
      <c r="J12" s="40">
        <f>C34*'E Balans VL '!D22/100/3.6*1000000+C34*'E Balans VL '!E22/100/3.6*1000000</f>
        <v>0.26614563283292164</v>
      </c>
      <c r="K12" s="33"/>
      <c r="L12" s="33"/>
      <c r="M12" s="33"/>
      <c r="N12" s="33">
        <f>C34*'E Balans VL '!Y22/100/3.6*1000000</f>
        <v>0</v>
      </c>
      <c r="O12" s="33"/>
      <c r="P12" s="33"/>
      <c r="R12" s="32"/>
    </row>
    <row r="13" spans="1:18">
      <c r="A13" s="6" t="s">
        <v>39</v>
      </c>
      <c r="B13" s="37">
        <f t="shared" si="0"/>
        <v>1830.9714070999999</v>
      </c>
      <c r="C13" s="33"/>
      <c r="D13" s="37">
        <f>IF( ISERROR(IND_papier_gas_kWh/1000),0,IND_papier_gas_kWh/1000)*0.902</f>
        <v>1212.0783549049997</v>
      </c>
      <c r="E13" s="33">
        <f>C35*'E Balans VL '!I23/100/3.6*1000000</f>
        <v>7.8525037029083631</v>
      </c>
      <c r="F13" s="33">
        <f>C35*'E Balans VL '!L23/100/3.6*1000000+C35*'E Balans VL '!N23/100/3.6*1000000</f>
        <v>46.017994433892298</v>
      </c>
      <c r="G13" s="34"/>
      <c r="H13" s="33"/>
      <c r="I13" s="33"/>
      <c r="J13" s="40">
        <f>C35*'E Balans VL '!D23/100/3.6*1000000+C35*'E Balans VL '!E23/100/3.6*1000000</f>
        <v>122.57349324028348</v>
      </c>
      <c r="K13" s="33"/>
      <c r="L13" s="33"/>
      <c r="M13" s="33"/>
      <c r="N13" s="33">
        <f>C35*'E Balans VL '!Y23/100/3.6*1000000</f>
        <v>3332.8033825349739</v>
      </c>
      <c r="O13" s="33"/>
      <c r="P13" s="33"/>
      <c r="R13" s="32"/>
    </row>
    <row r="14" spans="1:18">
      <c r="A14" s="6" t="s">
        <v>34</v>
      </c>
      <c r="B14" s="37">
        <f t="shared" si="0"/>
        <v>2321.2423269000001</v>
      </c>
      <c r="C14" s="33"/>
      <c r="D14" s="37">
        <f>IF( ISERROR(IND_chemie_gas_kWh/1000),0,IND_chemie_gas_kWh/1000)*0.902</f>
        <v>3110.3379152274001</v>
      </c>
      <c r="E14" s="33">
        <f>C36*'E Balans VL '!I24/100/3.6*1000000</f>
        <v>5.5648148867233749</v>
      </c>
      <c r="F14" s="33">
        <f>C36*'E Balans VL '!L24/100/3.6*1000000+C36*'E Balans VL '!N24/100/3.6*1000000</f>
        <v>18.628494748203401</v>
      </c>
      <c r="G14" s="34"/>
      <c r="H14" s="33"/>
      <c r="I14" s="33"/>
      <c r="J14" s="40">
        <f>C36*'E Balans VL '!D24/100/3.6*1000000+C36*'E Balans VL '!E24/100/3.6*1000000</f>
        <v>0</v>
      </c>
      <c r="K14" s="33"/>
      <c r="L14" s="33"/>
      <c r="M14" s="33"/>
      <c r="N14" s="33">
        <f>C36*'E Balans VL '!Y24/100/3.6*1000000</f>
        <v>47.97827932889151</v>
      </c>
      <c r="O14" s="33"/>
      <c r="P14" s="33"/>
      <c r="R14" s="32"/>
    </row>
    <row r="15" spans="1:18">
      <c r="A15" s="6" t="s">
        <v>270</v>
      </c>
      <c r="B15" s="37">
        <f t="shared" si="0"/>
        <v>37731.206268000002</v>
      </c>
      <c r="C15" s="33"/>
      <c r="D15" s="37">
        <f>IF( ISERROR(IND_rest_gas_kWh/1000),0,IND_rest_gas_kWh/1000)*0.902</f>
        <v>31266.560156281997</v>
      </c>
      <c r="E15" s="33">
        <f>C37*'E Balans VL '!I15/100/3.6*1000000</f>
        <v>2047.7816059857444</v>
      </c>
      <c r="F15" s="33">
        <f>C37*'E Balans VL '!L15/100/3.6*1000000+C37*'E Balans VL '!N15/100/3.6*1000000</f>
        <v>8223.6583433245796</v>
      </c>
      <c r="G15" s="34"/>
      <c r="H15" s="33"/>
      <c r="I15" s="33"/>
      <c r="J15" s="40">
        <f>C37*'E Balans VL '!D15/100/3.6*1000000+C37*'E Balans VL '!E15/100/3.6*1000000</f>
        <v>305.89124909533319</v>
      </c>
      <c r="K15" s="33"/>
      <c r="L15" s="33"/>
      <c r="M15" s="33"/>
      <c r="N15" s="33">
        <f>C37*'E Balans VL '!Y15/100/3.6*1000000</f>
        <v>7597.8459435998111</v>
      </c>
      <c r="O15" s="33"/>
      <c r="P15" s="33"/>
      <c r="R15" s="32"/>
    </row>
    <row r="16" spans="1:18">
      <c r="A16" s="16" t="s">
        <v>491</v>
      </c>
      <c r="B16" s="247">
        <f>'lokale energieproductie'!N90+'lokale energieproductie'!N59</f>
        <v>643.5</v>
      </c>
      <c r="C16" s="247">
        <f>'lokale energieproductie'!O90+'lokale energieproductie'!O59</f>
        <v>919.28571428571433</v>
      </c>
      <c r="D16" s="310">
        <f>('lokale energieproductie'!P59+'lokale energieproductie'!P90)*(-1)</f>
        <v>-1838.5714285714287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75533.954648394007</v>
      </c>
      <c r="C18" s="21">
        <f>C5+C16</f>
        <v>919.28571428571433</v>
      </c>
      <c r="D18" s="21">
        <f>MAX((D5+D16),0)</f>
        <v>55984.511939003591</v>
      </c>
      <c r="E18" s="21">
        <f>MAX((E5+E16),0)</f>
        <v>4444.1004238569985</v>
      </c>
      <c r="F18" s="21">
        <f>MAX((F5+F16),0)</f>
        <v>22074.917957355312</v>
      </c>
      <c r="G18" s="21"/>
      <c r="H18" s="21"/>
      <c r="I18" s="21"/>
      <c r="J18" s="21">
        <f>MAX((J5+J16),0)</f>
        <v>428.73088796844957</v>
      </c>
      <c r="K18" s="21"/>
      <c r="L18" s="21">
        <f>MAX((L5+L16),0)</f>
        <v>0</v>
      </c>
      <c r="M18" s="21"/>
      <c r="N18" s="21">
        <f>MAX((N5+N16),0)</f>
        <v>18666.717614208366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0.20554400396858094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15525.551474012111</v>
      </c>
      <c r="C22" s="23">
        <f ca="1">C18*C20</f>
        <v>218.46554621848739</v>
      </c>
      <c r="D22" s="23">
        <f>D18*D20</f>
        <v>11308.871411678727</v>
      </c>
      <c r="E22" s="23">
        <f>E18*E20</f>
        <v>1008.8107962155387</v>
      </c>
      <c r="F22" s="23">
        <f>F18*F20</f>
        <v>5894.0030946138686</v>
      </c>
      <c r="G22" s="23"/>
      <c r="H22" s="23"/>
      <c r="I22" s="23"/>
      <c r="J22" s="23">
        <f>J18*J20</f>
        <v>151.77073434083113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11947.536967</v>
      </c>
      <c r="C30" s="39">
        <f>IF(ISERROR(B30*3.6/1000000/'E Balans VL '!Z18*100),0,B30*3.6/1000000/'E Balans VL '!Z18*100)</f>
        <v>2.5314269348656584</v>
      </c>
      <c r="D30" s="237" t="s">
        <v>660</v>
      </c>
    </row>
    <row r="31" spans="1:18">
      <c r="A31" s="6" t="s">
        <v>33</v>
      </c>
      <c r="B31" s="37">
        <f>IF( ISERROR(IND_ander_ele_kWh/1000),0,IND_ander_ele_kWh/1000)</f>
        <v>6262.6927580000001</v>
      </c>
      <c r="C31" s="39">
        <f>IF(ISERROR(B31*3.6/1000000/'E Balans VL '!Z19*100),0,B31*3.6/1000000/'E Balans VL '!Z19*100)</f>
        <v>0.26361095866232431</v>
      </c>
      <c r="D31" s="237" t="s">
        <v>660</v>
      </c>
    </row>
    <row r="32" spans="1:18">
      <c r="A32" s="171" t="s">
        <v>41</v>
      </c>
      <c r="B32" s="37">
        <f>IF( ISERROR(IND_voed_ele_kWh/1000),0,IND_voed_ele_kWh/1000)</f>
        <v>13676.327068000001</v>
      </c>
      <c r="C32" s="39">
        <f>IF(ISERROR(B32*3.6/1000000/'E Balans VL '!Z20*100),0,B32*3.6/1000000/'E Balans VL '!Z20*100)</f>
        <v>2.2847851737078786</v>
      </c>
      <c r="D32" s="237" t="s">
        <v>660</v>
      </c>
    </row>
    <row r="33" spans="1:5">
      <c r="A33" s="171" t="s">
        <v>40</v>
      </c>
      <c r="B33" s="37">
        <f>IF( ISERROR(IND_textiel_ele_kWh/1000),0,IND_textiel_ele_kWh/1000)</f>
        <v>863.60990151999999</v>
      </c>
      <c r="C33" s="39">
        <f>IF(ISERROR(B33*3.6/1000000/'E Balans VL '!Z21*100),0,B33*3.6/1000000/'E Balans VL '!Z21*100)</f>
        <v>5.042013041794937E-2</v>
      </c>
      <c r="D33" s="237" t="s">
        <v>660</v>
      </c>
    </row>
    <row r="34" spans="1:5">
      <c r="A34" s="171" t="s">
        <v>37</v>
      </c>
      <c r="B34" s="37">
        <f>IF( ISERROR(IND_min_ele_kWh/1000),0,IND_min_ele_kWh/1000)</f>
        <v>228.43288871999999</v>
      </c>
      <c r="C34" s="39">
        <f>IF(ISERROR(B34*3.6/1000000/'E Balans VL '!Z22*100),0,B34*3.6/1000000/'E Balans VL '!Z22*100)</f>
        <v>2.895510058019039E-2</v>
      </c>
      <c r="D34" s="237" t="s">
        <v>660</v>
      </c>
    </row>
    <row r="35" spans="1:5">
      <c r="A35" s="171" t="s">
        <v>39</v>
      </c>
      <c r="B35" s="37">
        <f>IF( ISERROR(IND_papier_ele_kWh/1000),0,IND_papier_ele_kWh/1000)</f>
        <v>1830.9714070999999</v>
      </c>
      <c r="C35" s="39">
        <f>IF(ISERROR(B35*3.6/1000000/'E Balans VL '!Z22*100),0,B35*3.6/1000000/'E Balans VL '!Z22*100)</f>
        <v>0.23208550024955982</v>
      </c>
      <c r="D35" s="237" t="s">
        <v>660</v>
      </c>
    </row>
    <row r="36" spans="1:5">
      <c r="A36" s="171" t="s">
        <v>34</v>
      </c>
      <c r="B36" s="37">
        <f>IF( ISERROR(IND_chemie_ele_kWh/1000),0,IND_chemie_ele_kWh/1000)</f>
        <v>2321.2423269000001</v>
      </c>
      <c r="C36" s="39">
        <f>IF(ISERROR(B36*3.6/1000000/'E Balans VL '!Z24*100),0,B36*3.6/1000000/'E Balans VL '!Z24*100)</f>
        <v>7.539402563248028E-2</v>
      </c>
      <c r="D36" s="237" t="s">
        <v>660</v>
      </c>
    </row>
    <row r="37" spans="1:5">
      <c r="A37" s="171" t="s">
        <v>270</v>
      </c>
      <c r="B37" s="37">
        <f>IF( ISERROR(IND_rest_ele_kWh/1000),0,IND_rest_ele_kWh/1000)</f>
        <v>37731.206268000002</v>
      </c>
      <c r="C37" s="39">
        <f>IF(ISERROR(B37*3.6/1000000/'E Balans VL '!Z15*100),0,B37*3.6/1000000/'E Balans VL '!Z15*100)</f>
        <v>0.30461863839427084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4071.9491386900004</v>
      </c>
      <c r="C5" s="17">
        <f>'Eigen informatie GS &amp; warmtenet'!B60</f>
        <v>0</v>
      </c>
      <c r="D5" s="30">
        <f>IF(ISERROR(SUM(LB_lb_gas_kWh,LB_rest_gas_kWh)/1000),0,SUM(LB_lb_gas_kWh,LB_rest_gas_kWh)/1000)*0.902</f>
        <v>2275.3849233836604</v>
      </c>
      <c r="E5" s="17">
        <f>B17*'E Balans VL '!I25/3.6*1000000/100</f>
        <v>104.9999338096988</v>
      </c>
      <c r="F5" s="17">
        <f>B17*('E Balans VL '!L25/3.6*1000000+'E Balans VL '!N25/3.6*1000000)/100</f>
        <v>14883.749566955541</v>
      </c>
      <c r="G5" s="18"/>
      <c r="H5" s="17"/>
      <c r="I5" s="17"/>
      <c r="J5" s="17">
        <f>('E Balans VL '!D25+'E Balans VL '!E25)/3.6*1000000*landbouw!B17/100</f>
        <v>586.21088257477186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4071.9491386900004</v>
      </c>
      <c r="C8" s="21">
        <f>C5+C6</f>
        <v>0</v>
      </c>
      <c r="D8" s="21">
        <f>MAX((D5+D6),0)</f>
        <v>2275.3849233836604</v>
      </c>
      <c r="E8" s="21">
        <f>MAX((E5+E6),0)</f>
        <v>104.9999338096988</v>
      </c>
      <c r="F8" s="21">
        <f>MAX((F5+F6),0)</f>
        <v>14883.749566955541</v>
      </c>
      <c r="G8" s="21"/>
      <c r="H8" s="21"/>
      <c r="I8" s="21"/>
      <c r="J8" s="21">
        <f>MAX((J5+J6),0)</f>
        <v>586.21088257477186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0.20554400396858094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836.96472992275721</v>
      </c>
      <c r="C12" s="23">
        <f ca="1">C8*C10</f>
        <v>0</v>
      </c>
      <c r="D12" s="23">
        <f>D8*D10</f>
        <v>459.62775452349945</v>
      </c>
      <c r="E12" s="23">
        <f>E8*E10</f>
        <v>23.834984974801628</v>
      </c>
      <c r="F12" s="23">
        <f>F8*F10</f>
        <v>3973.9611343771298</v>
      </c>
      <c r="G12" s="23"/>
      <c r="H12" s="23"/>
      <c r="I12" s="23"/>
      <c r="J12" s="23">
        <f>J8*J10</f>
        <v>207.51865243146923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0.57417180054159533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702.42225381857543</v>
      </c>
      <c r="C26" s="247">
        <f>B26*'GWP N2O_CH4'!B5</f>
        <v>14750.867330190084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325.27365472492164</v>
      </c>
      <c r="C27" s="247">
        <f>B27*'GWP N2O_CH4'!B5</f>
        <v>6830.7467492233545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9.0496009707575897</v>
      </c>
      <c r="C28" s="247">
        <f>B28*'GWP N2O_CH4'!B4</f>
        <v>2805.3763009348527</v>
      </c>
      <c r="D28" s="50"/>
    </row>
    <row r="29" spans="1:4">
      <c r="A29" s="41" t="s">
        <v>277</v>
      </c>
      <c r="B29" s="247">
        <f>B34*'ha_N2O bodem landbouw'!B4</f>
        <v>25.043903404767079</v>
      </c>
      <c r="C29" s="247">
        <f>B29*'GWP N2O_CH4'!B4</f>
        <v>7763.610055477794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5.6362391913721017E-3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3.9776816931889035E-4</v>
      </c>
      <c r="C5" s="463" t="s">
        <v>211</v>
      </c>
      <c r="D5" s="448">
        <f>SUM(D6:D11)</f>
        <v>1.0139757362564532E-3</v>
      </c>
      <c r="E5" s="448">
        <f>SUM(E6:E11)</f>
        <v>4.0752552098588749E-3</v>
      </c>
      <c r="F5" s="461" t="s">
        <v>211</v>
      </c>
      <c r="G5" s="448">
        <f>SUM(G6:G11)</f>
        <v>1.5266562652984095</v>
      </c>
      <c r="H5" s="448">
        <f>SUM(H6:H11)</f>
        <v>0.27338546710955786</v>
      </c>
      <c r="I5" s="463" t="s">
        <v>211</v>
      </c>
      <c r="J5" s="463" t="s">
        <v>211</v>
      </c>
      <c r="K5" s="463" t="s">
        <v>211</v>
      </c>
      <c r="L5" s="463" t="s">
        <v>211</v>
      </c>
      <c r="M5" s="448">
        <f>SUM(M6:M11)</f>
        <v>5.6287523130344054E-2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1.4465079971666072E-4</v>
      </c>
      <c r="C6" s="449"/>
      <c r="D6" s="892">
        <f>vkm_2011_GW_PW*SUMIFS(TableVerdeelsleutelVkm[CNG],TableVerdeelsleutelVkm[Voertuigtype],"Lichte voertuigen")*SUMIFS(TableECFTransport[EnergieConsumptieFactor (PJ per km)],TableECFTransport[Index],CONCATENATE($A6,"_CNG_CNG"))</f>
        <v>2.8742367281772295E-4</v>
      </c>
      <c r="E6" s="892">
        <f>vkm_2011_GW_PW*SUMIFS(TableVerdeelsleutelVkm[LPG],TableVerdeelsleutelVkm[Voertuigtype],"Lichte voertuigen")*SUMIFS(TableECFTransport[EnergieConsumptieFactor (PJ per km)],TableECFTransport[Index],CONCATENATE($A6,"_LPG_LPG"))</f>
        <v>1.1311151862005815E-3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0.26894038045333468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7.7814235181788469E-2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1.0805194021084165E-2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0.18817594347199521</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6.0788867396080426E-5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5.9291360552952933E-3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1.3909441088176078E-4</v>
      </c>
      <c r="C8" s="449"/>
      <c r="D8" s="451">
        <f>vkm_2011_NGW_PW*SUMIFS(TableVerdeelsleutelVkm[CNG],TableVerdeelsleutelVkm[Voertuigtype],"Lichte voertuigen")*SUMIFS(TableECFTransport[EnergieConsumptieFactor (PJ per km)],TableECFTransport[Index],CONCATENATE($A8,"_CNG_CNG"))</f>
        <v>4.8937352582782711E-4</v>
      </c>
      <c r="E8" s="451">
        <f>vkm_2011_NGW_PW*SUMIFS(TableVerdeelsleutelVkm[LPG],TableVerdeelsleutelVkm[Voertuigtype],"Lichte voertuigen")*SUMIFS(TableECFTransport[EnergieConsumptieFactor (PJ per km)],TableECFTransport[Index],CONCATENATE($A8,"_LPG_LPG"))</f>
        <v>1.7810805008629843E-3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0.39544993918732479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0.12846771658836903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1.6309352186361481E-2</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0.12803040992835857</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3.9114375816447595E-5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4.0339749883277643E-3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1.140229587204689E-4</v>
      </c>
      <c r="C10" s="449"/>
      <c r="D10" s="451">
        <f>vkm_2011_SW_PW*SUMIFS(TableVerdeelsleutelVkm[CNG],TableVerdeelsleutelVkm[Voertuigtype],"Lichte voertuigen")*SUMIFS(TableECFTransport[EnergieConsumptieFactor (PJ per km)],TableECFTransport[Index],CONCATENATE($A10,"_CNG_CNG"))</f>
        <v>2.3717853761090309E-4</v>
      </c>
      <c r="E10" s="451">
        <f>vkm_2011_SW_PW*SUMIFS(TableVerdeelsleutelVkm[LPG],TableVerdeelsleutelVkm[Voertuigtype],"Lichte voertuigen")*SUMIFS(TableECFTransport[EnergieConsumptieFactor (PJ per km)],TableECFTransport[Index],CONCATENATE($A10,"_LPG_LPG"))</f>
        <v>1.1630595227953087E-3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0.24771832454357187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6.6899771885051376E-2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9.8093651718500555E-3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0.29834126771382441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1.038402111364905E-4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9.4005007074252963E-3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110.49115814413622</v>
      </c>
      <c r="C14" s="21"/>
      <c r="D14" s="21">
        <f t="shared" ref="D14:M14" si="0">((D5)*10^9/3600)+D12</f>
        <v>281.65992673790367</v>
      </c>
      <c r="E14" s="21">
        <f t="shared" si="0"/>
        <v>1132.0153360719096</v>
      </c>
      <c r="F14" s="21"/>
      <c r="G14" s="21">
        <f t="shared" si="0"/>
        <v>424071.18480511376</v>
      </c>
      <c r="H14" s="21">
        <f t="shared" si="0"/>
        <v>75940.407530432742</v>
      </c>
      <c r="I14" s="21"/>
      <c r="J14" s="21"/>
      <c r="K14" s="21"/>
      <c r="L14" s="21"/>
      <c r="M14" s="21">
        <f t="shared" si="0"/>
        <v>15635.423091762237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0.20554400396858094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22.710795048071439</v>
      </c>
      <c r="C18" s="23"/>
      <c r="D18" s="23">
        <f t="shared" ref="D18:M18" si="1">D14*D16</f>
        <v>56.895305201056544</v>
      </c>
      <c r="E18" s="23">
        <f t="shared" si="1"/>
        <v>256.96748128832348</v>
      </c>
      <c r="F18" s="23"/>
      <c r="G18" s="23">
        <f t="shared" si="1"/>
        <v>113227.00634296538</v>
      </c>
      <c r="H18" s="23">
        <f t="shared" si="1"/>
        <v>18909.161475077752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3.5939669393263936E-2</v>
      </c>
      <c r="H50" s="321">
        <f t="shared" si="2"/>
        <v>0</v>
      </c>
      <c r="I50" s="321">
        <f t="shared" si="2"/>
        <v>0</v>
      </c>
      <c r="J50" s="321">
        <f t="shared" si="2"/>
        <v>0</v>
      </c>
      <c r="K50" s="321">
        <f t="shared" si="2"/>
        <v>0</v>
      </c>
      <c r="L50" s="321">
        <f t="shared" si="2"/>
        <v>0</v>
      </c>
      <c r="M50" s="321">
        <f t="shared" si="2"/>
        <v>1.1147681409944272E-3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3.5939669393263936E-2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1.1147681409944272E-3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9983.2414981288712</v>
      </c>
      <c r="H54" s="21">
        <f t="shared" si="3"/>
        <v>0</v>
      </c>
      <c r="I54" s="21">
        <f t="shared" si="3"/>
        <v>0</v>
      </c>
      <c r="J54" s="21">
        <f t="shared" si="3"/>
        <v>0</v>
      </c>
      <c r="K54" s="21">
        <f t="shared" si="3"/>
        <v>0</v>
      </c>
      <c r="L54" s="21">
        <f t="shared" si="3"/>
        <v>0</v>
      </c>
      <c r="M54" s="21">
        <f t="shared" si="3"/>
        <v>309.65781694289649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0.20554400396858094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2665.5254800004086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129582.9727114</v>
      </c>
      <c r="D10" s="1012">
        <f ca="1">tertiair!C16</f>
        <v>67.5</v>
      </c>
      <c r="E10" s="1012">
        <f ca="1">tertiair!D16</f>
        <v>159207.69646796602</v>
      </c>
      <c r="F10" s="1012">
        <f>tertiair!E16</f>
        <v>2254.5600982716719</v>
      </c>
      <c r="G10" s="1012">
        <f ca="1">tertiair!F16</f>
        <v>30756.642500242328</v>
      </c>
      <c r="H10" s="1012">
        <f>tertiair!G16</f>
        <v>0</v>
      </c>
      <c r="I10" s="1012">
        <f>tertiair!H16</f>
        <v>0</v>
      </c>
      <c r="J10" s="1012">
        <f>tertiair!I16</f>
        <v>0</v>
      </c>
      <c r="K10" s="1012">
        <f>tertiair!J16</f>
        <v>0</v>
      </c>
      <c r="L10" s="1012">
        <f>tertiair!K16</f>
        <v>0</v>
      </c>
      <c r="M10" s="1012">
        <f ca="1">tertiair!L16</f>
        <v>0</v>
      </c>
      <c r="N10" s="1012">
        <f>tertiair!M16</f>
        <v>0</v>
      </c>
      <c r="O10" s="1012">
        <f ca="1">tertiair!N16</f>
        <v>10669.166819789194</v>
      </c>
      <c r="P10" s="1012">
        <f>tertiair!O16</f>
        <v>17.196666666666669</v>
      </c>
      <c r="Q10" s="1013">
        <f>tertiair!P16</f>
        <v>209.73333333333335</v>
      </c>
      <c r="R10" s="700">
        <f ca="1">SUM(C10:Q10)</f>
        <v>332765.46859766927</v>
      </c>
      <c r="S10" s="67"/>
    </row>
    <row r="11" spans="1:19" s="473" customFormat="1">
      <c r="A11" s="809" t="s">
        <v>225</v>
      </c>
      <c r="B11" s="814"/>
      <c r="C11" s="1012">
        <f>huishoudens!B8</f>
        <v>116132.29953018163</v>
      </c>
      <c r="D11" s="1012">
        <f>huishoudens!C8</f>
        <v>0</v>
      </c>
      <c r="E11" s="1012">
        <f>huishoudens!D8</f>
        <v>294565.71640276001</v>
      </c>
      <c r="F11" s="1012">
        <f>huishoudens!E8</f>
        <v>13861.747454277007</v>
      </c>
      <c r="G11" s="1012">
        <f>huishoudens!F8</f>
        <v>0</v>
      </c>
      <c r="H11" s="1012">
        <f>huishoudens!G8</f>
        <v>0</v>
      </c>
      <c r="I11" s="1012">
        <f>huishoudens!H8</f>
        <v>0</v>
      </c>
      <c r="J11" s="1012">
        <f>huishoudens!I8</f>
        <v>0</v>
      </c>
      <c r="K11" s="1012">
        <f>huishoudens!J8</f>
        <v>8664.1869758461144</v>
      </c>
      <c r="L11" s="1012">
        <f>huishoudens!K8</f>
        <v>0</v>
      </c>
      <c r="M11" s="1012">
        <f>huishoudens!L8</f>
        <v>0</v>
      </c>
      <c r="N11" s="1012">
        <f>huishoudens!M8</f>
        <v>0</v>
      </c>
      <c r="O11" s="1012">
        <f>huishoudens!N8</f>
        <v>53101.397013109148</v>
      </c>
      <c r="P11" s="1012">
        <f>huishoudens!O8</f>
        <v>772.28666666666675</v>
      </c>
      <c r="Q11" s="1013">
        <f>huishoudens!P8</f>
        <v>2574</v>
      </c>
      <c r="R11" s="700">
        <f>SUM(C11:Q11)</f>
        <v>489671.63404284063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75533.954648394007</v>
      </c>
      <c r="D13" s="1012">
        <f>industrie!C18</f>
        <v>919.28571428571433</v>
      </c>
      <c r="E13" s="1012">
        <f>industrie!D18</f>
        <v>55984.511939003591</v>
      </c>
      <c r="F13" s="1012">
        <f>industrie!E18</f>
        <v>4444.1004238569985</v>
      </c>
      <c r="G13" s="1012">
        <f>industrie!F18</f>
        <v>22074.917957355312</v>
      </c>
      <c r="H13" s="1012">
        <f>industrie!G18</f>
        <v>0</v>
      </c>
      <c r="I13" s="1012">
        <f>industrie!H18</f>
        <v>0</v>
      </c>
      <c r="J13" s="1012">
        <f>industrie!I18</f>
        <v>0</v>
      </c>
      <c r="K13" s="1012">
        <f>industrie!J18</f>
        <v>428.73088796844957</v>
      </c>
      <c r="L13" s="1012">
        <f>industrie!K18</f>
        <v>0</v>
      </c>
      <c r="M13" s="1012">
        <f>industrie!L18</f>
        <v>0</v>
      </c>
      <c r="N13" s="1012">
        <f>industrie!M18</f>
        <v>0</v>
      </c>
      <c r="O13" s="1012">
        <f>industrie!N18</f>
        <v>18666.717614208366</v>
      </c>
      <c r="P13" s="1012">
        <f>industrie!O18</f>
        <v>0</v>
      </c>
      <c r="Q13" s="1013">
        <f>industrie!P18</f>
        <v>0</v>
      </c>
      <c r="R13" s="700">
        <f>SUM(C13:Q13)</f>
        <v>178052.21918507243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321249.22688997566</v>
      </c>
      <c r="D16" s="732">
        <f t="shared" ref="D16:R16" ca="1" si="0">SUM(D9:D15)</f>
        <v>986.78571428571433</v>
      </c>
      <c r="E16" s="732">
        <f t="shared" ca="1" si="0"/>
        <v>509757.92480972962</v>
      </c>
      <c r="F16" s="732">
        <f t="shared" si="0"/>
        <v>20560.407976405677</v>
      </c>
      <c r="G16" s="732">
        <f t="shared" ca="1" si="0"/>
        <v>52831.560457597639</v>
      </c>
      <c r="H16" s="732">
        <f t="shared" si="0"/>
        <v>0</v>
      </c>
      <c r="I16" s="732">
        <f t="shared" si="0"/>
        <v>0</v>
      </c>
      <c r="J16" s="732">
        <f t="shared" si="0"/>
        <v>0</v>
      </c>
      <c r="K16" s="732">
        <f t="shared" si="0"/>
        <v>9092.917863814564</v>
      </c>
      <c r="L16" s="732">
        <f t="shared" si="0"/>
        <v>0</v>
      </c>
      <c r="M16" s="732">
        <f t="shared" ca="1" si="0"/>
        <v>0</v>
      </c>
      <c r="N16" s="732">
        <f t="shared" si="0"/>
        <v>0</v>
      </c>
      <c r="O16" s="732">
        <f t="shared" ca="1" si="0"/>
        <v>82437.28144710671</v>
      </c>
      <c r="P16" s="732">
        <f t="shared" si="0"/>
        <v>789.48333333333346</v>
      </c>
      <c r="Q16" s="732">
        <f t="shared" si="0"/>
        <v>2783.7333333333336</v>
      </c>
      <c r="R16" s="732">
        <f t="shared" ca="1" si="0"/>
        <v>1000489.3218255823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9983.2414981288712</v>
      </c>
      <c r="I19" s="1012">
        <f>transport!H54</f>
        <v>0</v>
      </c>
      <c r="J19" s="1012">
        <f>transport!I54</f>
        <v>0</v>
      </c>
      <c r="K19" s="1012">
        <f>transport!J54</f>
        <v>0</v>
      </c>
      <c r="L19" s="1012">
        <f>transport!K54</f>
        <v>0</v>
      </c>
      <c r="M19" s="1012">
        <f>transport!L54</f>
        <v>0</v>
      </c>
      <c r="N19" s="1012">
        <f>transport!M54</f>
        <v>309.65781694289649</v>
      </c>
      <c r="O19" s="1012">
        <f>transport!N54</f>
        <v>0</v>
      </c>
      <c r="P19" s="1012">
        <f>transport!O54</f>
        <v>0</v>
      </c>
      <c r="Q19" s="1013">
        <f>transport!P54</f>
        <v>0</v>
      </c>
      <c r="R19" s="700">
        <f>SUM(C19:Q19)</f>
        <v>10292.899315071767</v>
      </c>
      <c r="S19" s="67"/>
    </row>
    <row r="20" spans="1:19" s="473" customFormat="1">
      <c r="A20" s="809" t="s">
        <v>307</v>
      </c>
      <c r="B20" s="814"/>
      <c r="C20" s="1012">
        <f>transport!B14</f>
        <v>110.49115814413622</v>
      </c>
      <c r="D20" s="1012">
        <f>transport!C14</f>
        <v>0</v>
      </c>
      <c r="E20" s="1012">
        <f>transport!D14</f>
        <v>281.65992673790367</v>
      </c>
      <c r="F20" s="1012">
        <f>transport!E14</f>
        <v>1132.0153360719096</v>
      </c>
      <c r="G20" s="1012">
        <f>transport!F14</f>
        <v>0</v>
      </c>
      <c r="H20" s="1012">
        <f>transport!G14</f>
        <v>424071.18480511376</v>
      </c>
      <c r="I20" s="1012">
        <f>transport!H14</f>
        <v>75940.407530432742</v>
      </c>
      <c r="J20" s="1012">
        <f>transport!I14</f>
        <v>0</v>
      </c>
      <c r="K20" s="1012">
        <f>transport!J14</f>
        <v>0</v>
      </c>
      <c r="L20" s="1012">
        <f>transport!K14</f>
        <v>0</v>
      </c>
      <c r="M20" s="1012">
        <f>transport!L14</f>
        <v>0</v>
      </c>
      <c r="N20" s="1012">
        <f>transport!M14</f>
        <v>15635.423091762237</v>
      </c>
      <c r="O20" s="1012">
        <f>transport!N14</f>
        <v>0</v>
      </c>
      <c r="P20" s="1012">
        <f>transport!O14</f>
        <v>0</v>
      </c>
      <c r="Q20" s="1013">
        <f>transport!P14</f>
        <v>0</v>
      </c>
      <c r="R20" s="700">
        <f>SUM(C20:Q20)</f>
        <v>517171.18184826267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110.49115814413622</v>
      </c>
      <c r="D22" s="812">
        <f t="shared" ref="D22:R22" si="1">SUM(D18:D21)</f>
        <v>0</v>
      </c>
      <c r="E22" s="812">
        <f t="shared" si="1"/>
        <v>281.65992673790367</v>
      </c>
      <c r="F22" s="812">
        <f t="shared" si="1"/>
        <v>1132.0153360719096</v>
      </c>
      <c r="G22" s="812">
        <f t="shared" si="1"/>
        <v>0</v>
      </c>
      <c r="H22" s="812">
        <f t="shared" si="1"/>
        <v>434054.42630324262</v>
      </c>
      <c r="I22" s="812">
        <f t="shared" si="1"/>
        <v>75940.407530432742</v>
      </c>
      <c r="J22" s="812">
        <f t="shared" si="1"/>
        <v>0</v>
      </c>
      <c r="K22" s="812">
        <f t="shared" si="1"/>
        <v>0</v>
      </c>
      <c r="L22" s="812">
        <f t="shared" si="1"/>
        <v>0</v>
      </c>
      <c r="M22" s="812">
        <f t="shared" si="1"/>
        <v>0</v>
      </c>
      <c r="N22" s="812">
        <f t="shared" si="1"/>
        <v>15945.080908705133</v>
      </c>
      <c r="O22" s="812">
        <f t="shared" si="1"/>
        <v>0</v>
      </c>
      <c r="P22" s="812">
        <f t="shared" si="1"/>
        <v>0</v>
      </c>
      <c r="Q22" s="812">
        <f t="shared" si="1"/>
        <v>0</v>
      </c>
      <c r="R22" s="812">
        <f t="shared" si="1"/>
        <v>527464.08116333443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4071.9491386900004</v>
      </c>
      <c r="D24" s="1012">
        <f>+landbouw!C8</f>
        <v>0</v>
      </c>
      <c r="E24" s="1012">
        <f>+landbouw!D8</f>
        <v>2275.3849233836604</v>
      </c>
      <c r="F24" s="1012">
        <f>+landbouw!E8</f>
        <v>104.9999338096988</v>
      </c>
      <c r="G24" s="1012">
        <f>+landbouw!F8</f>
        <v>14883.749566955541</v>
      </c>
      <c r="H24" s="1012">
        <f>+landbouw!G8</f>
        <v>0</v>
      </c>
      <c r="I24" s="1012">
        <f>+landbouw!H8</f>
        <v>0</v>
      </c>
      <c r="J24" s="1012">
        <f>+landbouw!I8</f>
        <v>0</v>
      </c>
      <c r="K24" s="1012">
        <f>+landbouw!J8</f>
        <v>586.21088257477186</v>
      </c>
      <c r="L24" s="1012">
        <f>+landbouw!K8</f>
        <v>0</v>
      </c>
      <c r="M24" s="1012">
        <f>+landbouw!L8</f>
        <v>0</v>
      </c>
      <c r="N24" s="1012">
        <f>+landbouw!M8</f>
        <v>0</v>
      </c>
      <c r="O24" s="1012">
        <f>+landbouw!N8</f>
        <v>0</v>
      </c>
      <c r="P24" s="1012">
        <f>+landbouw!O8</f>
        <v>0</v>
      </c>
      <c r="Q24" s="1013">
        <f>+landbouw!P8</f>
        <v>0</v>
      </c>
      <c r="R24" s="700">
        <f>SUM(C24:Q24)</f>
        <v>21922.29444541367</v>
      </c>
      <c r="S24" s="67"/>
    </row>
    <row r="25" spans="1:19" s="473" customFormat="1" ht="15" thickBot="1">
      <c r="A25" s="831" t="s">
        <v>848</v>
      </c>
      <c r="B25" s="1015"/>
      <c r="C25" s="1016">
        <f>IF(Onbekend_ele_kWh="---",0,Onbekend_ele_kWh)/1000+IF(REST_rest_ele_kWh="---",0,REST_rest_ele_kWh)/1000</f>
        <v>4672.6732363000001</v>
      </c>
      <c r="D25" s="1016"/>
      <c r="E25" s="1016">
        <f>IF(onbekend_gas_kWh="---",0,onbekend_gas_kWh)/1000+IF(REST_rest_gas_kWh="---",0,REST_rest_gas_kWh)/1000</f>
        <v>11319.357627000001</v>
      </c>
      <c r="F25" s="1016"/>
      <c r="G25" s="1016"/>
      <c r="H25" s="1016"/>
      <c r="I25" s="1016"/>
      <c r="J25" s="1016"/>
      <c r="K25" s="1016"/>
      <c r="L25" s="1016"/>
      <c r="M25" s="1016"/>
      <c r="N25" s="1016"/>
      <c r="O25" s="1016"/>
      <c r="P25" s="1016"/>
      <c r="Q25" s="1017"/>
      <c r="R25" s="700">
        <f>SUM(C25:Q25)</f>
        <v>15992.030863300002</v>
      </c>
      <c r="S25" s="67"/>
    </row>
    <row r="26" spans="1:19" s="473" customFormat="1" ht="15.75" thickBot="1">
      <c r="A26" s="705" t="s">
        <v>849</v>
      </c>
      <c r="B26" s="817"/>
      <c r="C26" s="812">
        <f>SUM(C24:C25)</f>
        <v>8744.62237499</v>
      </c>
      <c r="D26" s="812">
        <f t="shared" ref="D26:R26" si="2">SUM(D24:D25)</f>
        <v>0</v>
      </c>
      <c r="E26" s="812">
        <f t="shared" si="2"/>
        <v>13594.742550383662</v>
      </c>
      <c r="F26" s="812">
        <f t="shared" si="2"/>
        <v>104.9999338096988</v>
      </c>
      <c r="G26" s="812">
        <f t="shared" si="2"/>
        <v>14883.749566955541</v>
      </c>
      <c r="H26" s="812">
        <f t="shared" si="2"/>
        <v>0</v>
      </c>
      <c r="I26" s="812">
        <f t="shared" si="2"/>
        <v>0</v>
      </c>
      <c r="J26" s="812">
        <f t="shared" si="2"/>
        <v>0</v>
      </c>
      <c r="K26" s="812">
        <f t="shared" si="2"/>
        <v>586.21088257477186</v>
      </c>
      <c r="L26" s="812">
        <f t="shared" si="2"/>
        <v>0</v>
      </c>
      <c r="M26" s="812">
        <f t="shared" si="2"/>
        <v>0</v>
      </c>
      <c r="N26" s="812">
        <f t="shared" si="2"/>
        <v>0</v>
      </c>
      <c r="O26" s="812">
        <f t="shared" si="2"/>
        <v>0</v>
      </c>
      <c r="P26" s="812">
        <f t="shared" si="2"/>
        <v>0</v>
      </c>
      <c r="Q26" s="812">
        <f t="shared" si="2"/>
        <v>0</v>
      </c>
      <c r="R26" s="812">
        <f t="shared" si="2"/>
        <v>37914.325308713669</v>
      </c>
      <c r="S26" s="67"/>
    </row>
    <row r="27" spans="1:19" s="473" customFormat="1" ht="17.25" thickTop="1" thickBot="1">
      <c r="A27" s="706" t="s">
        <v>116</v>
      </c>
      <c r="B27" s="805"/>
      <c r="C27" s="707">
        <f ca="1">C22+C16+C26</f>
        <v>330104.34042310982</v>
      </c>
      <c r="D27" s="707">
        <f t="shared" ref="D27:R27" ca="1" si="3">D22+D16+D26</f>
        <v>986.78571428571433</v>
      </c>
      <c r="E27" s="707">
        <f t="shared" ca="1" si="3"/>
        <v>523634.32728685118</v>
      </c>
      <c r="F27" s="707">
        <f t="shared" si="3"/>
        <v>21797.423246287286</v>
      </c>
      <c r="G27" s="707">
        <f t="shared" ca="1" si="3"/>
        <v>67715.310024553182</v>
      </c>
      <c r="H27" s="707">
        <f t="shared" si="3"/>
        <v>434054.42630324262</v>
      </c>
      <c r="I27" s="707">
        <f t="shared" si="3"/>
        <v>75940.407530432742</v>
      </c>
      <c r="J27" s="707">
        <f t="shared" si="3"/>
        <v>0</v>
      </c>
      <c r="K27" s="707">
        <f t="shared" si="3"/>
        <v>9679.128746389335</v>
      </c>
      <c r="L27" s="707">
        <f t="shared" si="3"/>
        <v>0</v>
      </c>
      <c r="M27" s="707">
        <f t="shared" ca="1" si="3"/>
        <v>0</v>
      </c>
      <c r="N27" s="707">
        <f t="shared" si="3"/>
        <v>15945.080908705133</v>
      </c>
      <c r="O27" s="707">
        <f t="shared" ca="1" si="3"/>
        <v>82437.28144710671</v>
      </c>
      <c r="P27" s="707">
        <f t="shared" si="3"/>
        <v>789.48333333333346</v>
      </c>
      <c r="Q27" s="707">
        <f t="shared" si="3"/>
        <v>2783.7333333333336</v>
      </c>
      <c r="R27" s="707">
        <f t="shared" ca="1" si="3"/>
        <v>1565867.7282976303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26635.003057252517</v>
      </c>
      <c r="D40" s="1012">
        <f ca="1">tertiair!C20</f>
        <v>16.041176470588233</v>
      </c>
      <c r="E40" s="1012">
        <f ca="1">tertiair!D20</f>
        <v>32159.954686529138</v>
      </c>
      <c r="F40" s="1012">
        <f>tertiair!E20</f>
        <v>511.78514230766956</v>
      </c>
      <c r="G40" s="1012">
        <f ca="1">tertiair!F20</f>
        <v>8212.0235475647023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67534.807610124612</v>
      </c>
    </row>
    <row r="41" spans="1:18">
      <c r="A41" s="822" t="s">
        <v>225</v>
      </c>
      <c r="B41" s="829"/>
      <c r="C41" s="1012">
        <f ca="1">huishoudens!B12</f>
        <v>23870.297835512083</v>
      </c>
      <c r="D41" s="1012">
        <f ca="1">huishoudens!C12</f>
        <v>0</v>
      </c>
      <c r="E41" s="1012">
        <f>huishoudens!D12</f>
        <v>59502.274713357525</v>
      </c>
      <c r="F41" s="1012">
        <f>huishoudens!E12</f>
        <v>3146.6166721208806</v>
      </c>
      <c r="G41" s="1012">
        <f>huishoudens!F12</f>
        <v>0</v>
      </c>
      <c r="H41" s="1012">
        <f>huishoudens!G12</f>
        <v>0</v>
      </c>
      <c r="I41" s="1012">
        <f>huishoudens!H12</f>
        <v>0</v>
      </c>
      <c r="J41" s="1012">
        <f>huishoudens!I12</f>
        <v>0</v>
      </c>
      <c r="K41" s="1012">
        <f>huishoudens!J12</f>
        <v>3067.1221894495243</v>
      </c>
      <c r="L41" s="1012">
        <f>huishoudens!K12</f>
        <v>0</v>
      </c>
      <c r="M41" s="1012">
        <f>huishoudens!L12</f>
        <v>0</v>
      </c>
      <c r="N41" s="1012">
        <f>huishoudens!M12</f>
        <v>0</v>
      </c>
      <c r="O41" s="1012">
        <f>huishoudens!N12</f>
        <v>0</v>
      </c>
      <c r="P41" s="1012">
        <f>huishoudens!O12</f>
        <v>0</v>
      </c>
      <c r="Q41" s="774">
        <f>huishoudens!P12</f>
        <v>0</v>
      </c>
      <c r="R41" s="850">
        <f t="shared" ca="1" si="4"/>
        <v>89586.311410440016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15525.551474012111</v>
      </c>
      <c r="D43" s="1012">
        <f ca="1">industrie!C22</f>
        <v>218.46554621848739</v>
      </c>
      <c r="E43" s="1012">
        <f>industrie!D22</f>
        <v>11308.871411678727</v>
      </c>
      <c r="F43" s="1012">
        <f>industrie!E22</f>
        <v>1008.8107962155387</v>
      </c>
      <c r="G43" s="1012">
        <f>industrie!F22</f>
        <v>5894.0030946138686</v>
      </c>
      <c r="H43" s="1012">
        <f>industrie!G22</f>
        <v>0</v>
      </c>
      <c r="I43" s="1012">
        <f>industrie!H22</f>
        <v>0</v>
      </c>
      <c r="J43" s="1012">
        <f>industrie!I22</f>
        <v>0</v>
      </c>
      <c r="K43" s="1012">
        <f>industrie!J22</f>
        <v>151.77073434083113</v>
      </c>
      <c r="L43" s="1012">
        <f>industrie!K22</f>
        <v>0</v>
      </c>
      <c r="M43" s="1012">
        <f>industrie!L22</f>
        <v>0</v>
      </c>
      <c r="N43" s="1012">
        <f>industrie!M22</f>
        <v>0</v>
      </c>
      <c r="O43" s="1012">
        <f>industrie!N22</f>
        <v>0</v>
      </c>
      <c r="P43" s="1012">
        <f>industrie!O22</f>
        <v>0</v>
      </c>
      <c r="Q43" s="774">
        <f>industrie!P22</f>
        <v>0</v>
      </c>
      <c r="R43" s="849">
        <f t="shared" ca="1" si="4"/>
        <v>34107.473057079565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66030.852366776715</v>
      </c>
      <c r="D46" s="732">
        <f t="shared" ref="D46:Q46" ca="1" si="5">SUM(D39:D45)</f>
        <v>234.50672268907562</v>
      </c>
      <c r="E46" s="732">
        <f t="shared" ca="1" si="5"/>
        <v>102971.1008115654</v>
      </c>
      <c r="F46" s="732">
        <f t="shared" si="5"/>
        <v>4667.2126106440892</v>
      </c>
      <c r="G46" s="732">
        <f t="shared" ca="1" si="5"/>
        <v>14106.026642178571</v>
      </c>
      <c r="H46" s="732">
        <f t="shared" si="5"/>
        <v>0</v>
      </c>
      <c r="I46" s="732">
        <f t="shared" si="5"/>
        <v>0</v>
      </c>
      <c r="J46" s="732">
        <f t="shared" si="5"/>
        <v>0</v>
      </c>
      <c r="K46" s="732">
        <f t="shared" si="5"/>
        <v>3218.8929237903553</v>
      </c>
      <c r="L46" s="732">
        <f t="shared" si="5"/>
        <v>0</v>
      </c>
      <c r="M46" s="732">
        <f t="shared" ca="1" si="5"/>
        <v>0</v>
      </c>
      <c r="N46" s="732">
        <f t="shared" si="5"/>
        <v>0</v>
      </c>
      <c r="O46" s="732">
        <f t="shared" ca="1" si="5"/>
        <v>0</v>
      </c>
      <c r="P46" s="732">
        <f t="shared" si="5"/>
        <v>0</v>
      </c>
      <c r="Q46" s="732">
        <f t="shared" si="5"/>
        <v>0</v>
      </c>
      <c r="R46" s="732">
        <f ca="1">SUM(R39:R45)</f>
        <v>191228.59207764419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2665.5254800004086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2665.5254800004086</v>
      </c>
    </row>
    <row r="50" spans="1:18">
      <c r="A50" s="825" t="s">
        <v>307</v>
      </c>
      <c r="B50" s="835"/>
      <c r="C50" s="703">
        <f ca="1">transport!B18</f>
        <v>22.710795048071439</v>
      </c>
      <c r="D50" s="703">
        <f>transport!C18</f>
        <v>0</v>
      </c>
      <c r="E50" s="703">
        <f>transport!D18</f>
        <v>56.895305201056544</v>
      </c>
      <c r="F50" s="703">
        <f>transport!E18</f>
        <v>256.96748128832348</v>
      </c>
      <c r="G50" s="703">
        <f>transport!F18</f>
        <v>0</v>
      </c>
      <c r="H50" s="703">
        <f>transport!G18</f>
        <v>113227.00634296538</v>
      </c>
      <c r="I50" s="703">
        <f>transport!H18</f>
        <v>18909.161475077752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132472.74139958058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22.710795048071439</v>
      </c>
      <c r="D52" s="732">
        <f t="shared" ref="D52:Q52" ca="1" si="6">SUM(D48:D51)</f>
        <v>0</v>
      </c>
      <c r="E52" s="732">
        <f t="shared" si="6"/>
        <v>56.895305201056544</v>
      </c>
      <c r="F52" s="732">
        <f t="shared" si="6"/>
        <v>256.96748128832348</v>
      </c>
      <c r="G52" s="732">
        <f t="shared" si="6"/>
        <v>0</v>
      </c>
      <c r="H52" s="732">
        <f t="shared" si="6"/>
        <v>115892.53182296579</v>
      </c>
      <c r="I52" s="732">
        <f t="shared" si="6"/>
        <v>18909.161475077752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135138.266879581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836.96472992275721</v>
      </c>
      <c r="D54" s="703">
        <f ca="1">+landbouw!C12</f>
        <v>0</v>
      </c>
      <c r="E54" s="703">
        <f>+landbouw!D12</f>
        <v>459.62775452349945</v>
      </c>
      <c r="F54" s="703">
        <f>+landbouw!E12</f>
        <v>23.834984974801628</v>
      </c>
      <c r="G54" s="703">
        <f>+landbouw!F12</f>
        <v>3973.9611343771298</v>
      </c>
      <c r="H54" s="703">
        <f>+landbouw!G12</f>
        <v>0</v>
      </c>
      <c r="I54" s="703">
        <f>+landbouw!H12</f>
        <v>0</v>
      </c>
      <c r="J54" s="703">
        <f>+landbouw!I12</f>
        <v>0</v>
      </c>
      <c r="K54" s="703">
        <f>+landbouw!J12</f>
        <v>207.51865243146923</v>
      </c>
      <c r="L54" s="703">
        <f>+landbouw!K12</f>
        <v>0</v>
      </c>
      <c r="M54" s="703">
        <f>+landbouw!L12</f>
        <v>0</v>
      </c>
      <c r="N54" s="703">
        <f>+landbouw!M12</f>
        <v>0</v>
      </c>
      <c r="O54" s="703">
        <f>+landbouw!N12</f>
        <v>0</v>
      </c>
      <c r="P54" s="703">
        <f>+landbouw!O12</f>
        <v>0</v>
      </c>
      <c r="Q54" s="704">
        <f>+landbouw!P12</f>
        <v>0</v>
      </c>
      <c r="R54" s="731">
        <f ca="1">SUM(C54:Q54)</f>
        <v>5501.9072562296578</v>
      </c>
    </row>
    <row r="55" spans="1:18" ht="15" thickBot="1">
      <c r="A55" s="825" t="s">
        <v>848</v>
      </c>
      <c r="B55" s="835"/>
      <c r="C55" s="703">
        <f ca="1">C25*'EF ele_warmte'!B12</f>
        <v>960.4399662259292</v>
      </c>
      <c r="D55" s="703"/>
      <c r="E55" s="703">
        <f>E25*EF_CO2_aardgas</f>
        <v>2286.5102406540004</v>
      </c>
      <c r="F55" s="703"/>
      <c r="G55" s="703"/>
      <c r="H55" s="703"/>
      <c r="I55" s="703"/>
      <c r="J55" s="703"/>
      <c r="K55" s="703"/>
      <c r="L55" s="703"/>
      <c r="M55" s="703"/>
      <c r="N55" s="703"/>
      <c r="O55" s="703"/>
      <c r="P55" s="703"/>
      <c r="Q55" s="704"/>
      <c r="R55" s="731">
        <f ca="1">SUM(C55:Q55)</f>
        <v>3246.9502068799297</v>
      </c>
    </row>
    <row r="56" spans="1:18" ht="15.75" thickBot="1">
      <c r="A56" s="823" t="s">
        <v>849</v>
      </c>
      <c r="B56" s="836"/>
      <c r="C56" s="732">
        <f ca="1">SUM(C54:C55)</f>
        <v>1797.4046961486865</v>
      </c>
      <c r="D56" s="732">
        <f t="shared" ref="D56:Q56" ca="1" si="7">SUM(D54:D55)</f>
        <v>0</v>
      </c>
      <c r="E56" s="732">
        <f t="shared" si="7"/>
        <v>2746.1379951774998</v>
      </c>
      <c r="F56" s="732">
        <f t="shared" si="7"/>
        <v>23.834984974801628</v>
      </c>
      <c r="G56" s="732">
        <f t="shared" si="7"/>
        <v>3973.9611343771298</v>
      </c>
      <c r="H56" s="732">
        <f t="shared" si="7"/>
        <v>0</v>
      </c>
      <c r="I56" s="732">
        <f t="shared" si="7"/>
        <v>0</v>
      </c>
      <c r="J56" s="732">
        <f t="shared" si="7"/>
        <v>0</v>
      </c>
      <c r="K56" s="732">
        <f t="shared" si="7"/>
        <v>207.51865243146923</v>
      </c>
      <c r="L56" s="732">
        <f t="shared" si="7"/>
        <v>0</v>
      </c>
      <c r="M56" s="732">
        <f t="shared" si="7"/>
        <v>0</v>
      </c>
      <c r="N56" s="732">
        <f t="shared" si="7"/>
        <v>0</v>
      </c>
      <c r="O56" s="732">
        <f t="shared" si="7"/>
        <v>0</v>
      </c>
      <c r="P56" s="732">
        <f t="shared" si="7"/>
        <v>0</v>
      </c>
      <c r="Q56" s="733">
        <f t="shared" si="7"/>
        <v>0</v>
      </c>
      <c r="R56" s="734">
        <f ca="1">SUM(R54:R55)</f>
        <v>8748.8574631095871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67850.967857973475</v>
      </c>
      <c r="D61" s="740">
        <f t="shared" ref="D61:Q61" ca="1" si="8">D46+D52+D56</f>
        <v>234.50672268907562</v>
      </c>
      <c r="E61" s="740">
        <f t="shared" ca="1" si="8"/>
        <v>105774.13411194396</v>
      </c>
      <c r="F61" s="740">
        <f t="shared" si="8"/>
        <v>4948.0150769072143</v>
      </c>
      <c r="G61" s="740">
        <f t="shared" ca="1" si="8"/>
        <v>18079.987776555699</v>
      </c>
      <c r="H61" s="740">
        <f t="shared" si="8"/>
        <v>115892.53182296579</v>
      </c>
      <c r="I61" s="740">
        <f t="shared" si="8"/>
        <v>18909.161475077752</v>
      </c>
      <c r="J61" s="740">
        <f t="shared" si="8"/>
        <v>0</v>
      </c>
      <c r="K61" s="740">
        <f t="shared" si="8"/>
        <v>3426.4115762218244</v>
      </c>
      <c r="L61" s="740">
        <f t="shared" si="8"/>
        <v>0</v>
      </c>
      <c r="M61" s="740">
        <f t="shared" ca="1" si="8"/>
        <v>0</v>
      </c>
      <c r="N61" s="740">
        <f t="shared" si="8"/>
        <v>0</v>
      </c>
      <c r="O61" s="740">
        <f t="shared" ca="1" si="8"/>
        <v>0</v>
      </c>
      <c r="P61" s="740">
        <f t="shared" si="8"/>
        <v>0</v>
      </c>
      <c r="Q61" s="740">
        <f t="shared" si="8"/>
        <v>0</v>
      </c>
      <c r="R61" s="740">
        <f ca="1">R46+R52+R56</f>
        <v>335115.71642033482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0.20554400396858094</v>
      </c>
      <c r="D63" s="781">
        <f t="shared" ca="1" si="9"/>
        <v>0.23764705882352938</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23138.417789213279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690.75</v>
      </c>
      <c r="D76" s="1033">
        <f>'lokale energieproductie'!C8</f>
        <v>812.64705882352951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164.15470588235297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23138.417789213279</v>
      </c>
      <c r="C78" s="755">
        <f>SUM(C72:C77)</f>
        <v>690.75</v>
      </c>
      <c r="D78" s="756">
        <f t="shared" ref="D78:H78" si="10">SUM(D76:D77)</f>
        <v>812.64705882352951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164.15470588235297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986.78571428571433</v>
      </c>
      <c r="D87" s="777">
        <f>'lokale energieproductie'!C17</f>
        <v>1160.9243697478992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234.50672268907564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986.78571428571433</v>
      </c>
      <c r="D90" s="755">
        <f t="shared" ref="D90:H90" si="12">SUM(D87:D89)</f>
        <v>1160.9243697478992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234.50672268907564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23138.417789213279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690.75</v>
      </c>
      <c r="C8" s="570">
        <f>B101</f>
        <v>812.64705882352951</v>
      </c>
      <c r="D8" s="1043"/>
      <c r="E8" s="1043">
        <f>E101</f>
        <v>0</v>
      </c>
      <c r="F8" s="1044"/>
      <c r="G8" s="571"/>
      <c r="H8" s="1043">
        <f>I101</f>
        <v>0</v>
      </c>
      <c r="I8" s="1043">
        <f>G101+F101</f>
        <v>0</v>
      </c>
      <c r="J8" s="1043">
        <f>H101+D101+C101</f>
        <v>0</v>
      </c>
      <c r="K8" s="1043"/>
      <c r="L8" s="1043"/>
      <c r="M8" s="1043"/>
      <c r="N8" s="572"/>
      <c r="O8" s="573">
        <f>C8*$C$12+D8*$D$12+E8*$E$12+F8*$F$12+G8*$G$12+H8*$H$12+I8*$I$12+J8*$J$12</f>
        <v>164.15470588235297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23829.167789213279</v>
      </c>
      <c r="C10" s="583">
        <f t="shared" ref="C10:L10" si="0">SUM(C8:C9)</f>
        <v>812.64705882352951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164.15470588235297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986.78571428571433</v>
      </c>
      <c r="C17" s="595">
        <f>B102</f>
        <v>1160.9243697478992</v>
      </c>
      <c r="D17" s="596"/>
      <c r="E17" s="596">
        <f>E102</f>
        <v>0</v>
      </c>
      <c r="F17" s="1049"/>
      <c r="G17" s="597"/>
      <c r="H17" s="595">
        <f>I102</f>
        <v>0</v>
      </c>
      <c r="I17" s="596">
        <f>G102+F102</f>
        <v>0</v>
      </c>
      <c r="J17" s="596">
        <f>H102+D102+C102</f>
        <v>0</v>
      </c>
      <c r="K17" s="596"/>
      <c r="L17" s="596"/>
      <c r="M17" s="596"/>
      <c r="N17" s="1050"/>
      <c r="O17" s="598">
        <f>C17*$C$22+E17*$E$22+H17*$H$22+I17*$I$22+J17*$J$22+D17*$D$22+F17*$F$22+G17*$G$22+K17*$K$22+L17*$L$22</f>
        <v>234.50672268907564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986.78571428571433</v>
      </c>
      <c r="C20" s="582">
        <f>SUM(C17:C19)</f>
        <v>1160.9243697478992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234.50672268907564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46021</v>
      </c>
      <c r="C28" s="796">
        <v>9100</v>
      </c>
      <c r="D28" s="653" t="s">
        <v>890</v>
      </c>
      <c r="E28" s="652" t="s">
        <v>891</v>
      </c>
      <c r="F28" s="652" t="s">
        <v>892</v>
      </c>
      <c r="G28" s="652" t="s">
        <v>893</v>
      </c>
      <c r="H28" s="652" t="s">
        <v>894</v>
      </c>
      <c r="I28" s="652" t="s">
        <v>891</v>
      </c>
      <c r="J28" s="795">
        <v>40688</v>
      </c>
      <c r="K28" s="795">
        <v>40787</v>
      </c>
      <c r="L28" s="652" t="s">
        <v>895</v>
      </c>
      <c r="M28" s="652">
        <v>5</v>
      </c>
      <c r="N28" s="652">
        <v>22.5</v>
      </c>
      <c r="O28" s="652">
        <v>32.142857142857146</v>
      </c>
      <c r="P28" s="652">
        <v>64.285714285714292</v>
      </c>
      <c r="Q28" s="652">
        <v>0</v>
      </c>
      <c r="R28" s="652">
        <v>0</v>
      </c>
      <c r="S28" s="652">
        <v>0</v>
      </c>
      <c r="T28" s="652">
        <v>0</v>
      </c>
      <c r="U28" s="652">
        <v>0</v>
      </c>
      <c r="V28" s="652">
        <v>0</v>
      </c>
      <c r="W28" s="652">
        <v>0</v>
      </c>
      <c r="X28" s="652">
        <v>1600</v>
      </c>
      <c r="Y28" s="652" t="s">
        <v>50</v>
      </c>
      <c r="Z28" s="654" t="s">
        <v>156</v>
      </c>
    </row>
    <row r="29" spans="1:26" s="606" customFormat="1" ht="63.75">
      <c r="A29" s="605"/>
      <c r="B29" s="796">
        <v>46021</v>
      </c>
      <c r="C29" s="796">
        <v>9100</v>
      </c>
      <c r="D29" s="653" t="s">
        <v>896</v>
      </c>
      <c r="E29" s="652" t="s">
        <v>897</v>
      </c>
      <c r="F29" s="652" t="s">
        <v>898</v>
      </c>
      <c r="G29" s="652" t="s">
        <v>893</v>
      </c>
      <c r="H29" s="652" t="s">
        <v>894</v>
      </c>
      <c r="I29" s="652" t="s">
        <v>897</v>
      </c>
      <c r="J29" s="795">
        <v>40735</v>
      </c>
      <c r="K29" s="795">
        <v>40817</v>
      </c>
      <c r="L29" s="652" t="s">
        <v>895</v>
      </c>
      <c r="M29" s="652">
        <v>5.5</v>
      </c>
      <c r="N29" s="652">
        <v>24.75</v>
      </c>
      <c r="O29" s="652">
        <v>35.357142857142861</v>
      </c>
      <c r="P29" s="652">
        <v>70.714285714285722</v>
      </c>
      <c r="Q29" s="652">
        <v>0</v>
      </c>
      <c r="R29" s="652">
        <v>0</v>
      </c>
      <c r="S29" s="652">
        <v>0</v>
      </c>
      <c r="T29" s="652">
        <v>0</v>
      </c>
      <c r="U29" s="652">
        <v>0</v>
      </c>
      <c r="V29" s="652">
        <v>0</v>
      </c>
      <c r="W29" s="652">
        <v>0</v>
      </c>
      <c r="X29" s="652">
        <v>1600</v>
      </c>
      <c r="Y29" s="652" t="s">
        <v>50</v>
      </c>
      <c r="Z29" s="654" t="s">
        <v>156</v>
      </c>
    </row>
    <row r="30" spans="1:26" s="606" customFormat="1" ht="38.25">
      <c r="A30" s="605"/>
      <c r="B30" s="796">
        <v>46021</v>
      </c>
      <c r="C30" s="796">
        <v>9100</v>
      </c>
      <c r="D30" s="653" t="s">
        <v>899</v>
      </c>
      <c r="E30" s="652" t="s">
        <v>900</v>
      </c>
      <c r="F30" s="652" t="s">
        <v>901</v>
      </c>
      <c r="G30" s="652" t="s">
        <v>893</v>
      </c>
      <c r="H30" s="652" t="s">
        <v>894</v>
      </c>
      <c r="I30" s="652" t="s">
        <v>900</v>
      </c>
      <c r="J30" s="795">
        <v>41418</v>
      </c>
      <c r="K30" s="795">
        <v>41333</v>
      </c>
      <c r="L30" s="652" t="s">
        <v>895</v>
      </c>
      <c r="M30" s="652">
        <v>143</v>
      </c>
      <c r="N30" s="652">
        <v>643.5</v>
      </c>
      <c r="O30" s="652">
        <v>919.28571428571433</v>
      </c>
      <c r="P30" s="652">
        <v>1838.5714285714287</v>
      </c>
      <c r="Q30" s="652">
        <v>0</v>
      </c>
      <c r="R30" s="652">
        <v>0</v>
      </c>
      <c r="S30" s="652">
        <v>0</v>
      </c>
      <c r="T30" s="652">
        <v>0</v>
      </c>
      <c r="U30" s="652">
        <v>0</v>
      </c>
      <c r="V30" s="652">
        <v>0</v>
      </c>
      <c r="W30" s="652">
        <v>0</v>
      </c>
      <c r="X30" s="652">
        <v>500</v>
      </c>
      <c r="Y30" s="652" t="s">
        <v>41</v>
      </c>
      <c r="Z30" s="654" t="s">
        <v>389</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153.5</v>
      </c>
      <c r="N58" s="610">
        <f>SUM(N28:N57)</f>
        <v>690.75</v>
      </c>
      <c r="O58" s="610">
        <f t="shared" ref="O58:W58" si="2">SUM(O28:O57)</f>
        <v>986.78571428571433</v>
      </c>
      <c r="P58" s="610">
        <f t="shared" si="2"/>
        <v>1973.5714285714287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143</v>
      </c>
      <c r="N59" s="610">
        <f t="shared" si="3"/>
        <v>643.5</v>
      </c>
      <c r="O59" s="610">
        <f t="shared" si="3"/>
        <v>919.28571428571433</v>
      </c>
      <c r="P59" s="610">
        <f t="shared" si="3"/>
        <v>1838.5714285714287</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10.5</v>
      </c>
      <c r="N60" s="610">
        <f ca="1">SUMIF($Z$28:AD57,"tertiair",N28:N57)</f>
        <v>47.25</v>
      </c>
      <c r="O60" s="610">
        <f ca="1">SUMIF($Z$28:AE57,"tertiair",O28:O57)</f>
        <v>67.5</v>
      </c>
      <c r="P60" s="610">
        <f ca="1">SUMIF($Z$28:AF57,"tertiair",P28:P57)</f>
        <v>135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812.64705882352951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1160.9243697478992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116132.29953018163</v>
      </c>
      <c r="C4" s="477">
        <f>huishoudens!C8</f>
        <v>0</v>
      </c>
      <c r="D4" s="477">
        <f>huishoudens!D8</f>
        <v>294565.71640276001</v>
      </c>
      <c r="E4" s="477">
        <f>huishoudens!E8</f>
        <v>13861.747454277007</v>
      </c>
      <c r="F4" s="477">
        <f>huishoudens!F8</f>
        <v>0</v>
      </c>
      <c r="G4" s="477">
        <f>huishoudens!G8</f>
        <v>0</v>
      </c>
      <c r="H4" s="477">
        <f>huishoudens!H8</f>
        <v>0</v>
      </c>
      <c r="I4" s="477">
        <f>huishoudens!I8</f>
        <v>0</v>
      </c>
      <c r="J4" s="477">
        <f>huishoudens!J8</f>
        <v>8664.1869758461144</v>
      </c>
      <c r="K4" s="477">
        <f>huishoudens!K8</f>
        <v>0</v>
      </c>
      <c r="L4" s="477">
        <f>huishoudens!L8</f>
        <v>0</v>
      </c>
      <c r="M4" s="477">
        <f>huishoudens!M8</f>
        <v>0</v>
      </c>
      <c r="N4" s="477">
        <f>huishoudens!N8</f>
        <v>53101.397013109148</v>
      </c>
      <c r="O4" s="477">
        <f>huishoudens!O8</f>
        <v>772.28666666666675</v>
      </c>
      <c r="P4" s="478">
        <f>huishoudens!P8</f>
        <v>2574</v>
      </c>
      <c r="Q4" s="479">
        <f>SUM(B4:P4)</f>
        <v>489671.63404284063</v>
      </c>
    </row>
    <row r="5" spans="1:17">
      <c r="A5" s="476" t="s">
        <v>156</v>
      </c>
      <c r="B5" s="477">
        <f ca="1">tertiair!B16</f>
        <v>126081.2457114</v>
      </c>
      <c r="C5" s="477">
        <f ca="1">tertiair!C16</f>
        <v>67.5</v>
      </c>
      <c r="D5" s="477">
        <f ca="1">tertiair!D16</f>
        <v>159207.69646796602</v>
      </c>
      <c r="E5" s="477">
        <f>tertiair!E16</f>
        <v>2254.5600982716719</v>
      </c>
      <c r="F5" s="477">
        <f ca="1">tertiair!F16</f>
        <v>30756.642500242328</v>
      </c>
      <c r="G5" s="477">
        <f>tertiair!G16</f>
        <v>0</v>
      </c>
      <c r="H5" s="477">
        <f>tertiair!H16</f>
        <v>0</v>
      </c>
      <c r="I5" s="477">
        <f>tertiair!I16</f>
        <v>0</v>
      </c>
      <c r="J5" s="477">
        <f>tertiair!J16</f>
        <v>0</v>
      </c>
      <c r="K5" s="477">
        <f>tertiair!K16</f>
        <v>0</v>
      </c>
      <c r="L5" s="477">
        <f ca="1">tertiair!L16</f>
        <v>0</v>
      </c>
      <c r="M5" s="477">
        <f>tertiair!M16</f>
        <v>0</v>
      </c>
      <c r="N5" s="477">
        <f ca="1">tertiair!N16</f>
        <v>10669.166819789194</v>
      </c>
      <c r="O5" s="477">
        <f>tertiair!O16</f>
        <v>17.196666666666669</v>
      </c>
      <c r="P5" s="478">
        <f>tertiair!P16</f>
        <v>209.73333333333335</v>
      </c>
      <c r="Q5" s="476">
        <f t="shared" ref="Q5:Q14" ca="1" si="0">SUM(B5:P5)</f>
        <v>329263.74159766926</v>
      </c>
    </row>
    <row r="6" spans="1:17">
      <c r="A6" s="476" t="s">
        <v>194</v>
      </c>
      <c r="B6" s="477">
        <f>'openbare verlichting'!B8</f>
        <v>3501.7269999999999</v>
      </c>
      <c r="C6" s="477"/>
      <c r="D6" s="477"/>
      <c r="E6" s="477"/>
      <c r="F6" s="477"/>
      <c r="G6" s="477"/>
      <c r="H6" s="477"/>
      <c r="I6" s="477"/>
      <c r="J6" s="477"/>
      <c r="K6" s="477"/>
      <c r="L6" s="477"/>
      <c r="M6" s="477"/>
      <c r="N6" s="477"/>
      <c r="O6" s="477"/>
      <c r="P6" s="478"/>
      <c r="Q6" s="476">
        <f t="shared" si="0"/>
        <v>3501.7269999999999</v>
      </c>
    </row>
    <row r="7" spans="1:17">
      <c r="A7" s="476" t="s">
        <v>112</v>
      </c>
      <c r="B7" s="477">
        <f>landbouw!B8</f>
        <v>4071.9491386900004</v>
      </c>
      <c r="C7" s="477">
        <f>landbouw!C8</f>
        <v>0</v>
      </c>
      <c r="D7" s="477">
        <f>landbouw!D8</f>
        <v>2275.3849233836604</v>
      </c>
      <c r="E7" s="477">
        <f>landbouw!E8</f>
        <v>104.9999338096988</v>
      </c>
      <c r="F7" s="477">
        <f>landbouw!F8</f>
        <v>14883.749566955541</v>
      </c>
      <c r="G7" s="477">
        <f>landbouw!G8</f>
        <v>0</v>
      </c>
      <c r="H7" s="477">
        <f>landbouw!H8</f>
        <v>0</v>
      </c>
      <c r="I7" s="477">
        <f>landbouw!I8</f>
        <v>0</v>
      </c>
      <c r="J7" s="477">
        <f>landbouw!J8</f>
        <v>586.21088257477186</v>
      </c>
      <c r="K7" s="477">
        <f>landbouw!K8</f>
        <v>0</v>
      </c>
      <c r="L7" s="477">
        <f>landbouw!L8</f>
        <v>0</v>
      </c>
      <c r="M7" s="477">
        <f>landbouw!M8</f>
        <v>0</v>
      </c>
      <c r="N7" s="477">
        <f>landbouw!N8</f>
        <v>0</v>
      </c>
      <c r="O7" s="477">
        <f>landbouw!O8</f>
        <v>0</v>
      </c>
      <c r="P7" s="478">
        <f>landbouw!P8</f>
        <v>0</v>
      </c>
      <c r="Q7" s="476">
        <f t="shared" si="0"/>
        <v>21922.29444541367</v>
      </c>
    </row>
    <row r="8" spans="1:17">
      <c r="A8" s="476" t="s">
        <v>638</v>
      </c>
      <c r="B8" s="477">
        <f>industrie!B18</f>
        <v>75533.954648394007</v>
      </c>
      <c r="C8" s="477">
        <f>industrie!C18</f>
        <v>919.28571428571433</v>
      </c>
      <c r="D8" s="477">
        <f>industrie!D18</f>
        <v>55984.511939003591</v>
      </c>
      <c r="E8" s="477">
        <f>industrie!E18</f>
        <v>4444.1004238569985</v>
      </c>
      <c r="F8" s="477">
        <f>industrie!F18</f>
        <v>22074.917957355312</v>
      </c>
      <c r="G8" s="477">
        <f>industrie!G18</f>
        <v>0</v>
      </c>
      <c r="H8" s="477">
        <f>industrie!H18</f>
        <v>0</v>
      </c>
      <c r="I8" s="477">
        <f>industrie!I18</f>
        <v>0</v>
      </c>
      <c r="J8" s="477">
        <f>industrie!J18</f>
        <v>428.73088796844957</v>
      </c>
      <c r="K8" s="477">
        <f>industrie!K18</f>
        <v>0</v>
      </c>
      <c r="L8" s="477">
        <f>industrie!L18</f>
        <v>0</v>
      </c>
      <c r="M8" s="477">
        <f>industrie!M18</f>
        <v>0</v>
      </c>
      <c r="N8" s="477">
        <f>industrie!N18</f>
        <v>18666.717614208366</v>
      </c>
      <c r="O8" s="477">
        <f>industrie!O18</f>
        <v>0</v>
      </c>
      <c r="P8" s="478">
        <f>industrie!P18</f>
        <v>0</v>
      </c>
      <c r="Q8" s="476">
        <f t="shared" si="0"/>
        <v>178052.21918507243</v>
      </c>
    </row>
    <row r="9" spans="1:17" s="482" customFormat="1">
      <c r="A9" s="480" t="s">
        <v>564</v>
      </c>
      <c r="B9" s="481">
        <f>transport!B14</f>
        <v>110.49115814413622</v>
      </c>
      <c r="C9" s="481">
        <f>transport!C14</f>
        <v>0</v>
      </c>
      <c r="D9" s="481">
        <f>transport!D14</f>
        <v>281.65992673790367</v>
      </c>
      <c r="E9" s="481">
        <f>transport!E14</f>
        <v>1132.0153360719096</v>
      </c>
      <c r="F9" s="481">
        <f>transport!F14</f>
        <v>0</v>
      </c>
      <c r="G9" s="481">
        <f>transport!G14</f>
        <v>424071.18480511376</v>
      </c>
      <c r="H9" s="481">
        <f>transport!H14</f>
        <v>75940.407530432742</v>
      </c>
      <c r="I9" s="481">
        <f>transport!I14</f>
        <v>0</v>
      </c>
      <c r="J9" s="481">
        <f>transport!J14</f>
        <v>0</v>
      </c>
      <c r="K9" s="481">
        <f>transport!K14</f>
        <v>0</v>
      </c>
      <c r="L9" s="481">
        <f>transport!L14</f>
        <v>0</v>
      </c>
      <c r="M9" s="481">
        <f>transport!M14</f>
        <v>15635.423091762237</v>
      </c>
      <c r="N9" s="481">
        <f>transport!N14</f>
        <v>0</v>
      </c>
      <c r="O9" s="481">
        <f>transport!O14</f>
        <v>0</v>
      </c>
      <c r="P9" s="481">
        <f>transport!P14</f>
        <v>0</v>
      </c>
      <c r="Q9" s="480">
        <f>SUM(B9:P9)</f>
        <v>517171.18184826267</v>
      </c>
    </row>
    <row r="10" spans="1:17">
      <c r="A10" s="476" t="s">
        <v>554</v>
      </c>
      <c r="B10" s="477">
        <f>transport!B54</f>
        <v>0</v>
      </c>
      <c r="C10" s="477">
        <f>transport!C54</f>
        <v>0</v>
      </c>
      <c r="D10" s="477">
        <f>transport!D54</f>
        <v>0</v>
      </c>
      <c r="E10" s="477">
        <f>transport!E54</f>
        <v>0</v>
      </c>
      <c r="F10" s="477">
        <f>transport!F54</f>
        <v>0</v>
      </c>
      <c r="G10" s="477">
        <f>transport!G54</f>
        <v>9983.2414981288712</v>
      </c>
      <c r="H10" s="477">
        <f>transport!H54</f>
        <v>0</v>
      </c>
      <c r="I10" s="477">
        <f>transport!I54</f>
        <v>0</v>
      </c>
      <c r="J10" s="477">
        <f>transport!J54</f>
        <v>0</v>
      </c>
      <c r="K10" s="477">
        <f>transport!K54</f>
        <v>0</v>
      </c>
      <c r="L10" s="477">
        <f>transport!L54</f>
        <v>0</v>
      </c>
      <c r="M10" s="477">
        <f>transport!M54</f>
        <v>309.65781694289649</v>
      </c>
      <c r="N10" s="477">
        <f>transport!N54</f>
        <v>0</v>
      </c>
      <c r="O10" s="477">
        <f>transport!O54</f>
        <v>0</v>
      </c>
      <c r="P10" s="478">
        <f>transport!P54</f>
        <v>0</v>
      </c>
      <c r="Q10" s="476">
        <f t="shared" si="0"/>
        <v>10292.899315071767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4672.6732363000001</v>
      </c>
      <c r="C14" s="484"/>
      <c r="D14" s="484">
        <f>'SEAP template'!E25</f>
        <v>11319.357627000001</v>
      </c>
      <c r="E14" s="484"/>
      <c r="F14" s="484"/>
      <c r="G14" s="484"/>
      <c r="H14" s="484"/>
      <c r="I14" s="484"/>
      <c r="J14" s="484"/>
      <c r="K14" s="484"/>
      <c r="L14" s="484"/>
      <c r="M14" s="484"/>
      <c r="N14" s="484"/>
      <c r="O14" s="484"/>
      <c r="P14" s="485"/>
      <c r="Q14" s="476">
        <f t="shared" si="0"/>
        <v>15992.030863300002</v>
      </c>
    </row>
    <row r="15" spans="1:17" s="486" customFormat="1">
      <c r="A15" s="1038" t="s">
        <v>558</v>
      </c>
      <c r="B15" s="978">
        <f ca="1">SUM(B4:B14)</f>
        <v>330104.34042310977</v>
      </c>
      <c r="C15" s="978">
        <f t="shared" ref="C15:Q15" ca="1" si="1">SUM(C4:C14)</f>
        <v>986.78571428571433</v>
      </c>
      <c r="D15" s="978">
        <f t="shared" ca="1" si="1"/>
        <v>523634.32728685118</v>
      </c>
      <c r="E15" s="978">
        <f t="shared" si="1"/>
        <v>21797.423246287286</v>
      </c>
      <c r="F15" s="978">
        <f t="shared" ca="1" si="1"/>
        <v>67715.310024553182</v>
      </c>
      <c r="G15" s="978">
        <f t="shared" si="1"/>
        <v>434054.42630324262</v>
      </c>
      <c r="H15" s="978">
        <f t="shared" si="1"/>
        <v>75940.407530432742</v>
      </c>
      <c r="I15" s="978">
        <f t="shared" si="1"/>
        <v>0</v>
      </c>
      <c r="J15" s="978">
        <f t="shared" si="1"/>
        <v>9679.128746389335</v>
      </c>
      <c r="K15" s="978">
        <f t="shared" si="1"/>
        <v>0</v>
      </c>
      <c r="L15" s="978">
        <f t="shared" ca="1" si="1"/>
        <v>0</v>
      </c>
      <c r="M15" s="978">
        <f t="shared" si="1"/>
        <v>15945.080908705133</v>
      </c>
      <c r="N15" s="978">
        <f t="shared" ca="1" si="1"/>
        <v>82437.28144710671</v>
      </c>
      <c r="O15" s="978">
        <f t="shared" si="1"/>
        <v>789.48333333333346</v>
      </c>
      <c r="P15" s="978">
        <f t="shared" si="1"/>
        <v>2783.7333333333336</v>
      </c>
      <c r="Q15" s="978">
        <f t="shared" ca="1" si="1"/>
        <v>1565867.7282976303</v>
      </c>
    </row>
    <row r="17" spans="1:17">
      <c r="A17" s="487" t="s">
        <v>559</v>
      </c>
      <c r="B17" s="786">
        <f ca="1">huishoudens!B10</f>
        <v>0.20554400396858094</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23870.297835512083</v>
      </c>
      <c r="C22" s="477">
        <f t="shared" ref="C22:C32" ca="1" si="3">C4*$C$17</f>
        <v>0</v>
      </c>
      <c r="D22" s="477">
        <f t="shared" ref="D22:D32" si="4">D4*$D$17</f>
        <v>59502.274713357525</v>
      </c>
      <c r="E22" s="477">
        <f t="shared" ref="E22:E32" si="5">E4*$E$17</f>
        <v>3146.6166721208806</v>
      </c>
      <c r="F22" s="477">
        <f t="shared" ref="F22:F32" si="6">F4*$F$17</f>
        <v>0</v>
      </c>
      <c r="G22" s="477">
        <f t="shared" ref="G22:G32" si="7">G4*$G$17</f>
        <v>0</v>
      </c>
      <c r="H22" s="477">
        <f t="shared" ref="H22:H32" si="8">H4*$H$17</f>
        <v>0</v>
      </c>
      <c r="I22" s="477">
        <f t="shared" ref="I22:I32" si="9">I4*$I$17</f>
        <v>0</v>
      </c>
      <c r="J22" s="477">
        <f t="shared" ref="J22:J32" si="10">J4*$J$17</f>
        <v>3067.1221894495243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89586.311410440016</v>
      </c>
    </row>
    <row r="23" spans="1:17">
      <c r="A23" s="476" t="s">
        <v>156</v>
      </c>
      <c r="B23" s="477">
        <f t="shared" ca="1" si="2"/>
        <v>25915.244068867629</v>
      </c>
      <c r="C23" s="477">
        <f t="shared" ca="1" si="3"/>
        <v>16.041176470588233</v>
      </c>
      <c r="D23" s="477">
        <f t="shared" ca="1" si="4"/>
        <v>32159.954686529138</v>
      </c>
      <c r="E23" s="477">
        <f t="shared" si="5"/>
        <v>511.78514230766956</v>
      </c>
      <c r="F23" s="477">
        <f t="shared" ca="1" si="6"/>
        <v>8212.0235475647023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66815.048621739727</v>
      </c>
    </row>
    <row r="24" spans="1:17">
      <c r="A24" s="476" t="s">
        <v>194</v>
      </c>
      <c r="B24" s="477">
        <f t="shared" ca="1" si="2"/>
        <v>719.75898838488695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719.75898838488695</v>
      </c>
    </row>
    <row r="25" spans="1:17">
      <c r="A25" s="476" t="s">
        <v>112</v>
      </c>
      <c r="B25" s="477">
        <f t="shared" ca="1" si="2"/>
        <v>836.96472992275721</v>
      </c>
      <c r="C25" s="477">
        <f t="shared" ca="1" si="3"/>
        <v>0</v>
      </c>
      <c r="D25" s="477">
        <f t="shared" si="4"/>
        <v>459.62775452349945</v>
      </c>
      <c r="E25" s="477">
        <f t="shared" si="5"/>
        <v>23.834984974801628</v>
      </c>
      <c r="F25" s="477">
        <f t="shared" si="6"/>
        <v>3973.9611343771298</v>
      </c>
      <c r="G25" s="477">
        <f t="shared" si="7"/>
        <v>0</v>
      </c>
      <c r="H25" s="477">
        <f t="shared" si="8"/>
        <v>0</v>
      </c>
      <c r="I25" s="477">
        <f t="shared" si="9"/>
        <v>0</v>
      </c>
      <c r="J25" s="477">
        <f t="shared" si="10"/>
        <v>207.51865243146923</v>
      </c>
      <c r="K25" s="477">
        <f t="shared" si="11"/>
        <v>0</v>
      </c>
      <c r="L25" s="477">
        <f t="shared" si="12"/>
        <v>0</v>
      </c>
      <c r="M25" s="477">
        <f t="shared" si="13"/>
        <v>0</v>
      </c>
      <c r="N25" s="477">
        <f t="shared" si="14"/>
        <v>0</v>
      </c>
      <c r="O25" s="477">
        <f t="shared" si="15"/>
        <v>0</v>
      </c>
      <c r="P25" s="478">
        <f t="shared" si="16"/>
        <v>0</v>
      </c>
      <c r="Q25" s="476">
        <f t="shared" ca="1" si="17"/>
        <v>5501.9072562296578</v>
      </c>
    </row>
    <row r="26" spans="1:17">
      <c r="A26" s="476" t="s">
        <v>638</v>
      </c>
      <c r="B26" s="477">
        <f t="shared" ca="1" si="2"/>
        <v>15525.551474012111</v>
      </c>
      <c r="C26" s="477">
        <f t="shared" ca="1" si="3"/>
        <v>218.46554621848739</v>
      </c>
      <c r="D26" s="477">
        <f t="shared" si="4"/>
        <v>11308.871411678727</v>
      </c>
      <c r="E26" s="477">
        <f t="shared" si="5"/>
        <v>1008.8107962155387</v>
      </c>
      <c r="F26" s="477">
        <f t="shared" si="6"/>
        <v>5894.0030946138686</v>
      </c>
      <c r="G26" s="477">
        <f t="shared" si="7"/>
        <v>0</v>
      </c>
      <c r="H26" s="477">
        <f t="shared" si="8"/>
        <v>0</v>
      </c>
      <c r="I26" s="477">
        <f t="shared" si="9"/>
        <v>0</v>
      </c>
      <c r="J26" s="477">
        <f t="shared" si="10"/>
        <v>151.77073434083113</v>
      </c>
      <c r="K26" s="477">
        <f t="shared" si="11"/>
        <v>0</v>
      </c>
      <c r="L26" s="477">
        <f t="shared" si="12"/>
        <v>0</v>
      </c>
      <c r="M26" s="477">
        <f t="shared" si="13"/>
        <v>0</v>
      </c>
      <c r="N26" s="477">
        <f t="shared" si="14"/>
        <v>0</v>
      </c>
      <c r="O26" s="477">
        <f t="shared" si="15"/>
        <v>0</v>
      </c>
      <c r="P26" s="478">
        <f t="shared" si="16"/>
        <v>0</v>
      </c>
      <c r="Q26" s="476">
        <f t="shared" ca="1" si="17"/>
        <v>34107.473057079565</v>
      </c>
    </row>
    <row r="27" spans="1:17" s="482" customFormat="1">
      <c r="A27" s="480" t="s">
        <v>564</v>
      </c>
      <c r="B27" s="780">
        <f t="shared" ca="1" si="2"/>
        <v>22.710795048071439</v>
      </c>
      <c r="C27" s="481">
        <f t="shared" ca="1" si="3"/>
        <v>0</v>
      </c>
      <c r="D27" s="481">
        <f t="shared" si="4"/>
        <v>56.895305201056544</v>
      </c>
      <c r="E27" s="481">
        <f t="shared" si="5"/>
        <v>256.96748128832348</v>
      </c>
      <c r="F27" s="481">
        <f t="shared" si="6"/>
        <v>0</v>
      </c>
      <c r="G27" s="481">
        <f t="shared" si="7"/>
        <v>113227.00634296538</v>
      </c>
      <c r="H27" s="481">
        <f t="shared" si="8"/>
        <v>18909.161475077752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132472.74139958058</v>
      </c>
    </row>
    <row r="28" spans="1:17">
      <c r="A28" s="476" t="s">
        <v>554</v>
      </c>
      <c r="B28" s="477">
        <f t="shared" ca="1" si="2"/>
        <v>0</v>
      </c>
      <c r="C28" s="477">
        <f t="shared" ca="1" si="3"/>
        <v>0</v>
      </c>
      <c r="D28" s="477">
        <f t="shared" si="4"/>
        <v>0</v>
      </c>
      <c r="E28" s="477">
        <f t="shared" si="5"/>
        <v>0</v>
      </c>
      <c r="F28" s="477">
        <f t="shared" si="6"/>
        <v>0</v>
      </c>
      <c r="G28" s="477">
        <f t="shared" si="7"/>
        <v>2665.5254800004086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2665.5254800004086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960.4399662259292</v>
      </c>
      <c r="C32" s="477">
        <f t="shared" ca="1" si="3"/>
        <v>0</v>
      </c>
      <c r="D32" s="477">
        <f t="shared" si="4"/>
        <v>2286.5102406540004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3246.9502068799297</v>
      </c>
    </row>
    <row r="33" spans="1:17" s="486" customFormat="1">
      <c r="A33" s="1038" t="s">
        <v>558</v>
      </c>
      <c r="B33" s="978">
        <f ca="1">SUM(B22:B32)</f>
        <v>67850.967857973461</v>
      </c>
      <c r="C33" s="978">
        <f t="shared" ref="C33:Q33" ca="1" si="18">SUM(C22:C32)</f>
        <v>234.50672268907562</v>
      </c>
      <c r="D33" s="978">
        <f t="shared" ca="1" si="18"/>
        <v>105774.13411194396</v>
      </c>
      <c r="E33" s="978">
        <f t="shared" si="18"/>
        <v>4948.0150769072134</v>
      </c>
      <c r="F33" s="978">
        <f t="shared" ca="1" si="18"/>
        <v>18079.987776555703</v>
      </c>
      <c r="G33" s="978">
        <f t="shared" si="18"/>
        <v>115892.53182296579</v>
      </c>
      <c r="H33" s="978">
        <f t="shared" si="18"/>
        <v>18909.161475077752</v>
      </c>
      <c r="I33" s="978">
        <f t="shared" si="18"/>
        <v>0</v>
      </c>
      <c r="J33" s="978">
        <f t="shared" si="18"/>
        <v>3426.4115762218244</v>
      </c>
      <c r="K33" s="978">
        <f t="shared" si="18"/>
        <v>0</v>
      </c>
      <c r="L33" s="978">
        <f t="shared" ca="1" si="18"/>
        <v>0</v>
      </c>
      <c r="M33" s="978">
        <f t="shared" si="18"/>
        <v>0</v>
      </c>
      <c r="N33" s="978">
        <f t="shared" ca="1" si="18"/>
        <v>0</v>
      </c>
      <c r="O33" s="978">
        <f t="shared" si="18"/>
        <v>0</v>
      </c>
      <c r="P33" s="978">
        <f t="shared" si="18"/>
        <v>0</v>
      </c>
      <c r="Q33" s="978">
        <f t="shared" ca="1" si="18"/>
        <v>335115.71642033482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23138.417789213279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690.75</v>
      </c>
      <c r="D8" s="1055">
        <f>'SEAP template'!D76</f>
        <v>812.64705882352951</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164.15470588235297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23138.417789213279</v>
      </c>
      <c r="C10" s="1059">
        <f>SUM(C4:C9)</f>
        <v>690.75</v>
      </c>
      <c r="D10" s="1059">
        <f t="shared" ref="D10:H10" si="0">SUM(D8:D9)</f>
        <v>812.64705882352951</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164.15470588235297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0.20554400396858094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986.78571428571433</v>
      </c>
      <c r="D17" s="1056">
        <f>'SEAP template'!D87</f>
        <v>1160.9243697478992</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234.50672268907564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986.78571428571433</v>
      </c>
      <c r="D20" s="1059">
        <f t="shared" ref="D20:H20" si="2">SUM(D17:D19)</f>
        <v>1160.9243697478992</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234.50672268907564</v>
      </c>
    </row>
    <row r="22" spans="1:16">
      <c r="A22" s="487" t="s">
        <v>871</v>
      </c>
      <c r="B22" s="786" t="s">
        <v>865</v>
      </c>
      <c r="C22" s="786">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0.20554400396858094</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2019-08-12T08:26:01Z</dcterms:modified>
</cp:coreProperties>
</file>