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<sst xmlns="http://schemas.openxmlformats.org/spreadsheetml/2006/main" count="2509" uniqueCount="936">
  <si>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</si>
  <si>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</si>
  <si>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</si>
  <si>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</si>
  <si>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</si>
  <si>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</si>
  <si>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</si>
  <si>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</si>
  <si>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</si>
  <si>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</si>
  <si>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</si>
  <si>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</si>
  <si>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</si>
  <si>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</si>
  <si>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</si>
  <si>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</si>
  <si>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</si>
  <si>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</si>
  <si>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</si>
  <si>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</si>
  <si>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</si>
  <si>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</si>
  <si>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</si>
  <si>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</si>
  <si>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</si>
  <si>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</si>
  <si>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</si>
  <si>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</si>
  <si>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</si>
  <si>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</si>
  <si>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</si>
  <si>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</si>
  <si>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</si>
  <si>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</si>
  <si>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</si>
  <si>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</si>
  <si>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</si>
  <si>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</si>
  <si>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</si>
  <si>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</si>
  <si>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</si>
  <si>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</si>
  <si>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</si>
  <si>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</si>
  <si>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</si>
  <si>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</si>
  <si>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</si>
  <si>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</si>
  <si>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</si>
  <si>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</si>
  <si>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</si>
  <si>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</si>
  <si>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</si>
  <si>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</si>
  <si>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</si>
  <si>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</si>
  <si>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</si>
  <si>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</si>
  <si>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</si>
  <si>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</si>
  <si>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</si>
  <si>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</si>
  <si>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</si>
  <si>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</si>
  <si>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</si>
  <si>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</si>
  <si>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</si>
  <si>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</si>
  <si>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</si>
  <si>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</si>
  <si>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</si>
  <si>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</si>
  <si>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</si>
  <si>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</si>
  <si>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</si>
  <si>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</si>
  <si>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</si>
  <si>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</si>
  <si>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</si>
  <si>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</si>
  <si>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</si>
  <si>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</si>
  <si>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</si>
  <si>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</si>
  <si>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</si>
  <si>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</si>
  <si>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</si>
  <si>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</si>
  <si>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</si>
  <si>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</si>
  <si>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</si>
  <si>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</si>
  <si>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</si>
  <si>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</si>
  <si>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</si>
  <si>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</si>
  <si>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</si>
  <si>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</si>
  <si>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</si>
  <si>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</si>
  <si>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</si>
  <si>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</si>
  <si>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</si>
  <si>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</si>
  <si>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</si>
  <si>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</si>
  <si>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</si>
  <si>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</si>
  <si>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</si>
  <si>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</si>
  <si>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</si>
  <si>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</si>
  <si>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</si>
  <si>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</si>
  <si>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</si>
  <si>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</si>
  <si>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</si>
  <si>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</si>
  <si>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</si>
  <si>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</si>
  <si>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</si>
  <si>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</si>
  <si>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</si>
  <si>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</si>
  <si>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</si>
  <si>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</si>
  <si>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</si>
  <si>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</si>
  <si>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</si>
  <si>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</si>
  <si>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</si>
  <si>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</si>
  <si>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</si>
  <si>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</si>
  <si>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</si>
  <si>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</si>
  <si>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</si>
  <si>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</si>
  <si>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</si>
  <si>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</si>
  <si>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</si>
  <si>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</si>
  <si>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</si>
  <si>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</si>
  <si>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</si>
  <si>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</si>
  <si>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</si>
  <si>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</si>
  <si>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</si>
  <si>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</si>
  <si>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</si>
  <si>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</si>
  <si>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</si>
  <si>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</si>
  <si>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</si>
  <si>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</si>
  <si>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</si>
  <si>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</si>
  <si>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</si>
  <si>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</si>
  <si>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</si>
  <si>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</si>
  <si>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</si>
  <si>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</si>
  <si>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</si>
  <si>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</si>
  <si>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</si>
  <si>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</si>
  <si>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</si>
  <si>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</si>
  <si>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</si>
  <si>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</si>
  <si>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</si>
  <si>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</si>
  <si>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</si>
  <si>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</si>
  <si>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</si>
  <si>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</si>
  <si>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</si>
  <si>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</si>
  <si>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</si>
  <si>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</si>
  <si>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</si>
  <si>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</si>
  <si>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</si>
  <si>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</si>
  <si>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</si>
  <si>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</si>
  <si>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</si>
  <si>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</si>
  <si>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</si>
  <si>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</si>
  <si>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</si>
  <si>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</si>
  <si>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</si>
  <si>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</si>
  <si>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</si>
  <si>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</si>
  <si>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</si>
  <si>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</si>
  <si>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</si>
  <si>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</si>
  <si>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</si>
  <si>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</si>
  <si>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</si>
  <si>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</si>
  <si>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</si>
  <si>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</si>
  <si>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</si>
  <si>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</si>
  <si>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</si>
  <si>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</si>
  <si>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</si>
  <si>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</si>
  <si>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</si>
  <si>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</si>
  <si>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</si>
  <si>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</si>
  <si>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</si>
  <si>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</si>
  <si>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</si>
  <si>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</si>
  <si>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</si>
  <si>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</si>
  <si>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</si>
  <si>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</si>
  <si>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</si>
  <si>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</si>
  <si>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</si>
  <si>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</si>
  <si>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</si>
  <si>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</si>
  <si>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</si>
  <si>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</si>
  <si>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</si>
  <si>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</si>
  <si>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</si>
  <si>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</si>
  <si>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</si>
  <si>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</si>
  <si>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</si>
  <si>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</si>
  <si>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</si>
  <si>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</si>
  <si>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</si>
  <si>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</si>
  <si>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</si>
  <si>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</si>
  <si>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</si>
  <si>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</si>
  <si>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</si>
  <si>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</si>
  <si>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</si>
  <si>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</si>
  <si>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</si>
  <si>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</si>
  <si>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</si>
  <si>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</si>
  <si>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</si>
  <si>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</si>
  <si>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</si>
  <si>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</si>
  <si>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</si>
  <si>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</si>
  <si>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</si>
  <si>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</si>
  <si>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</si>
  <si>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</si>
  <si>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</si>
  <si>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</si>
  <si>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</si>
  <si>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</si>
  <si>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</si>
  <si>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</si>
  <si>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</si>
  <si>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</si>
  <si>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</si>
  <si>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</si>
  <si>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</si>
  <si>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</si>
  <si>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</si>
  <si>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</si>
  <si>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</si>
  <si>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</si>
  <si>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</si>
  <si>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</si>
  <si>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</si>
  <si>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</si>
  <si>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</si>
  <si>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</si>
  <si>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</si>
  <si>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</si>
  <si>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</si>
  <si>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</si>
  <si>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</si>
  <si>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</si>
  <si>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</si>
  <si>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</si>
  <si>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</si>
  <si>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</si>
  <si>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</si>
  <si>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</si>
  <si>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</si>
  <si>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</si>
  <si>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</si>
  <si>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</si>
  <si>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</si>
  <si>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</si>
  <si>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</si>
  <si>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</si>
  <si>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</si>
  <si>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</si>
  <si>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</si>
  <si>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</si>
  <si>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</si>
  <si>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</si>
  <si>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</si>
  <si>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</si>
  <si>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</si>
  <si>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</si>
  <si>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</si>
  <si>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</si>
  <si>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</si>
  <si>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</si>
  <si>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</si>
  <si>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</si>
  <si>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</si>
  <si>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</si>
  <si>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</si>
  <si>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</si>
  <si>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</si>
  <si>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</si>
  <si>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</si>
  <si>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</si>
  <si>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</si>
  <si>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</si>
  <si>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</si>
  <si>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</si>
  <si>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</si>
  <si>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</si>
  <si>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</si>
  <si>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</si>
  <si>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</si>
  <si>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</si>
  <si>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</si>
  <si>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</si>
  <si>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</si>
  <si>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</si>
  <si>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</si>
  <si>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</si>
  <si>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</si>
  <si>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</si>
  <si>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</si>
  <si>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</si>
  <si>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</si>
  <si>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</si>
  <si>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</si>
  <si>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</si>
  <si>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</si>
  <si>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</si>
  <si>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</si>
  <si>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</si>
  <si>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</si>
  <si>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</si>
  <si>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</si>
  <si>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</si>
  <si>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</si>
  <si>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</si>
  <si>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</si>
  <si>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</si>
  <si>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</si>
  <si>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</si>
  <si>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</si>
  <si>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</si>
  <si>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</si>
  <si>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</si>
  <si>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</si>
  <si>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</si>
  <si>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</si>
  <si>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</si>
  <si>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</si>
  <si>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</si>
  <si>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</si>
  <si>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</si>
  <si>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</si>
  <si>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</si>
  <si>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</si>
  <si>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</si>
  <si>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</si>
  <si>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</si>
  <si>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</si>
  <si>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</si>
  <si>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</si>
  <si>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</si>
  <si>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</si>
  <si>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</si>
  <si>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</si>
  <si>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</si>
  <si>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</si>
  <si>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</si>
  <si>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</si>
  <si>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</si>
  <si>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</si>
  <si>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</si>
  <si>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</si>
  <si>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</si>
  <si>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</si>
  <si>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</si>
  <si>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</si>
  <si>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</si>
  <si>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</si>
  <si>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</si>
  <si>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</si>
  <si>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</si>
  <si>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</si>
  <si>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</si>
  <si>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</si>
  <si>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</si>
  <si>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</si>
  <si>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</si>
  <si>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</si>
  <si>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</si>
  <si>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</si>
  <si>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</si>
  <si>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</si>
  <si>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</si>
  <si>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</si>
  <si>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</si>
  <si>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</si>
  <si>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</si>
  <si>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</si>
  <si>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</si>
  <si>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</si>
  <si>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</si>
  <si>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</si>
  <si>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</si>
  <si>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</si>
  <si>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</si>
  <si>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</si>
  <si>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</si>
  <si>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</si>
  <si>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</si>
  <si>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</si>
  <si>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</si>
  <si>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</si>
  <si>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</si>
  <si>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</si>
  <si>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</si>
  <si>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</si>
  <si>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</si>
  <si>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</si>
  <si>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</si>
  <si>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</si>
  <si>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</si>
  <si>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</si>
  <si>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</si>
  <si>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</si>
  <si>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</si>
  <si>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</si>
  <si>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</si>
  <si>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</si>
  <si>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</si>
  <si>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</si>
  <si>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</si>
  <si>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</si>
  <si>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</si>
  <si>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</si>
  <si>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</si>
  <si>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</si>
  <si>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</si>
  <si>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</si>
  <si>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</si>
  <si>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</si>
  <si>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</si>
  <si>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</si>
  <si>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</si>
  <si>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</si>
  <si>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</si>
  <si>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</si>
  <si>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</si>
  <si>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</si>
  <si>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</si>
  <si>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</si>
  <si>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</si>
  <si>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</si>
  <si>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</si>
  <si>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</si>
  <si>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</si>
  <si>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</si>
  <si>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</si>
  <si>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</si>
  <si>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</si>
  <si>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</si>
  <si>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</si>
  <si>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</si>
  <si>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</si>
  <si>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</si>
  <si>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</si>
  <si>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</si>
  <si>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</si>
  <si>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</si>
  <si>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</si>
  <si>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</si>
  <si>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</si>
  <si>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</si>
  <si>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</si>
  <si>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</si>
  <si>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</si>
  <si>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</si>
  <si>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</si>
  <si>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</si>
  <si>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</si>
  <si>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</si>
  <si>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</si>
  <si>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</si>
  <si>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</si>
  <si>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</si>
  <si>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</si>
  <si>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</si>
  <si>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</si>
  <si>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</si>
  <si>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</si>
  <si>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</si>
  <si>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</si>
  <si>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</si>
  <si>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</si>
  <si>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</si>
  <si>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</si>
  <si>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</si>
  <si>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</si>
  <si>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</si>
  <si>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</si>
  <si>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</si>
  <si>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</si>
  <si>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</si>
  <si>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</si>
  <si>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</si>
  <si>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</si>
  <si>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</si>
  <si>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</si>
  <si>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</si>
  <si>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</si>
  <si>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</si>
  <si>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</si>
  <si>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</si>
  <si>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</si>
  <si>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</si>
  <si>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</si>
  <si>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</si>
  <si>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</si>
  <si>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</si>
  <si>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</si>
  <si>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</si>
  <si>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</si>
  <si>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</si>
  <si>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</si>
  <si>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</si>
  <si>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</si>
  <si>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</si>
  <si>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</si>
  <si>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</si>
  <si>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</si>
  <si>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</si>
  <si>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</si>
  <si>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</si>
  <si>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</si>
  <si>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</si>
  <si>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</si>
  <si>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</si>
  <si>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</si>
  <si>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</si>
  <si>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</si>
  <si>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</si>
  <si>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</si>
  <si>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</si>
  <si>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</si>
  <si>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</si>
  <si>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</si>
  <si>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</si>
  <si>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</si>
  <si>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</si>
  <si>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</si>
  <si>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</si>
  <si>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</si>
  <si>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</si>
  <si>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</si>
  <si>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</si>
  <si>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</si>
  <si>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</si>
  <si>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</si>
  <si>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</si>
  <si>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</si>
  <si>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</si>
  <si>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</si>
  <si>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</si>
  <si>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</si>
  <si>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</si>
  <si>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</si>
  <si>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</si>
  <si>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</si>
  <si>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</si>
  <si>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</si>
  <si>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</si>
  <si>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</si>
  <si>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</si>
  <si>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</si>
  <si>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</si>
  <si>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</si>
  <si>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</si>
  <si>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</si>
  <si>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</si>
  <si>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</si>
  <si>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</si>
  <si>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</si>
  <si>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</si>
  <si>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</si>
  <si>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</si>
  <si>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</si>
  <si>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</si>
  <si>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</si>
  <si>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</si>
  <si>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</si>
  <si>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</si>
  <si>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</si>
  <si>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</si>
  <si>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</si>
  <si>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</si>
  <si>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</si>
  <si>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</si>
  <si>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</si>
  <si>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</si>
  <si>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</si>
  <si>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</si>
  <si>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</si>
  <si>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</si>
  <si>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</si>
  <si>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</si>
  <si>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</si>
  <si>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</si>
  <si>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</si>
  <si>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</si>
  <si>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</si>
  <si>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</si>
  <si>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</si>
  <si>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</si>
  <si>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</si>
  <si>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</si>
  <si>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</si>
  <si>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</si>
  <si>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</si>
  <si>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</si>
  <si>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</si>
  <si>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</si>
  <si>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</si>
  <si>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</si>
  <si>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</si>
  <si>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</si>
  <si>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</si>
  <si>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</si>
  <si>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</si>
  <si>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</si>
  <si>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</si>
  <si>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</si>
  <si>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</si>
  <si>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</si>
  <si>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</si>
  <si>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</si>
  <si>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</si>
  <si>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</si>
  <si>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</si>
  <si>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</si>
  <si>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</si>
  <si>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</si>
  <si>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</si>
  <si>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</si>
  <si>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</si>
  <si>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</si>
  <si>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</si>
  <si>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</si>
  <si>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</si>
  <si>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</si>
  <si>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</si>
  <si>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</si>
  <si>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</si>
  <si>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</si>
  <si>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</si>
  <si>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</si>
  <si>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</si>
  <si>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</si>
  <si>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</si>
  <si>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</si>
  <si>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</si>
  <si>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</si>
  <si>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</si>
  <si>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</si>
  <si>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</si>
  <si>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</si>
  <si>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</si>
  <si>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</si>
  <si>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</si>
  <si>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</si>
  <si>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</si>
  <si>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</si>
  <si>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</si>
  <si>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</si>
  <si>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</si>
  <si>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</si>
  <si>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</si>
  <si>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</si>
  <si>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</si>
  <si>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</si>
  <si>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</si>
  <si>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</si>
  <si>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</si>
  <si>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</si>
  <si>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</si>
  <si>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</si>
  <si>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</si>
  <si>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</si>
  <si>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</si>
  <si>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</si>
  <si>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</si>
  <si>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</si>
  <si>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</si>
  <si>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</si>
  <si>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</si>
  <si>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</si>
  <si>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</si>
  <si>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</si>
  <si>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</si>
  <si>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</si>
  <si>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</si>
  <si>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</si>
  <si>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</si>
  <si>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</si>
  <si>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</si>
  <si>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</si>
  <si>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</si>
  <si>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</si>
  <si>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</si>
  <si>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</si>
  <si>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</si>
  <si>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</si>
  <si>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</si>
  <si>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</si>
  <si>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</si>
  <si>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</si>
  <si>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</si>
  <si>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</si>
  <si>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</si>
  <si>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</si>
  <si>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</si>
  <si>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</si>
  <si>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</si>
  <si>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</si>
  <si>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</si>
  <si>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</si>
  <si>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</si>
  <si>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</si>
  <si>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</si>
  <si>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</si>
  <si>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</si>
  <si>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</si>
  <si>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</si>
  <si>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</si>
  <si>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</si>
  <si>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</si>
  <si>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</si>
  <si>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</si>
  <si>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</si>
  <si>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</si>
  <si>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</si>
  <si>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</si>
  <si>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</si>
  <si>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</si>
  <si>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</si>
  <si>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</si>
  <si>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</si>
  <si>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</si>
  <si>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</si>
  <si>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</si>
  <si>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</si>
  <si>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</si>
  <si>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</si>
  <si>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</si>
  <si>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</si>
  <si>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</si>
  <si>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</si>
  <si>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</si>
  <si>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</si>
  <si>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</si>
  <si>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</si>
  <si>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</si>
  <si>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</si>
  <si>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</si>
  <si>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</si>
  <si>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</si>
  <si>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</si>
  <si>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</si>
  <si>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</si>
  <si>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</si>
  <si>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</si>
  <si>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</si>
  <si>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</si>
  <si>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</si>
  <si>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</si>
  <si>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</si>
  <si>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</si>
  <si>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</si>
  <si>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</si>
  <si>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</si>
  <si>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</si>
  <si>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</si>
  <si>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</si>
  <si>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</si>
  <si>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</si>
  <si>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</si>
  <si>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</si>
  <si>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</si>
  <si>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</si>
  <si>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</si>
  <si>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</si>
  <si>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</si>
  <si>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</si>
  <si>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</si>
  <si>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</si>
  <si>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</si>
  <si>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</si>
  <si>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</si>
  <si>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</si>
  <si>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</si>
  <si>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</si>
  <si>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</si>
  <si>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</si>
  <si>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</si>
  <si>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</si>
  <si>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</si>
  <si>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</si>
  <si>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</si>
  <si>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</si>
  <si>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</si>
  <si>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</si>
  <si>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</si>
  <si>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</si>
  <si>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</si>
  <si>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</si>
  <si>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</si>
  <si>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</si>
  <si>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</si>
  <si>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</si>
  <si>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</si>
  <si>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</si>
  <si>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</si>
  <si>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</si>
  <si>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</si>
  <si>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</si>
  <si>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</si>
  <si>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</si>
  <si>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</si>
  <si>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</si>
  <si>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</si>
  <si>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</si>
  <si>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</si>
  <si>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</si>
  <si>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</si>
  <si>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</si>
  <si>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</si>
  <si>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</si>
  <si>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</si>
  <si>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</si>
  <si>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</si>
  <si>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</si>
  <si>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</si>
  <si>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</si>
  <si>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</si>
  <si>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</si>
  <si>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</si>
  <si>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</si>
  <si>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</si>
  <si>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</si>
  <si>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</si>
  <si>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</si>
  <si>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46003</t>
  </si>
  <si>
    <t>BEVEREN</t>
  </si>
  <si>
    <t>Paarden&amp;pony's 200 - 600 kg</t>
  </si>
  <si>
    <t>Paarden&amp;pony's &lt; 200 kg</t>
  </si>
  <si>
    <t>referentietaak LNE (2017); Jaarverslag De Lijn (2015)</t>
  </si>
  <si>
    <t>op basis van VEA (maart 2018) en Inventaris Hernieuwbare Energiebronnen (juni 2018)</t>
  </si>
  <si>
    <t>VEA (januari 2017)</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</si>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</sst>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329932.70655938424</c:v>
                </c:pt>
                <c:pt idx="1">
                  <c:v>283601.13805782731</c:v>
                </c:pt>
                <c:pt idx="2">
                  <c:v>3098.2829999999999</c:v>
                </c:pt>
                <c:pt idx="3">
                  <c:v>156737.84626640502</c:v>
                </c:pt>
                <c:pt idx="4">
                  <c:v>164001.08857158636</c:v>
                </c:pt>
                <c:pt idx="5">
                  <c:v>760906.29198534496</c:v>
                </c:pt>
                <c:pt idx="6">
                  <c:v>3968.9559340060887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329932.70655938424</c:v>
                </c:pt>
                <c:pt idx="1">
                  <c:v>283601.13805782731</c:v>
                </c:pt>
                <c:pt idx="2">
                  <c:v>3098.2829999999999</c:v>
                </c:pt>
                <c:pt idx="3">
                  <c:v>156737.84626640502</c:v>
                </c:pt>
                <c:pt idx="4">
                  <c:v>164001.08857158636</c:v>
                </c:pt>
                <c:pt idx="5">
                  <c:v>760906.29198534496</c:v>
                </c:pt>
                <c:pt idx="6">
                  <c:v>3968.9559340060887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51115.806332758235</c:v>
                </c:pt>
                <c:pt idx="2">
                  <c:v>42185.527310961697</c:v>
                </c:pt>
                <c:pt idx="3">
                  <c:v>315.83911131801301</c:v>
                </c:pt>
                <c:pt idx="4">
                  <c:v>26660.484783189506</c:v>
                </c:pt>
                <c:pt idx="5">
                  <c:v>25660.214815070147</c:v>
                </c:pt>
                <c:pt idx="6">
                  <c:v>195416.12085383548</c:v>
                </c:pt>
                <c:pt idx="7">
                  <c:v>1027.8302397849002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51115.806332758235</c:v>
                </c:pt>
                <c:pt idx="2">
                  <c:v>42185.527310961697</c:v>
                </c:pt>
                <c:pt idx="3">
                  <c:v>315.83911131801301</c:v>
                </c:pt>
                <c:pt idx="4">
                  <c:v>26660.484783189506</c:v>
                </c:pt>
                <c:pt idx="5">
                  <c:v>25660.214815070147</c:v>
                </c:pt>
                <c:pt idx="6">
                  <c:v>195416.12085383548</c:v>
                </c:pt>
                <c:pt idx="7">
                  <c:v>1027.8302397849002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0.10194004592802304</v>
      </c>
      <c r="C17" s="524">
        <f ca="1">'EF ele_warmte'!B22</f>
        <v>0.14060310029193282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0.10194004592802304</v>
      </c>
      <c r="C29" s="525">
        <f ca="1">'EF ele_warmte'!B22</f>
        <v>0.14060310029193282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19660</v>
      </c>
      <c r="C9" s="342">
        <v>20115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6994.58</v>
      </c>
    </row>
    <row r="15" spans="1:6">
      <c r="A15" s="348" t="s">
        <v>184</v>
      </c>
      <c r="B15" s="334">
        <v>45</v>
      </c>
    </row>
    <row r="16" spans="1:6">
      <c r="A16" s="348" t="s">
        <v>6</v>
      </c>
      <c r="B16" s="334">
        <v>1783</v>
      </c>
    </row>
    <row r="17" spans="1:6">
      <c r="A17" s="348" t="s">
        <v>7</v>
      </c>
      <c r="B17" s="334">
        <v>2318</v>
      </c>
    </row>
    <row r="18" spans="1:6">
      <c r="A18" s="348" t="s">
        <v>8</v>
      </c>
      <c r="B18" s="334">
        <v>3229</v>
      </c>
    </row>
    <row r="19" spans="1:6">
      <c r="A19" s="348" t="s">
        <v>9</v>
      </c>
      <c r="B19" s="334">
        <v>3185</v>
      </c>
    </row>
    <row r="20" spans="1:6">
      <c r="A20" s="348" t="s">
        <v>10</v>
      </c>
      <c r="B20" s="334">
        <v>1763</v>
      </c>
    </row>
    <row r="21" spans="1:6">
      <c r="A21" s="348" t="s">
        <v>11</v>
      </c>
      <c r="B21" s="334">
        <v>25232</v>
      </c>
    </row>
    <row r="22" spans="1:6">
      <c r="A22" s="348" t="s">
        <v>12</v>
      </c>
      <c r="B22" s="334">
        <v>51516</v>
      </c>
    </row>
    <row r="23" spans="1:6">
      <c r="A23" s="348" t="s">
        <v>13</v>
      </c>
      <c r="B23" s="334">
        <v>1166</v>
      </c>
    </row>
    <row r="24" spans="1:6">
      <c r="A24" s="348" t="s">
        <v>14</v>
      </c>
      <c r="B24" s="334">
        <v>45</v>
      </c>
    </row>
    <row r="25" spans="1:6">
      <c r="A25" s="348" t="s">
        <v>15</v>
      </c>
      <c r="B25" s="334">
        <v>6655</v>
      </c>
    </row>
    <row r="26" spans="1:6">
      <c r="A26" s="348" t="s">
        <v>16</v>
      </c>
      <c r="B26" s="334">
        <v>120</v>
      </c>
    </row>
    <row r="27" spans="1:6">
      <c r="A27" s="348" t="s">
        <v>17</v>
      </c>
      <c r="B27" s="334">
        <v>0</v>
      </c>
    </row>
    <row r="28" spans="1:6" s="356" customFormat="1">
      <c r="A28" s="355" t="s">
        <v>18</v>
      </c>
      <c r="B28" s="355">
        <v>630031</v>
      </c>
    </row>
    <row r="29" spans="1:6">
      <c r="A29" s="355" t="s">
        <v>884</v>
      </c>
      <c r="B29" s="355">
        <v>324</v>
      </c>
      <c r="C29" s="356"/>
      <c r="D29" s="356"/>
      <c r="E29" s="356"/>
      <c r="F29" s="356"/>
    </row>
    <row r="30" spans="1:6">
      <c r="A30" s="355" t="s">
        <v>885</v>
      </c>
      <c r="B30" s="341">
        <v>66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159806.79671</v>
      </c>
    </row>
    <row r="36" spans="1:6">
      <c r="A36" s="348" t="s">
        <v>25</v>
      </c>
      <c r="B36" s="348" t="s">
        <v>27</v>
      </c>
      <c r="C36" s="334">
        <v>0</v>
      </c>
      <c r="D36" s="334">
        <v>0</v>
      </c>
      <c r="E36" s="334">
        <v>47</v>
      </c>
      <c r="F36" s="334">
        <v>2270023.5569000002</v>
      </c>
    </row>
    <row r="37" spans="1:6">
      <c r="A37" s="348" t="s">
        <v>25</v>
      </c>
      <c r="B37" s="348" t="s">
        <v>28</v>
      </c>
      <c r="C37" s="334">
        <v>0</v>
      </c>
      <c r="D37" s="334">
        <v>0</v>
      </c>
      <c r="E37" s="334">
        <v>0</v>
      </c>
      <c r="F37" s="334">
        <v>0</v>
      </c>
    </row>
    <row r="38" spans="1:6">
      <c r="A38" s="348" t="s">
        <v>25</v>
      </c>
      <c r="B38" s="348" t="s">
        <v>29</v>
      </c>
      <c r="C38" s="334">
        <v>4</v>
      </c>
      <c r="D38" s="334">
        <v>18897046.544</v>
      </c>
      <c r="E38" s="334">
        <v>3</v>
      </c>
      <c r="F38" s="334">
        <v>6949.6251801999997</v>
      </c>
    </row>
    <row r="39" spans="1:6">
      <c r="A39" s="348" t="s">
        <v>30</v>
      </c>
      <c r="B39" s="348" t="s">
        <v>31</v>
      </c>
      <c r="C39" s="334">
        <v>14446</v>
      </c>
      <c r="D39" s="334">
        <v>211050721.12</v>
      </c>
      <c r="E39" s="334">
        <v>19558</v>
      </c>
      <c r="F39" s="334">
        <v>84839316.75</v>
      </c>
    </row>
    <row r="40" spans="1:6">
      <c r="A40" s="348" t="s">
        <v>30</v>
      </c>
      <c r="B40" s="348" t="s">
        <v>29</v>
      </c>
      <c r="C40" s="334">
        <v>0</v>
      </c>
      <c r="D40" s="334">
        <v>0</v>
      </c>
      <c r="E40" s="334">
        <v>0</v>
      </c>
      <c r="F40" s="334">
        <v>0</v>
      </c>
    </row>
    <row r="41" spans="1:6">
      <c r="A41" s="348" t="s">
        <v>32</v>
      </c>
      <c r="B41" s="348" t="s">
        <v>33</v>
      </c>
      <c r="C41" s="334">
        <v>186</v>
      </c>
      <c r="D41" s="334">
        <v>25301107.91</v>
      </c>
      <c r="E41" s="334">
        <v>407</v>
      </c>
      <c r="F41" s="334">
        <v>7294677.1747000003</v>
      </c>
    </row>
    <row r="42" spans="1:6">
      <c r="A42" s="348" t="s">
        <v>32</v>
      </c>
      <c r="B42" s="348" t="s">
        <v>34</v>
      </c>
      <c r="C42" s="334">
        <v>0</v>
      </c>
      <c r="D42" s="334">
        <v>0</v>
      </c>
      <c r="E42" s="334">
        <v>7</v>
      </c>
      <c r="F42" s="334">
        <v>18185704.394000001</v>
      </c>
    </row>
    <row r="43" spans="1:6">
      <c r="A43" s="348" t="s">
        <v>32</v>
      </c>
      <c r="B43" s="348" t="s">
        <v>35</v>
      </c>
      <c r="C43" s="334">
        <v>0</v>
      </c>
      <c r="D43" s="334">
        <v>0</v>
      </c>
      <c r="E43" s="334">
        <v>0</v>
      </c>
      <c r="F43" s="334">
        <v>0</v>
      </c>
    </row>
    <row r="44" spans="1:6">
      <c r="A44" s="348" t="s">
        <v>32</v>
      </c>
      <c r="B44" s="348" t="s">
        <v>36</v>
      </c>
      <c r="C44" s="334">
        <v>7</v>
      </c>
      <c r="D44" s="334">
        <v>21406.881672</v>
      </c>
      <c r="E44" s="334">
        <v>43</v>
      </c>
      <c r="F44" s="334">
        <v>625254.07420000003</v>
      </c>
    </row>
    <row r="45" spans="1:6">
      <c r="A45" s="348" t="s">
        <v>32</v>
      </c>
      <c r="B45" s="348" t="s">
        <v>37</v>
      </c>
      <c r="C45" s="334">
        <v>3</v>
      </c>
      <c r="D45" s="334">
        <v>63264.592346999998</v>
      </c>
      <c r="E45" s="334">
        <v>3</v>
      </c>
      <c r="F45" s="334">
        <v>47633.785968999997</v>
      </c>
    </row>
    <row r="46" spans="1:6">
      <c r="A46" s="348" t="s">
        <v>32</v>
      </c>
      <c r="B46" s="348" t="s">
        <v>38</v>
      </c>
      <c r="C46" s="334">
        <v>0</v>
      </c>
      <c r="D46" s="334">
        <v>0</v>
      </c>
      <c r="E46" s="334">
        <v>0</v>
      </c>
      <c r="F46" s="334">
        <v>0</v>
      </c>
    </row>
    <row r="47" spans="1:6">
      <c r="A47" s="348" t="s">
        <v>32</v>
      </c>
      <c r="B47" s="348" t="s">
        <v>39</v>
      </c>
      <c r="C47" s="334">
        <v>3</v>
      </c>
      <c r="D47" s="334">
        <v>54316.022516999998</v>
      </c>
      <c r="E47" s="334">
        <v>10</v>
      </c>
      <c r="F47" s="334">
        <v>288471.11310000002</v>
      </c>
    </row>
    <row r="48" spans="1:6">
      <c r="A48" s="348" t="s">
        <v>32</v>
      </c>
      <c r="B48" s="348" t="s">
        <v>29</v>
      </c>
      <c r="C48" s="334">
        <v>57</v>
      </c>
      <c r="D48" s="334">
        <v>27922171.278000001</v>
      </c>
      <c r="E48" s="334">
        <v>81</v>
      </c>
      <c r="F48" s="334">
        <v>49335420.097999997</v>
      </c>
    </row>
    <row r="49" spans="1:6">
      <c r="A49" s="348" t="s">
        <v>32</v>
      </c>
      <c r="B49" s="348" t="s">
        <v>40</v>
      </c>
      <c r="C49" s="334">
        <v>3</v>
      </c>
      <c r="D49" s="334">
        <v>56351.563590999998</v>
      </c>
      <c r="E49" s="334">
        <v>6</v>
      </c>
      <c r="F49" s="334">
        <v>27002.589238</v>
      </c>
    </row>
    <row r="50" spans="1:6">
      <c r="A50" s="348" t="s">
        <v>32</v>
      </c>
      <c r="B50" s="348" t="s">
        <v>41</v>
      </c>
      <c r="C50" s="334">
        <v>31</v>
      </c>
      <c r="D50" s="334">
        <v>1858140.4201</v>
      </c>
      <c r="E50" s="334">
        <v>34</v>
      </c>
      <c r="F50" s="334">
        <v>2275306.4448000002</v>
      </c>
    </row>
    <row r="51" spans="1:6">
      <c r="A51" s="348" t="s">
        <v>42</v>
      </c>
      <c r="B51" s="348" t="s">
        <v>43</v>
      </c>
      <c r="C51" s="334">
        <v>55</v>
      </c>
      <c r="D51" s="334">
        <v>151463486.63999999</v>
      </c>
      <c r="E51" s="334">
        <v>349</v>
      </c>
      <c r="F51" s="334">
        <v>9914373.8808999993</v>
      </c>
    </row>
    <row r="52" spans="1:6">
      <c r="A52" s="348" t="s">
        <v>42</v>
      </c>
      <c r="B52" s="348" t="s">
        <v>29</v>
      </c>
      <c r="C52" s="334">
        <v>9</v>
      </c>
      <c r="D52" s="334">
        <v>204292.81265000001</v>
      </c>
      <c r="E52" s="334">
        <v>11</v>
      </c>
      <c r="F52" s="334">
        <v>216571.84862</v>
      </c>
    </row>
    <row r="53" spans="1:6">
      <c r="A53" s="348" t="s">
        <v>44</v>
      </c>
      <c r="B53" s="348" t="s">
        <v>45</v>
      </c>
      <c r="C53" s="334">
        <v>342</v>
      </c>
      <c r="D53" s="334">
        <v>6027274.8562000003</v>
      </c>
      <c r="E53" s="334">
        <v>711</v>
      </c>
      <c r="F53" s="334">
        <v>7946489.7967999997</v>
      </c>
    </row>
    <row r="54" spans="1:6">
      <c r="A54" s="348" t="s">
        <v>46</v>
      </c>
      <c r="B54" s="348" t="s">
        <v>47</v>
      </c>
      <c r="C54" s="334">
        <v>0</v>
      </c>
      <c r="D54" s="334">
        <v>0</v>
      </c>
      <c r="E54" s="334">
        <v>1</v>
      </c>
      <c r="F54" s="334">
        <v>3098283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132</v>
      </c>
      <c r="D57" s="334">
        <v>8844047.2311000004</v>
      </c>
      <c r="E57" s="334">
        <v>214</v>
      </c>
      <c r="F57" s="334">
        <v>7346675.9583000001</v>
      </c>
    </row>
    <row r="58" spans="1:6">
      <c r="A58" s="348" t="s">
        <v>49</v>
      </c>
      <c r="B58" s="348" t="s">
        <v>51</v>
      </c>
      <c r="C58" s="334">
        <v>56</v>
      </c>
      <c r="D58" s="334">
        <v>2125143.5628</v>
      </c>
      <c r="E58" s="334">
        <v>72</v>
      </c>
      <c r="F58" s="334">
        <v>1867943.6262000001</v>
      </c>
    </row>
    <row r="59" spans="1:6">
      <c r="A59" s="348" t="s">
        <v>49</v>
      </c>
      <c r="B59" s="348" t="s">
        <v>52</v>
      </c>
      <c r="C59" s="334">
        <v>276</v>
      </c>
      <c r="D59" s="334">
        <v>10299192.630999999</v>
      </c>
      <c r="E59" s="334">
        <v>569</v>
      </c>
      <c r="F59" s="334">
        <v>21628198.477000002</v>
      </c>
    </row>
    <row r="60" spans="1:6">
      <c r="A60" s="348" t="s">
        <v>49</v>
      </c>
      <c r="B60" s="348" t="s">
        <v>53</v>
      </c>
      <c r="C60" s="334">
        <v>132</v>
      </c>
      <c r="D60" s="334">
        <v>5042307.1141999997</v>
      </c>
      <c r="E60" s="334">
        <v>181</v>
      </c>
      <c r="F60" s="334">
        <v>3896321.6154999998</v>
      </c>
    </row>
    <row r="61" spans="1:6">
      <c r="A61" s="348" t="s">
        <v>49</v>
      </c>
      <c r="B61" s="348" t="s">
        <v>54</v>
      </c>
      <c r="C61" s="334">
        <v>414</v>
      </c>
      <c r="D61" s="334">
        <v>24754541.384</v>
      </c>
      <c r="E61" s="334">
        <v>788</v>
      </c>
      <c r="F61" s="334">
        <v>81824487.988000005</v>
      </c>
    </row>
    <row r="62" spans="1:6">
      <c r="A62" s="348" t="s">
        <v>49</v>
      </c>
      <c r="B62" s="348" t="s">
        <v>55</v>
      </c>
      <c r="C62" s="334">
        <v>20</v>
      </c>
      <c r="D62" s="334">
        <v>2015693.1640000001</v>
      </c>
      <c r="E62" s="334">
        <v>30</v>
      </c>
      <c r="F62" s="334">
        <v>993702.57510000002</v>
      </c>
    </row>
    <row r="63" spans="1:6">
      <c r="A63" s="348" t="s">
        <v>49</v>
      </c>
      <c r="B63" s="348" t="s">
        <v>29</v>
      </c>
      <c r="C63" s="334">
        <v>162</v>
      </c>
      <c r="D63" s="334">
        <v>47004993.763999999</v>
      </c>
      <c r="E63" s="334">
        <v>145</v>
      </c>
      <c r="F63" s="334">
        <v>12531906.537</v>
      </c>
    </row>
    <row r="64" spans="1:6">
      <c r="A64" s="348" t="s">
        <v>56</v>
      </c>
      <c r="B64" s="348" t="s">
        <v>57</v>
      </c>
      <c r="C64" s="334">
        <v>0</v>
      </c>
      <c r="D64" s="334">
        <v>0</v>
      </c>
      <c r="E64" s="334">
        <v>0</v>
      </c>
      <c r="F64" s="334">
        <v>0</v>
      </c>
    </row>
    <row r="65" spans="1:6">
      <c r="A65" s="348" t="s">
        <v>56</v>
      </c>
      <c r="B65" s="348" t="s">
        <v>29</v>
      </c>
      <c r="C65" s="334">
        <v>6</v>
      </c>
      <c r="D65" s="334">
        <v>149459.56651</v>
      </c>
      <c r="E65" s="334">
        <v>5</v>
      </c>
      <c r="F65" s="334">
        <v>72612.034494000007</v>
      </c>
    </row>
    <row r="66" spans="1:6">
      <c r="A66" s="348" t="s">
        <v>56</v>
      </c>
      <c r="B66" s="348" t="s">
        <v>58</v>
      </c>
      <c r="C66" s="334">
        <v>0</v>
      </c>
      <c r="D66" s="334">
        <v>0</v>
      </c>
      <c r="E66" s="334">
        <v>30</v>
      </c>
      <c r="F66" s="334">
        <v>3320750.3303999999</v>
      </c>
    </row>
    <row r="67" spans="1:6">
      <c r="A67" s="355" t="s">
        <v>56</v>
      </c>
      <c r="B67" s="355" t="s">
        <v>59</v>
      </c>
      <c r="C67" s="334">
        <v>0</v>
      </c>
      <c r="D67" s="334">
        <v>0</v>
      </c>
      <c r="E67" s="334">
        <v>0</v>
      </c>
      <c r="F67" s="334">
        <v>0</v>
      </c>
    </row>
    <row r="68" spans="1:6">
      <c r="A68" s="341" t="s">
        <v>56</v>
      </c>
      <c r="B68" s="341" t="s">
        <v>60</v>
      </c>
      <c r="C68" s="334">
        <v>9</v>
      </c>
      <c r="D68" s="334">
        <v>320803.21204000001</v>
      </c>
      <c r="E68" s="334">
        <v>45</v>
      </c>
      <c r="F68" s="334">
        <v>1260310.0373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146865742</v>
      </c>
      <c r="E73" s="475">
        <v>181448941.13965991</v>
      </c>
    </row>
    <row r="74" spans="1:6">
      <c r="A74" s="348" t="s">
        <v>64</v>
      </c>
      <c r="B74" s="348" t="s">
        <v>667</v>
      </c>
      <c r="C74" s="1294" t="s">
        <v>669</v>
      </c>
      <c r="D74" s="475">
        <v>27397546.272625588</v>
      </c>
      <c r="E74" s="475">
        <v>31502312.612434216</v>
      </c>
    </row>
    <row r="75" spans="1:6">
      <c r="A75" s="348" t="s">
        <v>65</v>
      </c>
      <c r="B75" s="348" t="s">
        <v>666</v>
      </c>
      <c r="C75" s="1294" t="s">
        <v>670</v>
      </c>
      <c r="D75" s="475">
        <v>100388819</v>
      </c>
      <c r="E75" s="475">
        <v>127849365.64532027</v>
      </c>
    </row>
    <row r="76" spans="1:6">
      <c r="A76" s="348" t="s">
        <v>65</v>
      </c>
      <c r="B76" s="348" t="s">
        <v>667</v>
      </c>
      <c r="C76" s="1294" t="s">
        <v>671</v>
      </c>
      <c r="D76" s="475">
        <v>19041631.272625588</v>
      </c>
      <c r="E76" s="475">
        <v>21783597.186458554</v>
      </c>
    </row>
    <row r="77" spans="1:6">
      <c r="A77" s="348" t="s">
        <v>66</v>
      </c>
      <c r="B77" s="348" t="s">
        <v>666</v>
      </c>
      <c r="C77" s="1294" t="s">
        <v>672</v>
      </c>
      <c r="D77" s="475">
        <v>310427266</v>
      </c>
      <c r="E77" s="475">
        <v>329335509.8866815</v>
      </c>
    </row>
    <row r="78" spans="1:6">
      <c r="A78" s="341" t="s">
        <v>66</v>
      </c>
      <c r="B78" s="341" t="s">
        <v>667</v>
      </c>
      <c r="C78" s="341" t="s">
        <v>673</v>
      </c>
      <c r="D78" s="1295">
        <v>89097544</v>
      </c>
      <c r="E78" s="1295">
        <v>93221529.289531812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1066007.454748821</v>
      </c>
      <c r="C83" s="475">
        <v>1066007.454748821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105390.11487758375</v>
      </c>
    </row>
    <row r="91" spans="1:6">
      <c r="A91" s="348" t="s">
        <v>68</v>
      </c>
      <c r="B91" s="334">
        <v>10948.068415965949</v>
      </c>
    </row>
    <row r="92" spans="1:6">
      <c r="A92" s="341" t="s">
        <v>69</v>
      </c>
      <c r="B92" s="342">
        <v>36307.921117960512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48</v>
      </c>
      <c r="C123" s="334">
        <v>138</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565</v>
      </c>
    </row>
    <row r="130" spans="1:6">
      <c r="A130" s="348" t="s">
        <v>295</v>
      </c>
      <c r="B130" s="334">
        <v>7</v>
      </c>
    </row>
    <row r="131" spans="1:6">
      <c r="A131" s="348" t="s">
        <v>296</v>
      </c>
      <c r="B131" s="334">
        <v>3</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353169.99464967637</v>
      </c>
      <c r="C3" s="43" t="s">
        <v>170</v>
      </c>
      <c r="D3" s="43"/>
      <c r="E3" s="154"/>
      <c r="F3" s="43"/>
      <c r="G3" s="43"/>
      <c r="H3" s="43"/>
      <c r="I3" s="43"/>
      <c r="J3" s="43"/>
      <c r="K3" s="96"/>
    </row>
    <row r="4" spans="1:11">
      <c r="A4" s="383" t="s">
        <v>171</v>
      </c>
      <c r="B4" s="49">
        <f>IF(ISERROR('SEAP template'!B78+'SEAP template'!C78),0,'SEAP template'!B78+'SEAP template'!C78)</f>
        <v>256053.25441151022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14539.365882352942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0.10194004592802304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20770.522689075635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147724.50000000003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0.14060310029193282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3098.2829999999999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3098.2829999999999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0.10194004592802304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315.83911131801301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84839.316749999998</v>
      </c>
      <c r="C5" s="17">
        <f>IF(ISERROR('Eigen informatie GS &amp; warmtenet'!B57),0,'Eigen informatie GS &amp; warmtenet'!B57)</f>
        <v>0</v>
      </c>
      <c r="D5" s="30">
        <f>(SUM(HH_hh_gas_kWh,HH_rest_gas_kWh)/1000)*0.902</f>
        <v>190367.75045024001</v>
      </c>
      <c r="E5" s="17">
        <f>B46*B57</f>
        <v>4627.9319340663696</v>
      </c>
      <c r="F5" s="17">
        <f>B51*B62</f>
        <v>0</v>
      </c>
      <c r="G5" s="18"/>
      <c r="H5" s="17"/>
      <c r="I5" s="17"/>
      <c r="J5" s="17">
        <f>B50*B61+C50*C61</f>
        <v>5215.8467503753855</v>
      </c>
      <c r="K5" s="17"/>
      <c r="L5" s="17"/>
      <c r="M5" s="17"/>
      <c r="N5" s="17">
        <f>B48*B59+C48*C59</f>
        <v>31228.478925403189</v>
      </c>
      <c r="O5" s="17">
        <f>B69*B70*B71</f>
        <v>1103.7133333333334</v>
      </c>
      <c r="P5" s="17">
        <f>B77*B78*B79/1000-B77*B78*B79/1000/B80</f>
        <v>1601.6</v>
      </c>
    </row>
    <row r="6" spans="1:16">
      <c r="A6" s="16" t="s">
        <v>624</v>
      </c>
      <c r="B6" s="788">
        <f>kWh_PV_kleiner_dan_10kW</f>
        <v>10948.068415965949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95787.385165965941</v>
      </c>
      <c r="C8" s="21">
        <f>C5</f>
        <v>0</v>
      </c>
      <c r="D8" s="21">
        <f>D5</f>
        <v>190367.75045024001</v>
      </c>
      <c r="E8" s="21">
        <f>E5</f>
        <v>4627.9319340663696</v>
      </c>
      <c r="F8" s="21">
        <f>F5</f>
        <v>0</v>
      </c>
      <c r="G8" s="21"/>
      <c r="H8" s="21"/>
      <c r="I8" s="21"/>
      <c r="J8" s="21">
        <f>J5</f>
        <v>5215.8467503753855</v>
      </c>
      <c r="K8" s="21"/>
      <c r="L8" s="21">
        <f>L5</f>
        <v>0</v>
      </c>
      <c r="M8" s="21">
        <f>M5</f>
        <v>0</v>
      </c>
      <c r="N8" s="21">
        <f>N5</f>
        <v>31228.478925403189</v>
      </c>
      <c r="O8" s="21">
        <f>O5</f>
        <v>1103.7133333333334</v>
      </c>
      <c r="P8" s="21">
        <f>P5</f>
        <v>1601.6</v>
      </c>
    </row>
    <row r="9" spans="1:16">
      <c r="B9" s="19"/>
      <c r="C9" s="19"/>
      <c r="D9" s="258"/>
      <c r="E9" s="19"/>
      <c r="F9" s="19"/>
      <c r="G9" s="19"/>
      <c r="H9" s="19"/>
      <c r="I9" s="19"/>
      <c r="J9" s="19"/>
      <c r="K9" s="19"/>
      <c r="L9" s="19"/>
      <c r="M9" s="19"/>
      <c r="N9" s="19"/>
      <c r="O9" s="19"/>
      <c r="P9" s="19"/>
    </row>
    <row r="10" spans="1:16">
      <c r="A10" s="24" t="s">
        <v>214</v>
      </c>
      <c r="B10" s="25">
        <f ca="1">'EF ele_warmte'!B12</f>
        <v>0.10194004592802304</v>
      </c>
      <c r="C10" s="25">
        <f ca="1">'EF ele_warmte'!B22</f>
        <v>0.14060310029193282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9764.5704431438007</v>
      </c>
      <c r="C12" s="23">
        <f ca="1">C10*C8</f>
        <v>0</v>
      </c>
      <c r="D12" s="23">
        <f>D8*D10</f>
        <v>38454.285590948486</v>
      </c>
      <c r="E12" s="23">
        <f>E10*E8</f>
        <v>1050.5405490330659</v>
      </c>
      <c r="F12" s="23">
        <f>F10*F8</f>
        <v>0</v>
      </c>
      <c r="G12" s="23"/>
      <c r="H12" s="23"/>
      <c r="I12" s="23"/>
      <c r="J12" s="23">
        <f>J10*J8</f>
        <v>1846.4097496328864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698</v>
      </c>
      <c r="B28" s="37">
        <f>aantalHuishoudens2011</f>
        <v>19660</v>
      </c>
      <c r="C28" s="36"/>
      <c r="D28" s="228"/>
    </row>
    <row r="29" spans="1:7" s="15" customFormat="1">
      <c r="A29" s="230" t="s">
        <v>699</v>
      </c>
      <c r="B29" s="37">
        <f>SUM(HH_hh_gas_aantal,HH_rest_gas_aantal)</f>
        <v>14446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14446</v>
      </c>
      <c r="C32" s="167">
        <f>IF(ISERROR(B32/SUM($B$32,$B$34,$B$35,$B$36,$B$38,$B$39)*100),0,B32/SUM($B$32,$B$34,$B$35,$B$36,$B$38,$B$39)*100)</f>
        <v>73.794442174090719</v>
      </c>
      <c r="D32" s="233"/>
      <c r="G32" s="15"/>
    </row>
    <row r="33" spans="1:7">
      <c r="A33" s="171" t="s">
        <v>72</v>
      </c>
      <c r="B33" s="34" t="s">
        <v>111</v>
      </c>
      <c r="C33" s="167"/>
      <c r="D33" s="233"/>
      <c r="G33" s="15"/>
    </row>
    <row r="34" spans="1:7">
      <c r="A34" s="171" t="s">
        <v>73</v>
      </c>
      <c r="B34" s="33">
        <f>IF((($B$28-$B$32-$B$39-$B$77-$B$38)*C20/100)&lt;0,0,($B$28-$B$32-$B$39-$B$77-$B$38)*C20/100)</f>
        <v>204.6137984496124</v>
      </c>
      <c r="C34" s="167">
        <f>IF(ISERROR(B34/SUM($B$32,$B$34,$B$35,$B$36,$B$38,$B$39)*100),0,B34/SUM($B$32,$B$34,$B$35,$B$36,$B$38,$B$39)*100)</f>
        <v>1.0452278220760749</v>
      </c>
      <c r="D34" s="233"/>
      <c r="G34" s="15"/>
    </row>
    <row r="35" spans="1:7">
      <c r="A35" s="171" t="s">
        <v>74</v>
      </c>
      <c r="B35" s="33">
        <f>IF((($B$28-$B$32-$B$39-$B$77-$B$38)*C21/100)&lt;0,0,($B$28-$B$32-$B$39-$B$77-$B$38)*C21/100)</f>
        <v>4270.7361240310074</v>
      </c>
      <c r="C35" s="167">
        <f>IF(ISERROR(B35/SUM($B$32,$B$34,$B$35,$B$36,$B$38,$B$39)*100),0,B35/SUM($B$32,$B$34,$B$35,$B$36,$B$38,$B$39)*100)</f>
        <v>21.816183714911151</v>
      </c>
      <c r="D35" s="233"/>
      <c r="G35" s="15"/>
    </row>
    <row r="36" spans="1:7">
      <c r="A36" s="171" t="s">
        <v>75</v>
      </c>
      <c r="B36" s="33">
        <f>IF((($B$28-$B$32-$B$39-$B$77-$B$38)*C22/100)&lt;0,0,($B$28-$B$32-$B$39-$B$77-$B$38)*C22/100)</f>
        <v>486.15007751937986</v>
      </c>
      <c r="C36" s="167">
        <f>IF(ISERROR(B36/SUM($B$32,$B$34,$B$35,$B$36,$B$38,$B$39)*100),0,B36/SUM($B$32,$B$34,$B$35,$B$36,$B$38,$B$39)*100)</f>
        <v>2.4833984344063134</v>
      </c>
      <c r="D36" s="233"/>
      <c r="G36" s="15"/>
    </row>
    <row r="37" spans="1:7">
      <c r="A37" s="171" t="s">
        <v>76</v>
      </c>
      <c r="B37" s="34" t="s">
        <v>111</v>
      </c>
      <c r="C37" s="167"/>
      <c r="D37" s="173"/>
      <c r="G37" s="15"/>
    </row>
    <row r="38" spans="1:7">
      <c r="A38" s="171" t="s">
        <v>77</v>
      </c>
      <c r="B38" s="33">
        <f>IF((B24-(B29-B18)*0.1)&lt;0,0,B24-(B29-B18)*0.1)</f>
        <v>168.5</v>
      </c>
      <c r="C38" s="167">
        <f>IF(ISERROR(B38/SUM($B$32,$B$34,$B$35,$B$36,$B$38,$B$39)*100),0,B38/SUM($B$32,$B$34,$B$35,$B$36,$B$38,$B$39)*100)</f>
        <v>0.86074785451573355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14446</v>
      </c>
      <c r="C44" s="34" t="s">
        <v>111</v>
      </c>
      <c r="D44" s="174"/>
    </row>
    <row r="45" spans="1:7">
      <c r="A45" s="171" t="s">
        <v>72</v>
      </c>
      <c r="B45" s="33" t="str">
        <f t="shared" si="0"/>
        <v>-</v>
      </c>
      <c r="C45" s="34" t="s">
        <v>111</v>
      </c>
      <c r="D45" s="174"/>
    </row>
    <row r="46" spans="1:7">
      <c r="A46" s="171" t="s">
        <v>73</v>
      </c>
      <c r="B46" s="33">
        <f t="shared" si="0"/>
        <v>204.6137984496124</v>
      </c>
      <c r="C46" s="34" t="s">
        <v>111</v>
      </c>
      <c r="D46" s="174"/>
    </row>
    <row r="47" spans="1:7">
      <c r="A47" s="171" t="s">
        <v>74</v>
      </c>
      <c r="B47" s="33">
        <f t="shared" si="0"/>
        <v>4270.7361240310074</v>
      </c>
      <c r="C47" s="34" t="s">
        <v>111</v>
      </c>
      <c r="D47" s="174"/>
    </row>
    <row r="48" spans="1:7">
      <c r="A48" s="171" t="s">
        <v>75</v>
      </c>
      <c r="B48" s="33">
        <f t="shared" si="0"/>
        <v>486.15007751937986</v>
      </c>
      <c r="C48" s="33">
        <f>B48*10</f>
        <v>4861.5007751937983</v>
      </c>
      <c r="D48" s="234"/>
    </row>
    <row r="49" spans="1:6">
      <c r="A49" s="171" t="s">
        <v>76</v>
      </c>
      <c r="B49" s="33" t="str">
        <f t="shared" si="0"/>
        <v>-</v>
      </c>
      <c r="C49" s="34" t="s">
        <v>111</v>
      </c>
      <c r="D49" s="234"/>
    </row>
    <row r="50" spans="1:6">
      <c r="A50" s="171" t="s">
        <v>77</v>
      </c>
      <c r="B50" s="33">
        <f t="shared" si="0"/>
        <v>168.5</v>
      </c>
      <c r="C50" s="33">
        <f>B50*2</f>
        <v>337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130089.2367771</v>
      </c>
      <c r="C5" s="17">
        <f>IF(ISERROR('Eigen informatie GS &amp; warmtenet'!B58),0,'Eigen informatie GS &amp; warmtenet'!B58)</f>
        <v>0</v>
      </c>
      <c r="D5" s="30">
        <f>SUM(D6:D12)</f>
        <v>90277.4988036922</v>
      </c>
      <c r="E5" s="17">
        <f>SUM(E6:E12)</f>
        <v>2116.4268525035291</v>
      </c>
      <c r="F5" s="17">
        <f>SUM(F6:F12)</f>
        <v>32479.975148341095</v>
      </c>
      <c r="G5" s="18"/>
      <c r="H5" s="17"/>
      <c r="I5" s="17"/>
      <c r="J5" s="17">
        <f>SUM(J6:J12)</f>
        <v>0</v>
      </c>
      <c r="K5" s="17"/>
      <c r="L5" s="17"/>
      <c r="M5" s="17"/>
      <c r="N5" s="17">
        <f>SUM(N6:N12)</f>
        <v>7028.0125940270827</v>
      </c>
      <c r="O5" s="17">
        <f>B38*B39*B40</f>
        <v>10.943333333333335</v>
      </c>
      <c r="P5" s="17">
        <f>B46*B47*B48/1000-B46*B47*B48/1000/B49</f>
        <v>57.2</v>
      </c>
      <c r="R5" s="32"/>
    </row>
    <row r="6" spans="1:18">
      <c r="A6" s="32" t="s">
        <v>54</v>
      </c>
      <c r="B6" s="37">
        <f>B26</f>
        <v>81824.487988000008</v>
      </c>
      <c r="C6" s="33"/>
      <c r="D6" s="37">
        <f>IF(ISERROR(TER_kantoor_gas_kWh/1000),0,TER_kantoor_gas_kWh/1000)*0.902</f>
        <v>22328.596328367999</v>
      </c>
      <c r="E6" s="33">
        <f>$C$26*'E Balans VL '!I12/100/3.6*1000000</f>
        <v>1071.1833409167084</v>
      </c>
      <c r="F6" s="33">
        <f>$C$26*('E Balans VL '!L12+'E Balans VL '!N12)/100/3.6*1000000</f>
        <v>20864.398894266295</v>
      </c>
      <c r="G6" s="34"/>
      <c r="H6" s="33"/>
      <c r="I6" s="33"/>
      <c r="J6" s="33">
        <f>$C$26*('E Balans VL '!D12+'E Balans VL '!E12)/100/3.6*1000000</f>
        <v>0</v>
      </c>
      <c r="K6" s="33"/>
      <c r="L6" s="33"/>
      <c r="M6" s="33"/>
      <c r="N6" s="33">
        <f>$C$26*'E Balans VL '!Y12/100/3.6*1000000</f>
        <v>82.100027568550146</v>
      </c>
      <c r="O6" s="33"/>
      <c r="P6" s="33"/>
      <c r="R6" s="32"/>
    </row>
    <row r="7" spans="1:18">
      <c r="A7" s="32" t="s">
        <v>53</v>
      </c>
      <c r="B7" s="37">
        <f t="shared" ref="B7:B12" si="0">B27</f>
        <v>3896.3216155</v>
      </c>
      <c r="C7" s="33"/>
      <c r="D7" s="37">
        <f>IF(ISERROR(TER_horeca_gas_kWh/1000),0,TER_horeca_gas_kWh/1000)*0.902</f>
        <v>4548.1610170084004</v>
      </c>
      <c r="E7" s="33">
        <f>$C$27*'E Balans VL '!I9/100/3.6*1000000</f>
        <v>128.94454494371948</v>
      </c>
      <c r="F7" s="33">
        <f>$C$27*('E Balans VL '!L9+'E Balans VL '!N9)/100/3.6*1000000</f>
        <v>1675.4033621518201</v>
      </c>
      <c r="G7" s="34"/>
      <c r="H7" s="33"/>
      <c r="I7" s="33"/>
      <c r="J7" s="33">
        <f>$C$27*('E Balans VL '!D9+'E Balans VL '!E9)/100/3.6*1000000</f>
        <v>0</v>
      </c>
      <c r="K7" s="33"/>
      <c r="L7" s="33"/>
      <c r="M7" s="33"/>
      <c r="N7" s="33">
        <f>$C$27*'E Balans VL '!Y9/100/3.6*1000000</f>
        <v>0.93790119364993385</v>
      </c>
      <c r="O7" s="33"/>
      <c r="P7" s="33"/>
      <c r="R7" s="32"/>
    </row>
    <row r="8" spans="1:18">
      <c r="A8" s="6" t="s">
        <v>52</v>
      </c>
      <c r="B8" s="37">
        <f t="shared" si="0"/>
        <v>21628.198477000002</v>
      </c>
      <c r="C8" s="33"/>
      <c r="D8" s="37">
        <f>IF(ISERROR(TER_handel_gas_kWh/1000),0,TER_handel_gas_kWh/1000)*0.902</f>
        <v>9289.8717531620005</v>
      </c>
      <c r="E8" s="33">
        <f>$C$28*'E Balans VL '!I13/100/3.6*1000000</f>
        <v>682.61899083769947</v>
      </c>
      <c r="F8" s="33">
        <f>$C$28*('E Balans VL '!L13+'E Balans VL '!N13)/100/3.6*1000000</f>
        <v>4241.6705702696827</v>
      </c>
      <c r="G8" s="34"/>
      <c r="H8" s="33"/>
      <c r="I8" s="33"/>
      <c r="J8" s="33">
        <f>$C$28*('E Balans VL '!D13+'E Balans VL '!E13)/100/3.6*1000000</f>
        <v>0</v>
      </c>
      <c r="K8" s="33"/>
      <c r="L8" s="33"/>
      <c r="M8" s="33"/>
      <c r="N8" s="33">
        <f>$C$28*'E Balans VL '!Y13/100/3.6*1000000</f>
        <v>25.668472529014352</v>
      </c>
      <c r="O8" s="33"/>
      <c r="P8" s="33"/>
      <c r="R8" s="32"/>
    </row>
    <row r="9" spans="1:18">
      <c r="A9" s="32" t="s">
        <v>51</v>
      </c>
      <c r="B9" s="37">
        <f t="shared" si="0"/>
        <v>1867.9436262000002</v>
      </c>
      <c r="C9" s="33"/>
      <c r="D9" s="37">
        <f>IF(ISERROR(TER_gezond_gas_kWh/1000),0,TER_gezond_gas_kWh/1000)*0.902</f>
        <v>1916.8794936456</v>
      </c>
      <c r="E9" s="33">
        <f>$C$29*'E Balans VL '!I10/100/3.6*1000000</f>
        <v>0.23915142963190381</v>
      </c>
      <c r="F9" s="33">
        <f>$C$29*('E Balans VL '!L10+'E Balans VL '!N10)/100/3.6*1000000</f>
        <v>389.17095002984126</v>
      </c>
      <c r="G9" s="34"/>
      <c r="H9" s="33"/>
      <c r="I9" s="33"/>
      <c r="J9" s="33">
        <f>$C$29*('E Balans VL '!D10+'E Balans VL '!E10)/100/3.6*1000000</f>
        <v>0</v>
      </c>
      <c r="K9" s="33"/>
      <c r="L9" s="33"/>
      <c r="M9" s="33"/>
      <c r="N9" s="33">
        <f>$C$29*'E Balans VL '!Y10/100/3.6*1000000</f>
        <v>21.939880795948739</v>
      </c>
      <c r="O9" s="33"/>
      <c r="P9" s="33"/>
      <c r="R9" s="32"/>
    </row>
    <row r="10" spans="1:18">
      <c r="A10" s="32" t="s">
        <v>50</v>
      </c>
      <c r="B10" s="37">
        <f t="shared" si="0"/>
        <v>7346.6759583000003</v>
      </c>
      <c r="C10" s="33"/>
      <c r="D10" s="37">
        <f>IF(ISERROR(TER_ander_gas_kWh/1000),0,TER_ander_gas_kWh/1000)*0.902</f>
        <v>7977.3306024522017</v>
      </c>
      <c r="E10" s="33">
        <f>$C$30*'E Balans VL '!I14/100/3.6*1000000</f>
        <v>11.047672955912205</v>
      </c>
      <c r="F10" s="33">
        <f>$C$30*('E Balans VL '!L14+'E Balans VL '!N14)/100/3.6*1000000</f>
        <v>1621.909234453926</v>
      </c>
      <c r="G10" s="34"/>
      <c r="H10" s="33"/>
      <c r="I10" s="33"/>
      <c r="J10" s="33">
        <f>$C$30*('E Balans VL '!D14+'E Balans VL '!E14)/100/3.6*1000000</f>
        <v>0</v>
      </c>
      <c r="K10" s="33"/>
      <c r="L10" s="33"/>
      <c r="M10" s="33"/>
      <c r="N10" s="33">
        <f>$C$30*'E Balans VL '!Y14/100/3.6*1000000</f>
        <v>5789.6750677911814</v>
      </c>
      <c r="O10" s="33"/>
      <c r="P10" s="33"/>
      <c r="R10" s="32"/>
    </row>
    <row r="11" spans="1:18">
      <c r="A11" s="32" t="s">
        <v>55</v>
      </c>
      <c r="B11" s="37">
        <f t="shared" si="0"/>
        <v>993.70257509999999</v>
      </c>
      <c r="C11" s="33"/>
      <c r="D11" s="37">
        <f>IF(ISERROR(TER_onderwijs_gas_kWh/1000),0,TER_onderwijs_gas_kWh/1000)*0.902</f>
        <v>1818.1552339280001</v>
      </c>
      <c r="E11" s="33">
        <f>$C$31*'E Balans VL '!I11/100/3.6*1000000</f>
        <v>1.749993506739052</v>
      </c>
      <c r="F11" s="33">
        <f>$C$31*('E Balans VL '!L11+'E Balans VL '!N11)/100/3.6*1000000</f>
        <v>458.81045994202708</v>
      </c>
      <c r="G11" s="34"/>
      <c r="H11" s="33"/>
      <c r="I11" s="33"/>
      <c r="J11" s="33">
        <f>$C$31*('E Balans VL '!D11+'E Balans VL '!E11)/100/3.6*1000000</f>
        <v>0</v>
      </c>
      <c r="K11" s="33"/>
      <c r="L11" s="33"/>
      <c r="M11" s="33"/>
      <c r="N11" s="33">
        <f>$C$31*'E Balans VL '!Y11/100/3.6*1000000</f>
        <v>1.8512816391043154</v>
      </c>
      <c r="O11" s="33"/>
      <c r="P11" s="33"/>
      <c r="R11" s="32"/>
    </row>
    <row r="12" spans="1:18">
      <c r="A12" s="32" t="s">
        <v>260</v>
      </c>
      <c r="B12" s="37">
        <f t="shared" si="0"/>
        <v>12531.906537000001</v>
      </c>
      <c r="C12" s="33"/>
      <c r="D12" s="37">
        <f>IF(ISERROR(TER_rest_gas_kWh/1000),0,TER_rest_gas_kWh/1000)*0.902</f>
        <v>42398.504375128003</v>
      </c>
      <c r="E12" s="33">
        <f>$C$32*'E Balans VL '!I8/100/3.6*1000000</f>
        <v>220.6431579131185</v>
      </c>
      <c r="F12" s="33">
        <f>$C$32*('E Balans VL '!L8+'E Balans VL '!N8)/100/3.6*1000000</f>
        <v>3228.6116772275022</v>
      </c>
      <c r="G12" s="34"/>
      <c r="H12" s="33"/>
      <c r="I12" s="33"/>
      <c r="J12" s="33">
        <f>$C$32*('E Balans VL '!D8+'E Balans VL '!E8)/100/3.6*1000000</f>
        <v>0</v>
      </c>
      <c r="K12" s="33"/>
      <c r="L12" s="33"/>
      <c r="M12" s="33"/>
      <c r="N12" s="33">
        <f>$C$32*'E Balans VL '!Y8/100/3.6*1000000</f>
        <v>1105.8399625096349</v>
      </c>
      <c r="O12" s="33"/>
      <c r="P12" s="33"/>
      <c r="R12" s="32"/>
    </row>
    <row r="13" spans="1:18">
      <c r="A13" s="16" t="s">
        <v>491</v>
      </c>
      <c r="B13" s="247">
        <f ca="1">'lokale energieproductie'!N91+'lokale energieproductie'!N60</f>
        <v>22557</v>
      </c>
      <c r="C13" s="247">
        <f ca="1">'lokale energieproductie'!O91+'lokale energieproductie'!O60</f>
        <v>32224.285714285714</v>
      </c>
      <c r="D13" s="310">
        <f ca="1">('lokale energieproductie'!P60+'lokale energieproductie'!P91)*(-1)</f>
        <v>-26211.428571428572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152646.23677710001</v>
      </c>
      <c r="C16" s="21">
        <f t="shared" ca="1" si="1"/>
        <v>32224.285714285714</v>
      </c>
      <c r="D16" s="21">
        <f t="shared" ca="1" si="1"/>
        <v>64066.070232263628</v>
      </c>
      <c r="E16" s="21">
        <f t="shared" si="1"/>
        <v>2116.4268525035291</v>
      </c>
      <c r="F16" s="21">
        <f t="shared" ca="1" si="1"/>
        <v>32479.975148341095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0.10194004592802304</v>
      </c>
      <c r="C18" s="25">
        <f ca="1">'EF ele_warmte'!B22</f>
        <v>0.14060310029193282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15560.764387797455</v>
      </c>
      <c r="C20" s="23">
        <f t="shared" ref="C20:P20" ca="1" si="2">C16*C18</f>
        <v>4530.8344761216122</v>
      </c>
      <c r="D20" s="23">
        <f t="shared" ca="1" si="2"/>
        <v>12941.346186917253</v>
      </c>
      <c r="E20" s="23">
        <f t="shared" si="2"/>
        <v>480.42889551830109</v>
      </c>
      <c r="F20" s="23">
        <f t="shared" ca="1" si="2"/>
        <v>8672.1533646070729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81824.487988000008</v>
      </c>
      <c r="C26" s="39">
        <f>IF(ISERROR(B26*3.6/1000000/'E Balans VL '!Z12*100),0,B26*3.6/1000000/'E Balans VL '!Z12*100)</f>
        <v>1.7527440996724102</v>
      </c>
      <c r="D26" s="237" t="s">
        <v>660</v>
      </c>
      <c r="F26" s="6"/>
    </row>
    <row r="27" spans="1:18">
      <c r="A27" s="231" t="s">
        <v>53</v>
      </c>
      <c r="B27" s="33">
        <f>IF(ISERROR(TER_horeca_ele_kWh/1000),0,TER_horeca_ele_kWh/1000)</f>
        <v>3896.3216155</v>
      </c>
      <c r="C27" s="39">
        <f>IF(ISERROR(B27*3.6/1000000/'E Balans VL '!Z9*100),0,B27*3.6/1000000/'E Balans VL '!Z9*100)</f>
        <v>0.31266626616818</v>
      </c>
      <c r="D27" s="237" t="s">
        <v>660</v>
      </c>
      <c r="F27" s="6"/>
    </row>
    <row r="28" spans="1:18">
      <c r="A28" s="171" t="s">
        <v>52</v>
      </c>
      <c r="B28" s="33">
        <f>IF(ISERROR(TER_handel_ele_kWh/1000),0,TER_handel_ele_kWh/1000)</f>
        <v>21628.198477000002</v>
      </c>
      <c r="C28" s="39">
        <f>IF(ISERROR(B28*3.6/1000000/'E Balans VL '!Z13*100),0,B28*3.6/1000000/'E Balans VL '!Z13*100)</f>
        <v>0.63790780067316399</v>
      </c>
      <c r="D28" s="237" t="s">
        <v>660</v>
      </c>
      <c r="F28" s="6"/>
    </row>
    <row r="29" spans="1:18">
      <c r="A29" s="231" t="s">
        <v>51</v>
      </c>
      <c r="B29" s="33">
        <f>IF(ISERROR(TER_gezond_ele_kWh/1000),0,TER_gezond_ele_kWh/1000)</f>
        <v>1867.9436262000002</v>
      </c>
      <c r="C29" s="39">
        <f>IF(ISERROR(B29*3.6/1000000/'E Balans VL '!Z10*100),0,B29*3.6/1000000/'E Balans VL '!Z10*100)</f>
        <v>0.19944629783150281</v>
      </c>
      <c r="D29" s="237" t="s">
        <v>660</v>
      </c>
      <c r="F29" s="6"/>
    </row>
    <row r="30" spans="1:18">
      <c r="A30" s="231" t="s">
        <v>50</v>
      </c>
      <c r="B30" s="33">
        <f>IF(ISERROR(TER_ander_ele_kWh/1000),0,TER_ander_ele_kWh/1000)</f>
        <v>7346.6759583000003</v>
      </c>
      <c r="C30" s="39">
        <f>IF(ISERROR(B30*3.6/1000000/'E Balans VL '!Z14*100),0,B30*3.6/1000000/'E Balans VL '!Z14*100)</f>
        <v>0.55492328436320515</v>
      </c>
      <c r="D30" s="237" t="s">
        <v>660</v>
      </c>
      <c r="F30" s="6"/>
    </row>
    <row r="31" spans="1:18">
      <c r="A31" s="231" t="s">
        <v>55</v>
      </c>
      <c r="B31" s="33">
        <f>IF(ISERROR(TER_onderwijs_ele_kWh/1000),0,TER_onderwijs_ele_kWh/1000)</f>
        <v>993.70257509999999</v>
      </c>
      <c r="C31" s="39">
        <f>IF(ISERROR(B31*3.6/1000000/'E Balans VL '!Z11*100),0,B31*3.6/1000000/'E Balans VL '!Z11*100)</f>
        <v>0.20066172226735093</v>
      </c>
      <c r="D31" s="237" t="s">
        <v>660</v>
      </c>
    </row>
    <row r="32" spans="1:18">
      <c r="A32" s="231" t="s">
        <v>260</v>
      </c>
      <c r="B32" s="33">
        <f>IF(ISERROR(TER_rest_ele_kWh/1000),0,TER_rest_ele_kWh/1000)</f>
        <v>12531.906537000001</v>
      </c>
      <c r="C32" s="39">
        <f>IF(ISERROR(B32*3.6/1000000/'E Balans VL '!Z8*100),0,B32*3.6/1000000/'E Balans VL '!Z8*100)</f>
        <v>0.10390695574569238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78079.469674006992</v>
      </c>
      <c r="C5" s="17">
        <f>IF(ISERROR('Eigen informatie GS &amp; warmtenet'!B59),0,'Eigen informatie GS &amp; warmtenet'!B59)</f>
        <v>0</v>
      </c>
      <c r="D5" s="30">
        <f>SUM(D6:D15)</f>
        <v>49859.636318740755</v>
      </c>
      <c r="E5" s="17">
        <f>SUM(E6:E15)</f>
        <v>4665.273116134229</v>
      </c>
      <c r="F5" s="17">
        <f>SUM(F6:F15)</f>
        <v>17983.30302600974</v>
      </c>
      <c r="G5" s="18"/>
      <c r="H5" s="17"/>
      <c r="I5" s="17"/>
      <c r="J5" s="17">
        <f>SUM(J6:J15)</f>
        <v>419.33500812322148</v>
      </c>
      <c r="K5" s="17"/>
      <c r="L5" s="17"/>
      <c r="M5" s="17"/>
      <c r="N5" s="17">
        <f>SUM(N6:N15)</f>
        <v>14001.518685109964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625.25407419999999</v>
      </c>
      <c r="C8" s="33"/>
      <c r="D8" s="37">
        <f>IF( ISERROR(IND_metaal_Gas_kWH/1000),0,IND_metaal_Gas_kWH/1000)*0.902</f>
        <v>19.309007268144001</v>
      </c>
      <c r="E8" s="33">
        <f>C30*'E Balans VL '!I18/100/3.6*1000000</f>
        <v>22.498533111512945</v>
      </c>
      <c r="F8" s="33">
        <f>C30*'E Balans VL '!L18/100/3.6*1000000+C30*'E Balans VL '!N18/100/3.6*1000000</f>
        <v>273.02818564674578</v>
      </c>
      <c r="G8" s="34"/>
      <c r="H8" s="33"/>
      <c r="I8" s="33"/>
      <c r="J8" s="40">
        <f>C30*'E Balans VL '!D18/100/3.6*1000000+C30*'E Balans VL '!E18/100/3.6*1000000</f>
        <v>0</v>
      </c>
      <c r="K8" s="33"/>
      <c r="L8" s="33"/>
      <c r="M8" s="33"/>
      <c r="N8" s="33">
        <f>C30*'E Balans VL '!Y18/100/3.6*1000000</f>
        <v>31.3373092937378</v>
      </c>
      <c r="O8" s="33"/>
      <c r="P8" s="33"/>
      <c r="R8" s="32"/>
    </row>
    <row r="9" spans="1:18">
      <c r="A9" s="6" t="s">
        <v>33</v>
      </c>
      <c r="B9" s="37">
        <f t="shared" si="0"/>
        <v>7294.6771747000003</v>
      </c>
      <c r="C9" s="33"/>
      <c r="D9" s="37">
        <f>IF( ISERROR(IND_andere_gas_kWh/1000),0,IND_andere_gas_kWh/1000)*0.902</f>
        <v>22821.599334819999</v>
      </c>
      <c r="E9" s="33">
        <f>C31*'E Balans VL '!I19/100/3.6*1000000</f>
        <v>1861.4365682895766</v>
      </c>
      <c r="F9" s="33">
        <f>C31*'E Balans VL '!L19/100/3.6*1000000+C31*'E Balans VL '!N19/100/3.6*1000000</f>
        <v>6280.1687581645947</v>
      </c>
      <c r="G9" s="34"/>
      <c r="H9" s="33"/>
      <c r="I9" s="33"/>
      <c r="J9" s="40">
        <f>C31*'E Balans VL '!D19/100/3.6*1000000+C31*'E Balans VL '!E19/100/3.6*1000000</f>
        <v>0</v>
      </c>
      <c r="K9" s="33"/>
      <c r="L9" s="33"/>
      <c r="M9" s="33"/>
      <c r="N9" s="33">
        <f>C31*'E Balans VL '!Y19/100/3.6*1000000</f>
        <v>2281.2953691313828</v>
      </c>
      <c r="O9" s="33"/>
      <c r="P9" s="33"/>
      <c r="R9" s="32"/>
    </row>
    <row r="10" spans="1:18">
      <c r="A10" s="6" t="s">
        <v>41</v>
      </c>
      <c r="B10" s="37">
        <f t="shared" si="0"/>
        <v>2275.3064448</v>
      </c>
      <c r="C10" s="33"/>
      <c r="D10" s="37">
        <f>IF( ISERROR(IND_voed_gas_kWh/1000),0,IND_voed_gas_kWh/1000)*0.902</f>
        <v>1676.0426589302001</v>
      </c>
      <c r="E10" s="33">
        <f>C32*'E Balans VL '!I20/100/3.6*1000000</f>
        <v>57.841414078591882</v>
      </c>
      <c r="F10" s="33">
        <f>C32*'E Balans VL '!L20/100/3.6*1000000+C32*'E Balans VL '!N20/100/3.6*1000000</f>
        <v>514.86769316294908</v>
      </c>
      <c r="G10" s="34"/>
      <c r="H10" s="33"/>
      <c r="I10" s="33"/>
      <c r="J10" s="40">
        <f>C32*'E Balans VL '!D20/100/3.6*1000000+C32*'E Balans VL '!E20/100/3.6*1000000</f>
        <v>0</v>
      </c>
      <c r="K10" s="33"/>
      <c r="L10" s="33"/>
      <c r="M10" s="33"/>
      <c r="N10" s="33">
        <f>C32*'E Balans VL '!Y20/100/3.6*1000000</f>
        <v>853.30159140707451</v>
      </c>
      <c r="O10" s="33"/>
      <c r="P10" s="33"/>
      <c r="R10" s="32"/>
    </row>
    <row r="11" spans="1:18">
      <c r="A11" s="6" t="s">
        <v>40</v>
      </c>
      <c r="B11" s="37">
        <f t="shared" si="0"/>
        <v>27.002589237999999</v>
      </c>
      <c r="C11" s="33"/>
      <c r="D11" s="37">
        <f>IF( ISERROR(IND_textiel_gas_kWh/1000),0,IND_textiel_gas_kWh/1000)*0.902</f>
        <v>50.829110359082001</v>
      </c>
      <c r="E11" s="33">
        <f>C33*'E Balans VL '!I21/100/3.6*1000000</f>
        <v>7.412936907157025E-2</v>
      </c>
      <c r="F11" s="33">
        <f>C33*'E Balans VL '!L21/100/3.6*1000000+C33*'E Balans VL '!N21/100/3.6*1000000</f>
        <v>1.4315647471089177</v>
      </c>
      <c r="G11" s="34"/>
      <c r="H11" s="33"/>
      <c r="I11" s="33"/>
      <c r="J11" s="40">
        <f>C33*'E Balans VL '!D21/100/3.6*1000000+C33*'E Balans VL '!E21/100/3.6*1000000</f>
        <v>0</v>
      </c>
      <c r="K11" s="33"/>
      <c r="L11" s="33"/>
      <c r="M11" s="33"/>
      <c r="N11" s="33">
        <f>C33*'E Balans VL '!Y21/100/3.6*1000000</f>
        <v>5.4270735909537196E-2</v>
      </c>
      <c r="O11" s="33"/>
      <c r="P11" s="33"/>
      <c r="R11" s="32"/>
    </row>
    <row r="12" spans="1:18">
      <c r="A12" s="6" t="s">
        <v>37</v>
      </c>
      <c r="B12" s="37">
        <f t="shared" si="0"/>
        <v>47.633785968999995</v>
      </c>
      <c r="C12" s="33"/>
      <c r="D12" s="37">
        <f>IF( ISERROR(IND_min_gas_kWh/1000),0,IND_min_gas_kWh/1000)*0.902</f>
        <v>57.064662296994001</v>
      </c>
      <c r="E12" s="33">
        <f>C34*'E Balans VL '!I22/100/3.6*1000000</f>
        <v>1.0120985709886712</v>
      </c>
      <c r="F12" s="33">
        <f>C34*'E Balans VL '!L22/100/3.6*1000000+C34*'E Balans VL '!N22/100/3.6*1000000</f>
        <v>7.7718581206638104</v>
      </c>
      <c r="G12" s="34"/>
      <c r="H12" s="33"/>
      <c r="I12" s="33"/>
      <c r="J12" s="40">
        <f>C34*'E Balans VL '!D22/100/3.6*1000000+C34*'E Balans VL '!E22/100/3.6*1000000</f>
        <v>5.5497805863177763E-2</v>
      </c>
      <c r="K12" s="33"/>
      <c r="L12" s="33"/>
      <c r="M12" s="33"/>
      <c r="N12" s="33">
        <f>C34*'E Balans VL '!Y22/100/3.6*1000000</f>
        <v>0</v>
      </c>
      <c r="O12" s="33"/>
      <c r="P12" s="33"/>
      <c r="R12" s="32"/>
    </row>
    <row r="13" spans="1:18">
      <c r="A13" s="6" t="s">
        <v>39</v>
      </c>
      <c r="B13" s="37">
        <f t="shared" si="0"/>
        <v>288.47111310000003</v>
      </c>
      <c r="C13" s="33"/>
      <c r="D13" s="37">
        <f>IF( ISERROR(IND_papier_gas_kWh/1000),0,IND_papier_gas_kWh/1000)*0.902</f>
        <v>48.993052310334001</v>
      </c>
      <c r="E13" s="33">
        <f>C35*'E Balans VL '!I23/100/3.6*1000000</f>
        <v>1.2371686827090529</v>
      </c>
      <c r="F13" s="33">
        <f>C35*'E Balans VL '!L23/100/3.6*1000000+C35*'E Balans VL '!N23/100/3.6*1000000</f>
        <v>7.2501744295395776</v>
      </c>
      <c r="G13" s="34"/>
      <c r="H13" s="33"/>
      <c r="I13" s="33"/>
      <c r="J13" s="40">
        <f>C35*'E Balans VL '!D23/100/3.6*1000000+C35*'E Balans VL '!E23/100/3.6*1000000</f>
        <v>19.311558823074922</v>
      </c>
      <c r="K13" s="33"/>
      <c r="L13" s="33"/>
      <c r="M13" s="33"/>
      <c r="N13" s="33">
        <f>C35*'E Balans VL '!Y23/100/3.6*1000000</f>
        <v>525.08602688998769</v>
      </c>
      <c r="O13" s="33"/>
      <c r="P13" s="33"/>
      <c r="R13" s="32"/>
    </row>
    <row r="14" spans="1:18">
      <c r="A14" s="6" t="s">
        <v>34</v>
      </c>
      <c r="B14" s="37">
        <f t="shared" si="0"/>
        <v>18185.704394</v>
      </c>
      <c r="C14" s="33"/>
      <c r="D14" s="37">
        <f>IF( ISERROR(IND_chemie_gas_kWh/1000),0,IND_chemie_gas_kWh/1000)*0.902</f>
        <v>0</v>
      </c>
      <c r="E14" s="33">
        <f>C36*'E Balans VL '!I24/100/3.6*1000000</f>
        <v>43.597377733687011</v>
      </c>
      <c r="F14" s="33">
        <f>C36*'E Balans VL '!L24/100/3.6*1000000+C36*'E Balans VL '!N24/100/3.6*1000000</f>
        <v>145.94439144509141</v>
      </c>
      <c r="G14" s="34"/>
      <c r="H14" s="33"/>
      <c r="I14" s="33"/>
      <c r="J14" s="40">
        <f>C36*'E Balans VL '!D24/100/3.6*1000000+C36*'E Balans VL '!E24/100/3.6*1000000</f>
        <v>0</v>
      </c>
      <c r="K14" s="33"/>
      <c r="L14" s="33"/>
      <c r="M14" s="33"/>
      <c r="N14" s="33">
        <f>C36*'E Balans VL '!Y24/100/3.6*1000000</f>
        <v>375.88441116064917</v>
      </c>
      <c r="O14" s="33"/>
      <c r="P14" s="33"/>
      <c r="R14" s="32"/>
    </row>
    <row r="15" spans="1:18">
      <c r="A15" s="6" t="s">
        <v>270</v>
      </c>
      <c r="B15" s="37">
        <f t="shared" si="0"/>
        <v>49335.420097999995</v>
      </c>
      <c r="C15" s="33"/>
      <c r="D15" s="37">
        <f>IF( ISERROR(IND_rest_gas_kWh/1000),0,IND_rest_gas_kWh/1000)*0.902</f>
        <v>25185.798492756003</v>
      </c>
      <c r="E15" s="33">
        <f>C37*'E Balans VL '!I15/100/3.6*1000000</f>
        <v>2677.5758262980912</v>
      </c>
      <c r="F15" s="33">
        <f>C37*'E Balans VL '!L15/100/3.6*1000000+C37*'E Balans VL '!N15/100/3.6*1000000</f>
        <v>10752.840400293049</v>
      </c>
      <c r="G15" s="34"/>
      <c r="H15" s="33"/>
      <c r="I15" s="33"/>
      <c r="J15" s="40">
        <f>C37*'E Balans VL '!D15/100/3.6*1000000+C37*'E Balans VL '!E15/100/3.6*1000000</f>
        <v>399.9679514942834</v>
      </c>
      <c r="K15" s="33"/>
      <c r="L15" s="33"/>
      <c r="M15" s="33"/>
      <c r="N15" s="33">
        <f>C37*'E Balans VL '!Y15/100/3.6*1000000</f>
        <v>9934.5597064912217</v>
      </c>
      <c r="O15" s="33"/>
      <c r="P15" s="33"/>
      <c r="R15" s="32"/>
    </row>
    <row r="16" spans="1:18">
      <c r="A16" s="16" t="s">
        <v>491</v>
      </c>
      <c r="B16" s="247">
        <f>'lokale energieproductie'!N90+'lokale energieproductie'!N59</f>
        <v>5350.5</v>
      </c>
      <c r="C16" s="247">
        <f>'lokale energieproductie'!O90+'lokale energieproductie'!O59</f>
        <v>7643.5714285714284</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83429.969674006992</v>
      </c>
      <c r="C18" s="21">
        <f>C5+C16</f>
        <v>7643.5714285714284</v>
      </c>
      <c r="D18" s="21">
        <f>MAX((D5+D16),0)</f>
        <v>49859.636318740755</v>
      </c>
      <c r="E18" s="21">
        <f>MAX((E5+E16),0)</f>
        <v>4665.273116134229</v>
      </c>
      <c r="F18" s="21">
        <f>MAX((F5+F16),0)</f>
        <v>17983.30302600974</v>
      </c>
      <c r="G18" s="21"/>
      <c r="H18" s="21"/>
      <c r="I18" s="21"/>
      <c r="J18" s="21">
        <f>MAX((J5+J16),0)</f>
        <v>419.33500812322148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0.10194004592802304</v>
      </c>
      <c r="C20" s="25">
        <f ca="1">'EF ele_warmte'!B22</f>
        <v>0.14060310029193282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8504.8549403418419</v>
      </c>
      <c r="C22" s="23">
        <f ca="1">C18*C20</f>
        <v>1074.7098401599808</v>
      </c>
      <c r="D22" s="23">
        <f>D18*D20</f>
        <v>10071.646536385633</v>
      </c>
      <c r="E22" s="23">
        <f>E18*E20</f>
        <v>1059.01699736247</v>
      </c>
      <c r="F22" s="23">
        <f>F18*F20</f>
        <v>4801.541907944601</v>
      </c>
      <c r="G22" s="23"/>
      <c r="H22" s="23"/>
      <c r="I22" s="23"/>
      <c r="J22" s="23">
        <f>J18*J20</f>
        <v>148.4445928756204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625.25407419999999</v>
      </c>
      <c r="C30" s="39">
        <f>IF(ISERROR(B30*3.6/1000000/'E Balans VL '!Z18*100),0,B30*3.6/1000000/'E Balans VL '!Z18*100)</f>
        <v>0.13247793322892767</v>
      </c>
      <c r="D30" s="237" t="s">
        <v>660</v>
      </c>
    </row>
    <row r="31" spans="1:18">
      <c r="A31" s="6" t="s">
        <v>33</v>
      </c>
      <c r="B31" s="37">
        <f>IF( ISERROR(IND_ander_ele_kWh/1000),0,IND_ander_ele_kWh/1000)</f>
        <v>7294.6771747000003</v>
      </c>
      <c r="C31" s="39">
        <f>IF(ISERROR(B31*3.6/1000000/'E Balans VL '!Z19*100),0,B31*3.6/1000000/'E Balans VL '!Z19*100)</f>
        <v>0.30704952605226343</v>
      </c>
      <c r="D31" s="237" t="s">
        <v>660</v>
      </c>
    </row>
    <row r="32" spans="1:18">
      <c r="A32" s="171" t="s">
        <v>41</v>
      </c>
      <c r="B32" s="37">
        <f>IF( ISERROR(IND_voed_ele_kWh/1000),0,IND_voed_ele_kWh/1000)</f>
        <v>2275.3064448</v>
      </c>
      <c r="C32" s="39">
        <f>IF(ISERROR(B32*3.6/1000000/'E Balans VL '!Z20*100),0,B32*3.6/1000000/'E Balans VL '!Z20*100)</f>
        <v>0.38011568492572295</v>
      </c>
      <c r="D32" s="237" t="s">
        <v>660</v>
      </c>
    </row>
    <row r="33" spans="1:5">
      <c r="A33" s="171" t="s">
        <v>40</v>
      </c>
      <c r="B33" s="37">
        <f>IF( ISERROR(IND_textiel_ele_kWh/1000),0,IND_textiel_ele_kWh/1000)</f>
        <v>27.002589237999999</v>
      </c>
      <c r="C33" s="39">
        <f>IF(ISERROR(B33*3.6/1000000/'E Balans VL '!Z21*100),0,B33*3.6/1000000/'E Balans VL '!Z21*100)</f>
        <v>1.5764919654186551E-3</v>
      </c>
      <c r="D33" s="237" t="s">
        <v>660</v>
      </c>
    </row>
    <row r="34" spans="1:5">
      <c r="A34" s="171" t="s">
        <v>37</v>
      </c>
      <c r="B34" s="37">
        <f>IF( ISERROR(IND_min_ele_kWh/1000),0,IND_min_ele_kWh/1000)</f>
        <v>47.633785968999995</v>
      </c>
      <c r="C34" s="39">
        <f>IF(ISERROR(B34*3.6/1000000/'E Balans VL '!Z22*100),0,B34*3.6/1000000/'E Balans VL '!Z22*100)</f>
        <v>6.0378392598197704E-3</v>
      </c>
      <c r="D34" s="237" t="s">
        <v>660</v>
      </c>
    </row>
    <row r="35" spans="1:5">
      <c r="A35" s="171" t="s">
        <v>39</v>
      </c>
      <c r="B35" s="37">
        <f>IF( ISERROR(IND_papier_ele_kWh/1000),0,IND_papier_ele_kWh/1000)</f>
        <v>288.47111310000003</v>
      </c>
      <c r="C35" s="39">
        <f>IF(ISERROR(B35*3.6/1000000/'E Balans VL '!Z22*100),0,B35*3.6/1000000/'E Balans VL '!Z22*100)</f>
        <v>3.6565269305543192E-2</v>
      </c>
      <c r="D35" s="237" t="s">
        <v>660</v>
      </c>
    </row>
    <row r="36" spans="1:5">
      <c r="A36" s="171" t="s">
        <v>34</v>
      </c>
      <c r="B36" s="37">
        <f>IF( ISERROR(IND_chemie_ele_kWh/1000),0,IND_chemie_ele_kWh/1000)</f>
        <v>18185.704394</v>
      </c>
      <c r="C36" s="39">
        <f>IF(ISERROR(B36*3.6/1000000/'E Balans VL '!Z24*100),0,B36*3.6/1000000/'E Balans VL '!Z24*100)</f>
        <v>0.59067226516458926</v>
      </c>
      <c r="D36" s="237" t="s">
        <v>660</v>
      </c>
    </row>
    <row r="37" spans="1:5">
      <c r="A37" s="171" t="s">
        <v>270</v>
      </c>
      <c r="B37" s="37">
        <f>IF( ISERROR(IND_rest_ele_kWh/1000),0,IND_rest_ele_kWh/1000)</f>
        <v>49335.420097999995</v>
      </c>
      <c r="C37" s="39">
        <f>IF(ISERROR(B37*3.6/1000000/'E Balans VL '!Z15*100),0,B37*3.6/1000000/'E Balans VL '!Z15*100)</f>
        <v>0.39830395000140317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10130.945729519999</v>
      </c>
      <c r="C5" s="17">
        <f>'Eigen informatie GS &amp; warmtenet'!B60</f>
        <v>0</v>
      </c>
      <c r="D5" s="30">
        <f>IF(ISERROR(SUM(LB_lb_gas_kWh,LB_rest_gas_kWh)/1000),0,SUM(LB_lb_gas_kWh,LB_rest_gas_kWh)/1000)*0.902</f>
        <v>136804.33706629029</v>
      </c>
      <c r="E5" s="17">
        <f>B17*'E Balans VL '!I25/3.6*1000000/100</f>
        <v>261.23819202994082</v>
      </c>
      <c r="F5" s="17">
        <f>B17*('E Balans VL '!L25/3.6*1000000+'E Balans VL '!N25/3.6*1000000)/100</f>
        <v>37030.535986287716</v>
      </c>
      <c r="G5" s="18"/>
      <c r="H5" s="17"/>
      <c r="I5" s="17"/>
      <c r="J5" s="17">
        <f>('E Balans VL '!D25+'E Balans VL '!E25)/3.6*1000000*landbouw!B17/100</f>
        <v>1458.4835014244914</v>
      </c>
      <c r="K5" s="17"/>
      <c r="L5" s="17">
        <f>L6*(-1)</f>
        <v>0</v>
      </c>
      <c r="M5" s="17"/>
      <c r="N5" s="17">
        <f>N6*(-1)</f>
        <v>67123.285714285725</v>
      </c>
      <c r="O5" s="17"/>
      <c r="P5" s="17"/>
      <c r="R5" s="32"/>
    </row>
    <row r="6" spans="1:18">
      <c r="A6" s="16" t="s">
        <v>491</v>
      </c>
      <c r="B6" s="17" t="s">
        <v>211</v>
      </c>
      <c r="C6" s="17">
        <f>'lokale energieproductie'!O92+'lokale energieproductie'!O61</f>
        <v>107856.64285714288</v>
      </c>
      <c r="D6" s="310">
        <f>('lokale energieproductie'!P61+'lokale energieproductie'!P92)*(-1)</f>
        <v>-148590.00000000003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10130.945729519999</v>
      </c>
      <c r="C8" s="21">
        <f>C5+C6</f>
        <v>107856.64285714288</v>
      </c>
      <c r="D8" s="21">
        <f>MAX((D5+D6),0)</f>
        <v>0</v>
      </c>
      <c r="E8" s="21">
        <f>MAX((E5+E6),0)</f>
        <v>261.23819202994082</v>
      </c>
      <c r="F8" s="21">
        <f>MAX((F5+F6),0)</f>
        <v>37030.535986287716</v>
      </c>
      <c r="G8" s="21"/>
      <c r="H8" s="21"/>
      <c r="I8" s="21"/>
      <c r="J8" s="21">
        <f>MAX((J5+J6),0)</f>
        <v>1458.4835014244914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0.10194004592802304</v>
      </c>
      <c r="C10" s="31">
        <f ca="1">'EF ele_warmte'!B22</f>
        <v>0.14060310029193282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1032.7490729615777</v>
      </c>
      <c r="C12" s="23">
        <f ca="1">C8*C10</f>
        <v>15164.978372794041</v>
      </c>
      <c r="D12" s="23">
        <f>D8*D10</f>
        <v>0</v>
      </c>
      <c r="E12" s="23">
        <f>E8*E10</f>
        <v>59.301069590796565</v>
      </c>
      <c r="F12" s="23">
        <f>F8*F10</f>
        <v>9887.1531083388199</v>
      </c>
      <c r="G12" s="23"/>
      <c r="H12" s="23"/>
      <c r="I12" s="23"/>
      <c r="J12" s="23">
        <f>J8*J10</f>
        <v>516.30315950426996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1.4285304537421253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958.68429525010936</v>
      </c>
      <c r="C26" s="247">
        <f>B26*'GWP N2O_CH4'!B5</f>
        <v>20132.370200252295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493.42528281415832</v>
      </c>
      <c r="C27" s="247">
        <f>B27*'GWP N2O_CH4'!B5</f>
        <v>10361.930939097325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14.34387302188971</v>
      </c>
      <c r="C28" s="247">
        <f>B28*'GWP N2O_CH4'!B4</f>
        <v>4446.6006367858099</v>
      </c>
      <c r="D28" s="50"/>
    </row>
    <row r="29" spans="1:4">
      <c r="A29" s="41" t="s">
        <v>277</v>
      </c>
      <c r="B29" s="247">
        <f>B34*'ha_N2O bodem landbouw'!B4</f>
        <v>46.143808134143192</v>
      </c>
      <c r="C29" s="247">
        <f>B29*'GWP N2O_CH4'!B4</f>
        <v>14304.58052158439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1.0384864357658685E-2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4.7046422262032124E-4</v>
      </c>
      <c r="C5" s="463" t="s">
        <v>211</v>
      </c>
      <c r="D5" s="448">
        <f>SUM(D6:D11)</f>
        <v>1.0888764328579412E-3</v>
      </c>
      <c r="E5" s="448">
        <f>SUM(E6:E11)</f>
        <v>4.7244720202771449E-3</v>
      </c>
      <c r="F5" s="461" t="s">
        <v>211</v>
      </c>
      <c r="G5" s="448">
        <f>SUM(G6:G11)</f>
        <v>2.351000413564325</v>
      </c>
      <c r="H5" s="448">
        <f>SUM(H6:H11)</f>
        <v>0.29895806152462406</v>
      </c>
      <c r="I5" s="463" t="s">
        <v>211</v>
      </c>
      <c r="J5" s="463" t="s">
        <v>211</v>
      </c>
      <c r="K5" s="463" t="s">
        <v>211</v>
      </c>
      <c r="L5" s="463" t="s">
        <v>211</v>
      </c>
      <c r="M5" s="448">
        <f>SUM(M6:M11)</f>
        <v>8.3020363382537363E-2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1.2389694946897859E-4</v>
      </c>
      <c r="C6" s="449"/>
      <c r="D6" s="892">
        <f>vkm_2011_GW_PW*SUMIFS(TableVerdeelsleutelVkm[CNG],TableVerdeelsleutelVkm[Voertuigtype],"Lichte voertuigen")*SUMIFS(TableECFTransport[EnergieConsumptieFactor (PJ per km)],TableECFTransport[Index],CONCATENATE($A6,"_CNG_CNG"))</f>
        <v>2.4618540884004553E-4</v>
      </c>
      <c r="E6" s="892">
        <f>vkm_2011_GW_PW*SUMIFS(TableVerdeelsleutelVkm[LPG],TableVerdeelsleutelVkm[Voertuigtype],"Lichte voertuigen")*SUMIFS(TableECFTransport[EnergieConsumptieFactor (PJ per km)],TableECFTransport[Index],CONCATENATE($A6,"_LPG_LPG"))</f>
        <v>9.6882783463897015E-4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0.23035401665571861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6.6649796497287042E-2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9.2549130751786689E-3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0.26252870445767146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8.4807985061688878E-5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8.2718777885739392E-3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8.4688697755623909E-5</v>
      </c>
      <c r="C8" s="449"/>
      <c r="D8" s="451">
        <f>vkm_2011_NGW_PW*SUMIFS(TableVerdeelsleutelVkm[CNG],TableVerdeelsleutelVkm[Voertuigtype],"Lichte voertuigen")*SUMIFS(TableECFTransport[EnergieConsumptieFactor (PJ per km)],TableECFTransport[Index],CONCATENATE($A8,"_CNG_CNG"))</f>
        <v>2.9795882060039983E-4</v>
      </c>
      <c r="E8" s="451">
        <f>vkm_2011_NGW_PW*SUMIFS(TableVerdeelsleutelVkm[LPG],TableVerdeelsleutelVkm[Voertuigtype],"Lichte voertuigen")*SUMIFS(TableECFTransport[EnergieConsumptieFactor (PJ per km)],TableECFTransport[Index],CONCATENATE($A8,"_LPG_LPG"))</f>
        <v>1.084424508934741E-3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0.24077272526632273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7.8218553517265602E-2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9.9300740349295251E-3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0.23289329433484221</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7.1150876146072747E-5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7.3379888795303688E-3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2.6187857539571876E-4</v>
      </c>
      <c r="C10" s="449"/>
      <c r="D10" s="451">
        <f>vkm_2011_SW_PW*SUMIFS(TableVerdeelsleutelVkm[CNG],TableVerdeelsleutelVkm[Voertuigtype],"Lichte voertuigen")*SUMIFS(TableECFTransport[EnergieConsumptieFactor (PJ per km)],TableECFTransport[Index],CONCATENATE($A10,"_CNG_CNG"))</f>
        <v>5.4473220341749588E-4</v>
      </c>
      <c r="E10" s="451">
        <f>vkm_2011_SW_PW*SUMIFS(TableVerdeelsleutelVkm[LPG],TableVerdeelsleutelVkm[Voertuigtype],"Lichte voertuigen")*SUMIFS(TableECFTransport[EnergieConsumptieFactor (PJ per km)],TableECFTransport[Index],CONCATENATE($A10,"_LPG_LPG"))</f>
        <v>2.671219676703434E-3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0.56893912119857459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0.15364990658158362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2.2529345015841282E-2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0.81551255165119563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2.838460672800655E-4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2.5696164588483571E-2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130.68450628342256</v>
      </c>
      <c r="C14" s="21"/>
      <c r="D14" s="21">
        <f t="shared" ref="D14:M14" si="0">((D5)*10^9/3600)+D12</f>
        <v>302.46567579387255</v>
      </c>
      <c r="E14" s="21">
        <f t="shared" si="0"/>
        <v>1312.3533389658737</v>
      </c>
      <c r="F14" s="21"/>
      <c r="G14" s="21">
        <f t="shared" si="0"/>
        <v>653055.67043453467</v>
      </c>
      <c r="H14" s="21">
        <f t="shared" si="0"/>
        <v>83043.905979062241</v>
      </c>
      <c r="I14" s="21"/>
      <c r="J14" s="21"/>
      <c r="K14" s="21"/>
      <c r="L14" s="21"/>
      <c r="M14" s="21">
        <f t="shared" si="0"/>
        <v>23061.212050704824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0.10194004592802304</v>
      </c>
      <c r="C16" s="56">
        <f ca="1">'EF ele_warmte'!B22</f>
        <v>0.14060310029193282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13.321984572613111</v>
      </c>
      <c r="C18" s="23"/>
      <c r="D18" s="23">
        <f t="shared" ref="D18:M18" si="1">D14*D16</f>
        <v>61.098066510362258</v>
      </c>
      <c r="E18" s="23">
        <f t="shared" si="1"/>
        <v>297.90420794525335</v>
      </c>
      <c r="F18" s="23"/>
      <c r="G18" s="23">
        <f t="shared" si="1"/>
        <v>174365.86400602077</v>
      </c>
      <c r="H18" s="23">
        <f t="shared" si="1"/>
        <v>20677.932588786498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1.3858385255526743E-2</v>
      </c>
      <c r="H50" s="321">
        <f t="shared" si="2"/>
        <v>0</v>
      </c>
      <c r="I50" s="321">
        <f t="shared" si="2"/>
        <v>0</v>
      </c>
      <c r="J50" s="321">
        <f t="shared" si="2"/>
        <v>0</v>
      </c>
      <c r="K50" s="321">
        <f t="shared" si="2"/>
        <v>0</v>
      </c>
      <c r="L50" s="321">
        <f t="shared" si="2"/>
        <v>0</v>
      </c>
      <c r="M50" s="321">
        <f t="shared" si="2"/>
        <v>4.2985610689517544E-4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1.3858385255526743E-2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4.2985610689517544E-4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3849.55145986854</v>
      </c>
      <c r="H54" s="21">
        <f t="shared" si="3"/>
        <v>0</v>
      </c>
      <c r="I54" s="21">
        <f t="shared" si="3"/>
        <v>0</v>
      </c>
      <c r="J54" s="21">
        <f t="shared" si="3"/>
        <v>0</v>
      </c>
      <c r="K54" s="21">
        <f t="shared" si="3"/>
        <v>0</v>
      </c>
      <c r="L54" s="21">
        <f t="shared" si="3"/>
        <v>0</v>
      </c>
      <c r="M54" s="21">
        <f t="shared" si="3"/>
        <v>119.40447413754873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0.10194004592802304</v>
      </c>
      <c r="C56" s="56">
        <f ca="1">'EF ele_warmte'!B22</f>
        <v>0.14060310029193282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1027.8302397849002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155744.51977710001</v>
      </c>
      <c r="D10" s="1012">
        <f ca="1">tertiair!C16</f>
        <v>32224.285714285714</v>
      </c>
      <c r="E10" s="1012">
        <f ca="1">tertiair!D16</f>
        <v>64066.070232263628</v>
      </c>
      <c r="F10" s="1012">
        <f>tertiair!E16</f>
        <v>2116.4268525035291</v>
      </c>
      <c r="G10" s="1012">
        <f ca="1">tertiair!F16</f>
        <v>32479.975148341095</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10.943333333333335</v>
      </c>
      <c r="Q10" s="1013">
        <f>tertiair!P16</f>
        <v>57.2</v>
      </c>
      <c r="R10" s="700">
        <f ca="1">SUM(C10:Q10)</f>
        <v>286699.42105782736</v>
      </c>
      <c r="S10" s="67"/>
    </row>
    <row r="11" spans="1:19" s="473" customFormat="1">
      <c r="A11" s="809" t="s">
        <v>225</v>
      </c>
      <c r="B11" s="814"/>
      <c r="C11" s="1012">
        <f>huishoudens!B8</f>
        <v>95787.385165965941</v>
      </c>
      <c r="D11" s="1012">
        <f>huishoudens!C8</f>
        <v>0</v>
      </c>
      <c r="E11" s="1012">
        <f>huishoudens!D8</f>
        <v>190367.75045024001</v>
      </c>
      <c r="F11" s="1012">
        <f>huishoudens!E8</f>
        <v>4627.9319340663696</v>
      </c>
      <c r="G11" s="1012">
        <f>huishoudens!F8</f>
        <v>0</v>
      </c>
      <c r="H11" s="1012">
        <f>huishoudens!G8</f>
        <v>0</v>
      </c>
      <c r="I11" s="1012">
        <f>huishoudens!H8</f>
        <v>0</v>
      </c>
      <c r="J11" s="1012">
        <f>huishoudens!I8</f>
        <v>0</v>
      </c>
      <c r="K11" s="1012">
        <f>huishoudens!J8</f>
        <v>5215.8467503753855</v>
      </c>
      <c r="L11" s="1012">
        <f>huishoudens!K8</f>
        <v>0</v>
      </c>
      <c r="M11" s="1012">
        <f>huishoudens!L8</f>
        <v>0</v>
      </c>
      <c r="N11" s="1012">
        <f>huishoudens!M8</f>
        <v>0</v>
      </c>
      <c r="O11" s="1012">
        <f>huishoudens!N8</f>
        <v>31228.478925403189</v>
      </c>
      <c r="P11" s="1012">
        <f>huishoudens!O8</f>
        <v>1103.7133333333334</v>
      </c>
      <c r="Q11" s="1013">
        <f>huishoudens!P8</f>
        <v>1601.6</v>
      </c>
      <c r="R11" s="700">
        <f>SUM(C11:Q11)</f>
        <v>329932.70655938424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83429.969674006992</v>
      </c>
      <c r="D13" s="1012">
        <f>industrie!C18</f>
        <v>7643.5714285714284</v>
      </c>
      <c r="E13" s="1012">
        <f>industrie!D18</f>
        <v>49859.636318740755</v>
      </c>
      <c r="F13" s="1012">
        <f>industrie!E18</f>
        <v>4665.273116134229</v>
      </c>
      <c r="G13" s="1012">
        <f>industrie!F18</f>
        <v>17983.30302600974</v>
      </c>
      <c r="H13" s="1012">
        <f>industrie!G18</f>
        <v>0</v>
      </c>
      <c r="I13" s="1012">
        <f>industrie!H18</f>
        <v>0</v>
      </c>
      <c r="J13" s="1012">
        <f>industrie!I18</f>
        <v>0</v>
      </c>
      <c r="K13" s="1012">
        <f>industrie!J18</f>
        <v>419.33500812322148</v>
      </c>
      <c r="L13" s="1012">
        <f>industrie!K18</f>
        <v>0</v>
      </c>
      <c r="M13" s="1012">
        <f>industrie!L18</f>
        <v>0</v>
      </c>
      <c r="N13" s="1012">
        <f>industrie!M18</f>
        <v>0</v>
      </c>
      <c r="O13" s="1012">
        <f>industrie!N18</f>
        <v>0</v>
      </c>
      <c r="P13" s="1012">
        <f>industrie!O18</f>
        <v>0</v>
      </c>
      <c r="Q13" s="1013">
        <f>industrie!P18</f>
        <v>0</v>
      </c>
      <c r="R13" s="700">
        <f>SUM(C13:Q13)</f>
        <v>164001.08857158636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334961.87461707293</v>
      </c>
      <c r="D16" s="732">
        <f t="shared" ref="D16:R16" ca="1" si="0">SUM(D9:D15)</f>
        <v>39867.857142857145</v>
      </c>
      <c r="E16" s="732">
        <f t="shared" ca="1" si="0"/>
        <v>304293.45700124442</v>
      </c>
      <c r="F16" s="732">
        <f t="shared" si="0"/>
        <v>11409.631902704128</v>
      </c>
      <c r="G16" s="732">
        <f t="shared" ca="1" si="0"/>
        <v>50463.278174350839</v>
      </c>
      <c r="H16" s="732">
        <f t="shared" si="0"/>
        <v>0</v>
      </c>
      <c r="I16" s="732">
        <f t="shared" si="0"/>
        <v>0</v>
      </c>
      <c r="J16" s="732">
        <f t="shared" si="0"/>
        <v>0</v>
      </c>
      <c r="K16" s="732">
        <f t="shared" si="0"/>
        <v>5635.1817584986065</v>
      </c>
      <c r="L16" s="732">
        <f t="shared" si="0"/>
        <v>0</v>
      </c>
      <c r="M16" s="732">
        <f t="shared" ca="1" si="0"/>
        <v>0</v>
      </c>
      <c r="N16" s="732">
        <f t="shared" si="0"/>
        <v>0</v>
      </c>
      <c r="O16" s="732">
        <f t="shared" ca="1" si="0"/>
        <v>31228.478925403189</v>
      </c>
      <c r="P16" s="732">
        <f t="shared" si="0"/>
        <v>1114.6566666666668</v>
      </c>
      <c r="Q16" s="732">
        <f t="shared" si="0"/>
        <v>1658.8</v>
      </c>
      <c r="R16" s="732">
        <f t="shared" ca="1" si="0"/>
        <v>780633.21618879796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3849.55145986854</v>
      </c>
      <c r="I19" s="1012">
        <f>transport!H54</f>
        <v>0</v>
      </c>
      <c r="J19" s="1012">
        <f>transport!I54</f>
        <v>0</v>
      </c>
      <c r="K19" s="1012">
        <f>transport!J54</f>
        <v>0</v>
      </c>
      <c r="L19" s="1012">
        <f>transport!K54</f>
        <v>0</v>
      </c>
      <c r="M19" s="1012">
        <f>transport!L54</f>
        <v>0</v>
      </c>
      <c r="N19" s="1012">
        <f>transport!M54</f>
        <v>119.40447413754873</v>
      </c>
      <c r="O19" s="1012">
        <f>transport!N54</f>
        <v>0</v>
      </c>
      <c r="P19" s="1012">
        <f>transport!O54</f>
        <v>0</v>
      </c>
      <c r="Q19" s="1013">
        <f>transport!P54</f>
        <v>0</v>
      </c>
      <c r="R19" s="700">
        <f>SUM(C19:Q19)</f>
        <v>3968.9559340060887</v>
      </c>
      <c r="S19" s="67"/>
    </row>
    <row r="20" spans="1:19" s="473" customFormat="1">
      <c r="A20" s="809" t="s">
        <v>307</v>
      </c>
      <c r="B20" s="814"/>
      <c r="C20" s="1012">
        <f>transport!B14</f>
        <v>130.68450628342256</v>
      </c>
      <c r="D20" s="1012">
        <f>transport!C14</f>
        <v>0</v>
      </c>
      <c r="E20" s="1012">
        <f>transport!D14</f>
        <v>302.46567579387255</v>
      </c>
      <c r="F20" s="1012">
        <f>transport!E14</f>
        <v>1312.3533389658737</v>
      </c>
      <c r="G20" s="1012">
        <f>transport!F14</f>
        <v>0</v>
      </c>
      <c r="H20" s="1012">
        <f>transport!G14</f>
        <v>653055.67043453467</v>
      </c>
      <c r="I20" s="1012">
        <f>transport!H14</f>
        <v>83043.905979062241</v>
      </c>
      <c r="J20" s="1012">
        <f>transport!I14</f>
        <v>0</v>
      </c>
      <c r="K20" s="1012">
        <f>transport!J14</f>
        <v>0</v>
      </c>
      <c r="L20" s="1012">
        <f>transport!K14</f>
        <v>0</v>
      </c>
      <c r="M20" s="1012">
        <f>transport!L14</f>
        <v>0</v>
      </c>
      <c r="N20" s="1012">
        <f>transport!M14</f>
        <v>23061.212050704824</v>
      </c>
      <c r="O20" s="1012">
        <f>transport!N14</f>
        <v>0</v>
      </c>
      <c r="P20" s="1012">
        <f>transport!O14</f>
        <v>0</v>
      </c>
      <c r="Q20" s="1013">
        <f>transport!P14</f>
        <v>0</v>
      </c>
      <c r="R20" s="700">
        <f>SUM(C20:Q20)</f>
        <v>760906.29198534496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130.68450628342256</v>
      </c>
      <c r="D22" s="812">
        <f t="shared" ref="D22:R22" si="1">SUM(D18:D21)</f>
        <v>0</v>
      </c>
      <c r="E22" s="812">
        <f t="shared" si="1"/>
        <v>302.46567579387255</v>
      </c>
      <c r="F22" s="812">
        <f t="shared" si="1"/>
        <v>1312.3533389658737</v>
      </c>
      <c r="G22" s="812">
        <f t="shared" si="1"/>
        <v>0</v>
      </c>
      <c r="H22" s="812">
        <f t="shared" si="1"/>
        <v>656905.22189440322</v>
      </c>
      <c r="I22" s="812">
        <f t="shared" si="1"/>
        <v>83043.905979062241</v>
      </c>
      <c r="J22" s="812">
        <f t="shared" si="1"/>
        <v>0</v>
      </c>
      <c r="K22" s="812">
        <f t="shared" si="1"/>
        <v>0</v>
      </c>
      <c r="L22" s="812">
        <f t="shared" si="1"/>
        <v>0</v>
      </c>
      <c r="M22" s="812">
        <f t="shared" si="1"/>
        <v>0</v>
      </c>
      <c r="N22" s="812">
        <f t="shared" si="1"/>
        <v>23180.616524842371</v>
      </c>
      <c r="O22" s="812">
        <f t="shared" si="1"/>
        <v>0</v>
      </c>
      <c r="P22" s="812">
        <f t="shared" si="1"/>
        <v>0</v>
      </c>
      <c r="Q22" s="812">
        <f t="shared" si="1"/>
        <v>0</v>
      </c>
      <c r="R22" s="812">
        <f t="shared" si="1"/>
        <v>764875.2479193511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10130.945729519999</v>
      </c>
      <c r="D24" s="1012">
        <f>+landbouw!C8</f>
        <v>107856.64285714288</v>
      </c>
      <c r="E24" s="1012">
        <f>+landbouw!D8</f>
        <v>0</v>
      </c>
      <c r="F24" s="1012">
        <f>+landbouw!E8</f>
        <v>261.23819202994082</v>
      </c>
      <c r="G24" s="1012">
        <f>+landbouw!F8</f>
        <v>37030.535986287716</v>
      </c>
      <c r="H24" s="1012">
        <f>+landbouw!G8</f>
        <v>0</v>
      </c>
      <c r="I24" s="1012">
        <f>+landbouw!H8</f>
        <v>0</v>
      </c>
      <c r="J24" s="1012">
        <f>+landbouw!I8</f>
        <v>0</v>
      </c>
      <c r="K24" s="1012">
        <f>+landbouw!J8</f>
        <v>1458.4835014244914</v>
      </c>
      <c r="L24" s="1012">
        <f>+landbouw!K8</f>
        <v>0</v>
      </c>
      <c r="M24" s="1012">
        <f>+landbouw!L8</f>
        <v>0</v>
      </c>
      <c r="N24" s="1012">
        <f>+landbouw!M8</f>
        <v>0</v>
      </c>
      <c r="O24" s="1012">
        <f>+landbouw!N8</f>
        <v>0</v>
      </c>
      <c r="P24" s="1012">
        <f>+landbouw!O8</f>
        <v>0</v>
      </c>
      <c r="Q24" s="1013">
        <f>+landbouw!P8</f>
        <v>0</v>
      </c>
      <c r="R24" s="700">
        <f>SUM(C24:Q24)</f>
        <v>156737.84626640502</v>
      </c>
      <c r="S24" s="67"/>
    </row>
    <row r="25" spans="1:19" s="473" customFormat="1" ht="15" thickBot="1">
      <c r="A25" s="831" t="s">
        <v>848</v>
      </c>
      <c r="B25" s="1015"/>
      <c r="C25" s="1016">
        <f>IF(Onbekend_ele_kWh="---",0,Onbekend_ele_kWh)/1000+IF(REST_rest_ele_kWh="---",0,REST_rest_ele_kWh)/1000</f>
        <v>7946.4897967999996</v>
      </c>
      <c r="D25" s="1016"/>
      <c r="E25" s="1016">
        <f>IF(onbekend_gas_kWh="---",0,onbekend_gas_kWh)/1000+IF(REST_rest_gas_kWh="---",0,REST_rest_gas_kWh)/1000</f>
        <v>6027.2748562000006</v>
      </c>
      <c r="F25" s="1016"/>
      <c r="G25" s="1016"/>
      <c r="H25" s="1016"/>
      <c r="I25" s="1016"/>
      <c r="J25" s="1016"/>
      <c r="K25" s="1016"/>
      <c r="L25" s="1016"/>
      <c r="M25" s="1016"/>
      <c r="N25" s="1016"/>
      <c r="O25" s="1016"/>
      <c r="P25" s="1016"/>
      <c r="Q25" s="1017"/>
      <c r="R25" s="700">
        <f>SUM(C25:Q25)</f>
        <v>13973.764653</v>
      </c>
      <c r="S25" s="67"/>
    </row>
    <row r="26" spans="1:19" s="473" customFormat="1" ht="15.75" thickBot="1">
      <c r="A26" s="705" t="s">
        <v>849</v>
      </c>
      <c r="B26" s="817"/>
      <c r="C26" s="812">
        <f>SUM(C24:C25)</f>
        <v>18077.435526319998</v>
      </c>
      <c r="D26" s="812">
        <f t="shared" ref="D26:R26" si="2">SUM(D24:D25)</f>
        <v>107856.64285714288</v>
      </c>
      <c r="E26" s="812">
        <f t="shared" si="2"/>
        <v>6027.2748562000006</v>
      </c>
      <c r="F26" s="812">
        <f t="shared" si="2"/>
        <v>261.23819202994082</v>
      </c>
      <c r="G26" s="812">
        <f t="shared" si="2"/>
        <v>37030.535986287716</v>
      </c>
      <c r="H26" s="812">
        <f t="shared" si="2"/>
        <v>0</v>
      </c>
      <c r="I26" s="812">
        <f t="shared" si="2"/>
        <v>0</v>
      </c>
      <c r="J26" s="812">
        <f t="shared" si="2"/>
        <v>0</v>
      </c>
      <c r="K26" s="812">
        <f t="shared" si="2"/>
        <v>1458.4835014244914</v>
      </c>
      <c r="L26" s="812">
        <f t="shared" si="2"/>
        <v>0</v>
      </c>
      <c r="M26" s="812">
        <f t="shared" si="2"/>
        <v>0</v>
      </c>
      <c r="N26" s="812">
        <f t="shared" si="2"/>
        <v>0</v>
      </c>
      <c r="O26" s="812">
        <f t="shared" si="2"/>
        <v>0</v>
      </c>
      <c r="P26" s="812">
        <f t="shared" si="2"/>
        <v>0</v>
      </c>
      <c r="Q26" s="812">
        <f t="shared" si="2"/>
        <v>0</v>
      </c>
      <c r="R26" s="812">
        <f t="shared" si="2"/>
        <v>170711.61091940501</v>
      </c>
      <c r="S26" s="67"/>
    </row>
    <row r="27" spans="1:19" s="473" customFormat="1" ht="17.25" thickTop="1" thickBot="1">
      <c r="A27" s="706" t="s">
        <v>116</v>
      </c>
      <c r="B27" s="805"/>
      <c r="C27" s="707">
        <f ca="1">C22+C16+C26</f>
        <v>353169.99464967637</v>
      </c>
      <c r="D27" s="707">
        <f t="shared" ref="D27:R27" ca="1" si="3">D22+D16+D26</f>
        <v>147724.50000000003</v>
      </c>
      <c r="E27" s="707">
        <f t="shared" ca="1" si="3"/>
        <v>310623.19753323827</v>
      </c>
      <c r="F27" s="707">
        <f t="shared" si="3"/>
        <v>12983.223433699943</v>
      </c>
      <c r="G27" s="707">
        <f t="shared" ca="1" si="3"/>
        <v>87493.814160638547</v>
      </c>
      <c r="H27" s="707">
        <f t="shared" si="3"/>
        <v>656905.22189440322</v>
      </c>
      <c r="I27" s="707">
        <f t="shared" si="3"/>
        <v>83043.905979062241</v>
      </c>
      <c r="J27" s="707">
        <f t="shared" si="3"/>
        <v>0</v>
      </c>
      <c r="K27" s="707">
        <f t="shared" si="3"/>
        <v>7093.6652599230983</v>
      </c>
      <c r="L27" s="707">
        <f t="shared" si="3"/>
        <v>0</v>
      </c>
      <c r="M27" s="707">
        <f t="shared" ca="1" si="3"/>
        <v>0</v>
      </c>
      <c r="N27" s="707">
        <f t="shared" si="3"/>
        <v>23180.616524842371</v>
      </c>
      <c r="O27" s="707">
        <f t="shared" ca="1" si="3"/>
        <v>31228.478925403189</v>
      </c>
      <c r="P27" s="707">
        <f t="shared" si="3"/>
        <v>1114.6566666666668</v>
      </c>
      <c r="Q27" s="707">
        <f t="shared" si="3"/>
        <v>1658.8</v>
      </c>
      <c r="R27" s="707">
        <f t="shared" ca="1" si="3"/>
        <v>1716220.0750275541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15876.603499115468</v>
      </c>
      <c r="D40" s="1012">
        <f ca="1">tertiair!C20</f>
        <v>4530.8344761216122</v>
      </c>
      <c r="E40" s="1012">
        <f ca="1">tertiair!D20</f>
        <v>12941.346186917253</v>
      </c>
      <c r="F40" s="1012">
        <f>tertiair!E20</f>
        <v>480.42889551830109</v>
      </c>
      <c r="G40" s="1012">
        <f ca="1">tertiair!F20</f>
        <v>8672.1533646070729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42501.366422279709</v>
      </c>
    </row>
    <row r="41" spans="1:18">
      <c r="A41" s="822" t="s">
        <v>225</v>
      </c>
      <c r="B41" s="829"/>
      <c r="C41" s="1012">
        <f ca="1">huishoudens!B12</f>
        <v>9764.5704431438007</v>
      </c>
      <c r="D41" s="1012">
        <f ca="1">huishoudens!C12</f>
        <v>0</v>
      </c>
      <c r="E41" s="1012">
        <f>huishoudens!D12</f>
        <v>38454.285590948486</v>
      </c>
      <c r="F41" s="1012">
        <f>huishoudens!E12</f>
        <v>1050.5405490330659</v>
      </c>
      <c r="G41" s="1012">
        <f>huishoudens!F12</f>
        <v>0</v>
      </c>
      <c r="H41" s="1012">
        <f>huishoudens!G12</f>
        <v>0</v>
      </c>
      <c r="I41" s="1012">
        <f>huishoudens!H12</f>
        <v>0</v>
      </c>
      <c r="J41" s="1012">
        <f>huishoudens!I12</f>
        <v>0</v>
      </c>
      <c r="K41" s="1012">
        <f>huishoudens!J12</f>
        <v>1846.4097496328864</v>
      </c>
      <c r="L41" s="1012">
        <f>huishoudens!K12</f>
        <v>0</v>
      </c>
      <c r="M41" s="1012">
        <f>huishoudens!L12</f>
        <v>0</v>
      </c>
      <c r="N41" s="1012">
        <f>huishoudens!M12</f>
        <v>0</v>
      </c>
      <c r="O41" s="1012">
        <f>huishoudens!N12</f>
        <v>0</v>
      </c>
      <c r="P41" s="1012">
        <f>huishoudens!O12</f>
        <v>0</v>
      </c>
      <c r="Q41" s="774">
        <f>huishoudens!P12</f>
        <v>0</v>
      </c>
      <c r="R41" s="850">
        <f t="shared" ca="1" si="4"/>
        <v>51115.806332758235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8504.8549403418419</v>
      </c>
      <c r="D43" s="1012">
        <f ca="1">industrie!C22</f>
        <v>1074.7098401599808</v>
      </c>
      <c r="E43" s="1012">
        <f>industrie!D22</f>
        <v>10071.646536385633</v>
      </c>
      <c r="F43" s="1012">
        <f>industrie!E22</f>
        <v>1059.01699736247</v>
      </c>
      <c r="G43" s="1012">
        <f>industrie!F22</f>
        <v>4801.541907944601</v>
      </c>
      <c r="H43" s="1012">
        <f>industrie!G22</f>
        <v>0</v>
      </c>
      <c r="I43" s="1012">
        <f>industrie!H22</f>
        <v>0</v>
      </c>
      <c r="J43" s="1012">
        <f>industrie!I22</f>
        <v>0</v>
      </c>
      <c r="K43" s="1012">
        <f>industrie!J22</f>
        <v>148.4445928756204</v>
      </c>
      <c r="L43" s="1012">
        <f>industrie!K22</f>
        <v>0</v>
      </c>
      <c r="M43" s="1012">
        <f>industrie!L22</f>
        <v>0</v>
      </c>
      <c r="N43" s="1012">
        <f>industrie!M22</f>
        <v>0</v>
      </c>
      <c r="O43" s="1012">
        <f>industrie!N22</f>
        <v>0</v>
      </c>
      <c r="P43" s="1012">
        <f>industrie!O22</f>
        <v>0</v>
      </c>
      <c r="Q43" s="774">
        <f>industrie!P22</f>
        <v>0</v>
      </c>
      <c r="R43" s="849">
        <f t="shared" ca="1" si="4"/>
        <v>25660.214815070147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34146.028882601109</v>
      </c>
      <c r="D46" s="732">
        <f t="shared" ref="D46:Q46" ca="1" si="5">SUM(D39:D45)</f>
        <v>5605.5443162815927</v>
      </c>
      <c r="E46" s="732">
        <f t="shared" ca="1" si="5"/>
        <v>61467.278314251373</v>
      </c>
      <c r="F46" s="732">
        <f t="shared" si="5"/>
        <v>2589.9864419138366</v>
      </c>
      <c r="G46" s="732">
        <f t="shared" ca="1" si="5"/>
        <v>13473.695272551675</v>
      </c>
      <c r="H46" s="732">
        <f t="shared" si="5"/>
        <v>0</v>
      </c>
      <c r="I46" s="732">
        <f t="shared" si="5"/>
        <v>0</v>
      </c>
      <c r="J46" s="732">
        <f t="shared" si="5"/>
        <v>0</v>
      </c>
      <c r="K46" s="732">
        <f t="shared" si="5"/>
        <v>1994.8543425085068</v>
      </c>
      <c r="L46" s="732">
        <f t="shared" si="5"/>
        <v>0</v>
      </c>
      <c r="M46" s="732">
        <f t="shared" ca="1" si="5"/>
        <v>0</v>
      </c>
      <c r="N46" s="732">
        <f t="shared" si="5"/>
        <v>0</v>
      </c>
      <c r="O46" s="732">
        <f t="shared" ca="1" si="5"/>
        <v>0</v>
      </c>
      <c r="P46" s="732">
        <f t="shared" si="5"/>
        <v>0</v>
      </c>
      <c r="Q46" s="732">
        <f t="shared" si="5"/>
        <v>0</v>
      </c>
      <c r="R46" s="732">
        <f ca="1">SUM(R39:R45)</f>
        <v>119277.38757010808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1027.8302397849002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1027.8302397849002</v>
      </c>
    </row>
    <row r="50" spans="1:18">
      <c r="A50" s="825" t="s">
        <v>307</v>
      </c>
      <c r="B50" s="835"/>
      <c r="C50" s="703">
        <f ca="1">transport!B18</f>
        <v>13.321984572613111</v>
      </c>
      <c r="D50" s="703">
        <f>transport!C18</f>
        <v>0</v>
      </c>
      <c r="E50" s="703">
        <f>transport!D18</f>
        <v>61.098066510362258</v>
      </c>
      <c r="F50" s="703">
        <f>transport!E18</f>
        <v>297.90420794525335</v>
      </c>
      <c r="G50" s="703">
        <f>transport!F18</f>
        <v>0</v>
      </c>
      <c r="H50" s="703">
        <f>transport!G18</f>
        <v>174365.86400602077</v>
      </c>
      <c r="I50" s="703">
        <f>transport!H18</f>
        <v>20677.932588786498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195416.12085383548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13.321984572613111</v>
      </c>
      <c r="D52" s="732">
        <f t="shared" ref="D52:Q52" ca="1" si="6">SUM(D48:D51)</f>
        <v>0</v>
      </c>
      <c r="E52" s="732">
        <f t="shared" si="6"/>
        <v>61.098066510362258</v>
      </c>
      <c r="F52" s="732">
        <f t="shared" si="6"/>
        <v>297.90420794525335</v>
      </c>
      <c r="G52" s="732">
        <f t="shared" si="6"/>
        <v>0</v>
      </c>
      <c r="H52" s="732">
        <f t="shared" si="6"/>
        <v>175393.69424580567</v>
      </c>
      <c r="I52" s="732">
        <f t="shared" si="6"/>
        <v>20677.932588786498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196443.95109362039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1032.7490729615777</v>
      </c>
      <c r="D54" s="703">
        <f ca="1">+landbouw!C12</f>
        <v>15164.978372794041</v>
      </c>
      <c r="E54" s="703">
        <f>+landbouw!D12</f>
        <v>0</v>
      </c>
      <c r="F54" s="703">
        <f>+landbouw!E12</f>
        <v>59.301069590796565</v>
      </c>
      <c r="G54" s="703">
        <f>+landbouw!F12</f>
        <v>9887.1531083388199</v>
      </c>
      <c r="H54" s="703">
        <f>+landbouw!G12</f>
        <v>0</v>
      </c>
      <c r="I54" s="703">
        <f>+landbouw!H12</f>
        <v>0</v>
      </c>
      <c r="J54" s="703">
        <f>+landbouw!I12</f>
        <v>0</v>
      </c>
      <c r="K54" s="703">
        <f>+landbouw!J12</f>
        <v>516.30315950426996</v>
      </c>
      <c r="L54" s="703">
        <f>+landbouw!K12</f>
        <v>0</v>
      </c>
      <c r="M54" s="703">
        <f>+landbouw!L12</f>
        <v>0</v>
      </c>
      <c r="N54" s="703">
        <f>+landbouw!M12</f>
        <v>0</v>
      </c>
      <c r="O54" s="703">
        <f>+landbouw!N12</f>
        <v>0</v>
      </c>
      <c r="P54" s="703">
        <f>+landbouw!O12</f>
        <v>0</v>
      </c>
      <c r="Q54" s="704">
        <f>+landbouw!P12</f>
        <v>0</v>
      </c>
      <c r="R54" s="731">
        <f ca="1">SUM(C54:Q54)</f>
        <v>26660.484783189506</v>
      </c>
    </row>
    <row r="55" spans="1:18" ht="15" thickBot="1">
      <c r="A55" s="825" t="s">
        <v>848</v>
      </c>
      <c r="B55" s="835"/>
      <c r="C55" s="703">
        <f ca="1">C25*'EF ele_warmte'!B12</f>
        <v>810.06553485235838</v>
      </c>
      <c r="D55" s="703"/>
      <c r="E55" s="703">
        <f>E25*EF_CO2_aardgas</f>
        <v>1217.5095209524002</v>
      </c>
      <c r="F55" s="703"/>
      <c r="G55" s="703"/>
      <c r="H55" s="703"/>
      <c r="I55" s="703"/>
      <c r="J55" s="703"/>
      <c r="K55" s="703"/>
      <c r="L55" s="703"/>
      <c r="M55" s="703"/>
      <c r="N55" s="703"/>
      <c r="O55" s="703"/>
      <c r="P55" s="703"/>
      <c r="Q55" s="704"/>
      <c r="R55" s="731">
        <f ca="1">SUM(C55:Q55)</f>
        <v>2027.5750558047584</v>
      </c>
    </row>
    <row r="56" spans="1:18" ht="15.75" thickBot="1">
      <c r="A56" s="823" t="s">
        <v>849</v>
      </c>
      <c r="B56" s="836"/>
      <c r="C56" s="732">
        <f ca="1">SUM(C54:C55)</f>
        <v>1842.8146078139362</v>
      </c>
      <c r="D56" s="732">
        <f t="shared" ref="D56:Q56" ca="1" si="7">SUM(D54:D55)</f>
        <v>15164.978372794041</v>
      </c>
      <c r="E56" s="732">
        <f t="shared" si="7"/>
        <v>1217.5095209524002</v>
      </c>
      <c r="F56" s="732">
        <f t="shared" si="7"/>
        <v>59.301069590796565</v>
      </c>
      <c r="G56" s="732">
        <f t="shared" si="7"/>
        <v>9887.1531083388199</v>
      </c>
      <c r="H56" s="732">
        <f t="shared" si="7"/>
        <v>0</v>
      </c>
      <c r="I56" s="732">
        <f t="shared" si="7"/>
        <v>0</v>
      </c>
      <c r="J56" s="732">
        <f t="shared" si="7"/>
        <v>0</v>
      </c>
      <c r="K56" s="732">
        <f t="shared" si="7"/>
        <v>516.30315950426996</v>
      </c>
      <c r="L56" s="732">
        <f t="shared" si="7"/>
        <v>0</v>
      </c>
      <c r="M56" s="732">
        <f t="shared" si="7"/>
        <v>0</v>
      </c>
      <c r="N56" s="732">
        <f t="shared" si="7"/>
        <v>0</v>
      </c>
      <c r="O56" s="732">
        <f t="shared" si="7"/>
        <v>0</v>
      </c>
      <c r="P56" s="732">
        <f t="shared" si="7"/>
        <v>0</v>
      </c>
      <c r="Q56" s="733">
        <f t="shared" si="7"/>
        <v>0</v>
      </c>
      <c r="R56" s="734">
        <f ca="1">SUM(R54:R55)</f>
        <v>28688.059838994264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36002.165474987662</v>
      </c>
      <c r="D61" s="740">
        <f t="shared" ref="D61:Q61" ca="1" si="8">D46+D52+D56</f>
        <v>20770.522689075635</v>
      </c>
      <c r="E61" s="740">
        <f t="shared" ca="1" si="8"/>
        <v>62745.885901714137</v>
      </c>
      <c r="F61" s="740">
        <f t="shared" si="8"/>
        <v>2947.1917194498865</v>
      </c>
      <c r="G61" s="740">
        <f t="shared" ca="1" si="8"/>
        <v>23360.848380890493</v>
      </c>
      <c r="H61" s="740">
        <f t="shared" si="8"/>
        <v>175393.69424580567</v>
      </c>
      <c r="I61" s="740">
        <f t="shared" si="8"/>
        <v>20677.932588786498</v>
      </c>
      <c r="J61" s="740">
        <f t="shared" si="8"/>
        <v>0</v>
      </c>
      <c r="K61" s="740">
        <f t="shared" si="8"/>
        <v>2511.1575020127766</v>
      </c>
      <c r="L61" s="740">
        <f t="shared" si="8"/>
        <v>0</v>
      </c>
      <c r="M61" s="740">
        <f t="shared" ca="1" si="8"/>
        <v>0</v>
      </c>
      <c r="N61" s="740">
        <f t="shared" si="8"/>
        <v>0</v>
      </c>
      <c r="O61" s="740">
        <f t="shared" ca="1" si="8"/>
        <v>0</v>
      </c>
      <c r="P61" s="740">
        <f t="shared" si="8"/>
        <v>0</v>
      </c>
      <c r="Q61" s="740">
        <f t="shared" si="8"/>
        <v>0</v>
      </c>
      <c r="R61" s="740">
        <f ca="1">R46+R52+R56</f>
        <v>344409.39850272273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0.10194004592802304</v>
      </c>
      <c r="D63" s="781">
        <f t="shared" ca="1" si="9"/>
        <v>0.14060310029193282</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105390.11487758375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47255.989533926462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42226.65</v>
      </c>
      <c r="C76" s="750">
        <f>'lokale energieproductie'!B8*IFERROR(SUM(D76:H76)/SUM(D76:O76),0)</f>
        <v>61180.499999999993</v>
      </c>
      <c r="D76" s="1033">
        <f>'lokale energieproductie'!C8</f>
        <v>71977.058823529413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49678.411764705888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14539.365882352942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194872.75441151022</v>
      </c>
      <c r="C78" s="755">
        <f>SUM(C72:C77)</f>
        <v>61180.499999999993</v>
      </c>
      <c r="D78" s="756">
        <f t="shared" ref="D78:H78" si="10">SUM(D76:D77)</f>
        <v>71977.058823529413</v>
      </c>
      <c r="E78" s="756">
        <f t="shared" si="10"/>
        <v>0</v>
      </c>
      <c r="F78" s="756">
        <f t="shared" si="10"/>
        <v>0</v>
      </c>
      <c r="G78" s="756">
        <f t="shared" si="10"/>
        <v>0</v>
      </c>
      <c r="H78" s="756">
        <f t="shared" si="10"/>
        <v>0</v>
      </c>
      <c r="I78" s="756">
        <f>SUM(I76:I77)</f>
        <v>0</v>
      </c>
      <c r="J78" s="756">
        <f>SUM(J76:J77)</f>
        <v>49678.411764705888</v>
      </c>
      <c r="K78" s="756">
        <f t="shared" ref="K78:L78" si="11">SUM(K76:K77)</f>
        <v>0</v>
      </c>
      <c r="L78" s="756">
        <f t="shared" si="11"/>
        <v>0</v>
      </c>
      <c r="M78" s="756">
        <f>SUM(M76:M77)</f>
        <v>0</v>
      </c>
      <c r="N78" s="756">
        <f>SUM(N76:N77)</f>
        <v>0</v>
      </c>
      <c r="O78" s="860">
        <f>SUM(O76:O77)</f>
        <v>0</v>
      </c>
      <c r="P78" s="757">
        <v>0</v>
      </c>
      <c r="Q78" s="757">
        <f>SUM(Q76:Q77)</f>
        <v>14539.365882352942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60323.785714285717</v>
      </c>
      <c r="C87" s="766">
        <f>'lokale energieproductie'!B17*IFERROR(SUM(D87:H87)/SUM(D87:O87),0)</f>
        <v>87400.714285714275</v>
      </c>
      <c r="D87" s="777">
        <f>'lokale energieproductie'!C17</f>
        <v>102824.36974789917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70969.159663865561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20770.522689075635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60323.785714285717</v>
      </c>
      <c r="C90" s="755">
        <f>SUM(C87:C89)</f>
        <v>87400.714285714275</v>
      </c>
      <c r="D90" s="755">
        <f t="shared" ref="D90:H90" si="12">SUM(D87:D89)</f>
        <v>102824.36974789917</v>
      </c>
      <c r="E90" s="755">
        <f t="shared" si="12"/>
        <v>0</v>
      </c>
      <c r="F90" s="755">
        <f t="shared" si="12"/>
        <v>0</v>
      </c>
      <c r="G90" s="755">
        <f t="shared" si="12"/>
        <v>0</v>
      </c>
      <c r="H90" s="755">
        <f t="shared" si="12"/>
        <v>0</v>
      </c>
      <c r="I90" s="755">
        <f>SUM(I87:I89)</f>
        <v>0</v>
      </c>
      <c r="J90" s="755">
        <f>SUM(J87:J89)</f>
        <v>70969.159663865561</v>
      </c>
      <c r="K90" s="755">
        <f t="shared" ref="K90:L90" si="13">SUM(K87:K89)</f>
        <v>0</v>
      </c>
      <c r="L90" s="755">
        <f t="shared" si="13"/>
        <v>0</v>
      </c>
      <c r="M90" s="755">
        <f>SUM(M87:M89)</f>
        <v>0</v>
      </c>
      <c r="N90" s="755">
        <f>SUM(N87:N89)</f>
        <v>0</v>
      </c>
      <c r="O90" s="755">
        <f>SUM(O87:O89)</f>
        <v>0</v>
      </c>
      <c r="P90" s="755">
        <v>0</v>
      </c>
      <c r="Q90" s="755">
        <f>SUM(Q87:Q89)</f>
        <v>20770.522689075635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105390.11487758375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47255.989533926462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103407.15</v>
      </c>
      <c r="C8" s="570">
        <f>B101</f>
        <v>71977.058823529413</v>
      </c>
      <c r="D8" s="1043"/>
      <c r="E8" s="1043">
        <f>E101</f>
        <v>0</v>
      </c>
      <c r="F8" s="1044"/>
      <c r="G8" s="571"/>
      <c r="H8" s="1043">
        <f>I101</f>
        <v>0</v>
      </c>
      <c r="I8" s="1043">
        <f>G101+F101</f>
        <v>0</v>
      </c>
      <c r="J8" s="1043">
        <f>H101+D101+C101</f>
        <v>49678.411764705888</v>
      </c>
      <c r="K8" s="1043"/>
      <c r="L8" s="1043"/>
      <c r="M8" s="1043"/>
      <c r="N8" s="572"/>
      <c r="O8" s="573">
        <f>C8*$C$12+D8*$D$12+E8*$E$12+F8*$F$12+G8*$G$12+H8*$H$12+I8*$I$12+J8*$J$12</f>
        <v>14539.365882352942</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256053.25441151022</v>
      </c>
      <c r="C10" s="583">
        <f t="shared" ref="C10:L10" si="0">SUM(C8:C9)</f>
        <v>71977.058823529413</v>
      </c>
      <c r="D10" s="583">
        <f t="shared" si="0"/>
        <v>0</v>
      </c>
      <c r="E10" s="583">
        <f t="shared" si="0"/>
        <v>0</v>
      </c>
      <c r="F10" s="583">
        <f t="shared" si="0"/>
        <v>0</v>
      </c>
      <c r="G10" s="583">
        <f t="shared" si="0"/>
        <v>0</v>
      </c>
      <c r="H10" s="583">
        <f t="shared" si="0"/>
        <v>0</v>
      </c>
      <c r="I10" s="583">
        <f t="shared" si="0"/>
        <v>0</v>
      </c>
      <c r="J10" s="583">
        <f t="shared" si="0"/>
        <v>49678.411764705888</v>
      </c>
      <c r="K10" s="583">
        <f t="shared" si="0"/>
        <v>0</v>
      </c>
      <c r="L10" s="583">
        <f t="shared" si="0"/>
        <v>0</v>
      </c>
      <c r="M10" s="1046"/>
      <c r="N10" s="1046"/>
      <c r="O10" s="584">
        <f>SUM(O4:O9)</f>
        <v>14539.365882352942</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147724.5</v>
      </c>
      <c r="C17" s="595">
        <f>B102</f>
        <v>102824.36974789917</v>
      </c>
      <c r="D17" s="596"/>
      <c r="E17" s="596">
        <f>E102</f>
        <v>0</v>
      </c>
      <c r="F17" s="1049"/>
      <c r="G17" s="597"/>
      <c r="H17" s="595">
        <f>I102</f>
        <v>0</v>
      </c>
      <c r="I17" s="596">
        <f>G102+F102</f>
        <v>0</v>
      </c>
      <c r="J17" s="596">
        <f>H102+D102+C102</f>
        <v>70969.159663865561</v>
      </c>
      <c r="K17" s="596"/>
      <c r="L17" s="596"/>
      <c r="M17" s="596"/>
      <c r="N17" s="1050"/>
      <c r="O17" s="598">
        <f>C17*$C$22+E17*$E$22+H17*$H$22+I17*$I$22+J17*$J$22+D17*$D$22+F17*$F$22+G17*$G$22+K17*$K$22+L17*$L$22</f>
        <v>20770.522689075635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147724.5</v>
      </c>
      <c r="C20" s="582">
        <f>SUM(C17:C19)</f>
        <v>102824.36974789917</v>
      </c>
      <c r="D20" s="582">
        <f t="shared" ref="D20:L20" si="1">SUM(D17:D19)</f>
        <v>0</v>
      </c>
      <c r="E20" s="582">
        <f t="shared" si="1"/>
        <v>0</v>
      </c>
      <c r="F20" s="582">
        <f t="shared" si="1"/>
        <v>0</v>
      </c>
      <c r="G20" s="582">
        <f t="shared" si="1"/>
        <v>0</v>
      </c>
      <c r="H20" s="582">
        <f t="shared" si="1"/>
        <v>0</v>
      </c>
      <c r="I20" s="582">
        <f t="shared" si="1"/>
        <v>0</v>
      </c>
      <c r="J20" s="582">
        <f t="shared" si="1"/>
        <v>70969.159663865561</v>
      </c>
      <c r="K20" s="582">
        <f t="shared" si="1"/>
        <v>0</v>
      </c>
      <c r="L20" s="582">
        <f t="shared" si="1"/>
        <v>0</v>
      </c>
      <c r="M20" s="582"/>
      <c r="N20" s="582"/>
      <c r="O20" s="601">
        <f>SUM(O17:O19)</f>
        <v>20770.522689075635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46003</v>
      </c>
      <c r="C28" s="796">
        <v>9120</v>
      </c>
      <c r="D28" s="653" t="s">
        <v>890</v>
      </c>
      <c r="E28" s="652" t="s">
        <v>891</v>
      </c>
      <c r="F28" s="652" t="s">
        <v>892</v>
      </c>
      <c r="G28" s="652" t="s">
        <v>893</v>
      </c>
      <c r="H28" s="652" t="s">
        <v>894</v>
      </c>
      <c r="I28" s="652" t="s">
        <v>891</v>
      </c>
      <c r="J28" s="795">
        <v>39377</v>
      </c>
      <c r="K28" s="795">
        <v>39380</v>
      </c>
      <c r="L28" s="652" t="s">
        <v>895</v>
      </c>
      <c r="M28" s="652">
        <v>1372</v>
      </c>
      <c r="N28" s="652">
        <v>6174.0000000000009</v>
      </c>
      <c r="O28" s="652">
        <v>8820.0000000000018</v>
      </c>
      <c r="P28" s="652">
        <v>17640.000000000004</v>
      </c>
      <c r="Q28" s="652">
        <v>0</v>
      </c>
      <c r="R28" s="652">
        <v>0</v>
      </c>
      <c r="S28" s="652">
        <v>0</v>
      </c>
      <c r="T28" s="652">
        <v>0</v>
      </c>
      <c r="U28" s="652">
        <v>0</v>
      </c>
      <c r="V28" s="652">
        <v>0</v>
      </c>
      <c r="W28" s="652">
        <v>0</v>
      </c>
      <c r="X28" s="652">
        <v>10</v>
      </c>
      <c r="Y28" s="652" t="s">
        <v>112</v>
      </c>
      <c r="Z28" s="654" t="s">
        <v>112</v>
      </c>
    </row>
    <row r="29" spans="1:26" s="606" customFormat="1" ht="25.5">
      <c r="A29" s="605"/>
      <c r="B29" s="796">
        <v>46003</v>
      </c>
      <c r="C29" s="796">
        <v>9120</v>
      </c>
      <c r="D29" s="653" t="s">
        <v>896</v>
      </c>
      <c r="E29" s="652" t="s">
        <v>897</v>
      </c>
      <c r="F29" s="652" t="s">
        <v>898</v>
      </c>
      <c r="G29" s="652" t="s">
        <v>893</v>
      </c>
      <c r="H29" s="652" t="s">
        <v>894</v>
      </c>
      <c r="I29" s="652" t="s">
        <v>897</v>
      </c>
      <c r="J29" s="795">
        <v>39568</v>
      </c>
      <c r="K29" s="795">
        <v>39568</v>
      </c>
      <c r="L29" s="652" t="s">
        <v>895</v>
      </c>
      <c r="M29" s="652">
        <v>2731</v>
      </c>
      <c r="N29" s="652">
        <v>12289.5</v>
      </c>
      <c r="O29" s="652">
        <v>17556.428571428572</v>
      </c>
      <c r="P29" s="652">
        <v>35112.857142857145</v>
      </c>
      <c r="Q29" s="652">
        <v>0</v>
      </c>
      <c r="R29" s="652">
        <v>0</v>
      </c>
      <c r="S29" s="652">
        <v>0</v>
      </c>
      <c r="T29" s="652">
        <v>0</v>
      </c>
      <c r="U29" s="652">
        <v>0</v>
      </c>
      <c r="V29" s="652">
        <v>0</v>
      </c>
      <c r="W29" s="652">
        <v>0</v>
      </c>
      <c r="X29" s="652">
        <v>10</v>
      </c>
      <c r="Y29" s="652" t="s">
        <v>112</v>
      </c>
      <c r="Z29" s="654" t="s">
        <v>112</v>
      </c>
    </row>
    <row r="30" spans="1:26" s="606" customFormat="1" ht="25.5">
      <c r="A30" s="605"/>
      <c r="B30" s="796">
        <v>46003</v>
      </c>
      <c r="C30" s="796">
        <v>9120</v>
      </c>
      <c r="D30" s="653" t="s">
        <v>899</v>
      </c>
      <c r="E30" s="652" t="s">
        <v>900</v>
      </c>
      <c r="F30" s="652" t="s">
        <v>901</v>
      </c>
      <c r="G30" s="652" t="s">
        <v>893</v>
      </c>
      <c r="H30" s="652" t="s">
        <v>894</v>
      </c>
      <c r="I30" s="652" t="s">
        <v>900</v>
      </c>
      <c r="J30" s="795">
        <v>39737</v>
      </c>
      <c r="K30" s="795">
        <v>39737</v>
      </c>
      <c r="L30" s="652" t="s">
        <v>895</v>
      </c>
      <c r="M30" s="652">
        <v>1562</v>
      </c>
      <c r="N30" s="652">
        <v>7029</v>
      </c>
      <c r="O30" s="652">
        <v>10041.428571428572</v>
      </c>
      <c r="P30" s="652">
        <v>20082.857142857145</v>
      </c>
      <c r="Q30" s="652">
        <v>0</v>
      </c>
      <c r="R30" s="652">
        <v>0</v>
      </c>
      <c r="S30" s="652">
        <v>0</v>
      </c>
      <c r="T30" s="652">
        <v>0</v>
      </c>
      <c r="U30" s="652">
        <v>0</v>
      </c>
      <c r="V30" s="652">
        <v>0</v>
      </c>
      <c r="W30" s="652">
        <v>0</v>
      </c>
      <c r="X30" s="652">
        <v>10</v>
      </c>
      <c r="Y30" s="652" t="s">
        <v>112</v>
      </c>
      <c r="Z30" s="654" t="s">
        <v>112</v>
      </c>
    </row>
    <row r="31" spans="1:26" s="606" customFormat="1" ht="25.5">
      <c r="A31" s="605"/>
      <c r="B31" s="796">
        <v>46003</v>
      </c>
      <c r="C31" s="796">
        <v>9120</v>
      </c>
      <c r="D31" s="653" t="s">
        <v>902</v>
      </c>
      <c r="E31" s="652" t="s">
        <v>903</v>
      </c>
      <c r="F31" s="652" t="s">
        <v>904</v>
      </c>
      <c r="G31" s="652" t="s">
        <v>893</v>
      </c>
      <c r="H31" s="652" t="s">
        <v>894</v>
      </c>
      <c r="I31" s="652" t="s">
        <v>903</v>
      </c>
      <c r="J31" s="795">
        <v>40927</v>
      </c>
      <c r="K31" s="795">
        <v>39841</v>
      </c>
      <c r="L31" s="652" t="s">
        <v>895</v>
      </c>
      <c r="M31" s="652">
        <v>2233</v>
      </c>
      <c r="N31" s="652">
        <v>10048.5</v>
      </c>
      <c r="O31" s="652">
        <v>14355</v>
      </c>
      <c r="P31" s="652">
        <v>0</v>
      </c>
      <c r="Q31" s="652">
        <v>28710.000000000004</v>
      </c>
      <c r="R31" s="652">
        <v>0</v>
      </c>
      <c r="S31" s="652">
        <v>0</v>
      </c>
      <c r="T31" s="652">
        <v>0</v>
      </c>
      <c r="U31" s="652">
        <v>0</v>
      </c>
      <c r="V31" s="652">
        <v>0</v>
      </c>
      <c r="W31" s="652">
        <v>0</v>
      </c>
      <c r="X31" s="652">
        <v>10</v>
      </c>
      <c r="Y31" s="652" t="s">
        <v>112</v>
      </c>
      <c r="Z31" s="654" t="s">
        <v>112</v>
      </c>
    </row>
    <row r="32" spans="1:26" s="606" customFormat="1" ht="25.5">
      <c r="A32" s="605"/>
      <c r="B32" s="796">
        <v>46003</v>
      </c>
      <c r="C32" s="796">
        <v>9120</v>
      </c>
      <c r="D32" s="653" t="s">
        <v>905</v>
      </c>
      <c r="E32" s="652" t="s">
        <v>906</v>
      </c>
      <c r="F32" s="652" t="s">
        <v>907</v>
      </c>
      <c r="G32" s="652" t="s">
        <v>893</v>
      </c>
      <c r="H32" s="652" t="s">
        <v>894</v>
      </c>
      <c r="I32" s="652" t="s">
        <v>906</v>
      </c>
      <c r="J32" s="795">
        <v>40954</v>
      </c>
      <c r="K32" s="795">
        <v>39990</v>
      </c>
      <c r="L32" s="652" t="s">
        <v>895</v>
      </c>
      <c r="M32" s="652">
        <v>3898</v>
      </c>
      <c r="N32" s="652">
        <v>17541</v>
      </c>
      <c r="O32" s="652">
        <v>25058.571428571428</v>
      </c>
      <c r="P32" s="652">
        <v>50117.142857142862</v>
      </c>
      <c r="Q32" s="652">
        <v>0</v>
      </c>
      <c r="R32" s="652">
        <v>0</v>
      </c>
      <c r="S32" s="652">
        <v>0</v>
      </c>
      <c r="T32" s="652">
        <v>0</v>
      </c>
      <c r="U32" s="652">
        <v>0</v>
      </c>
      <c r="V32" s="652">
        <v>0</v>
      </c>
      <c r="W32" s="652">
        <v>0</v>
      </c>
      <c r="X32" s="652">
        <v>10</v>
      </c>
      <c r="Y32" s="652" t="s">
        <v>112</v>
      </c>
      <c r="Z32" s="654" t="s">
        <v>112</v>
      </c>
    </row>
    <row r="33" spans="1:26" s="606" customFormat="1" ht="25.5">
      <c r="A33" s="605"/>
      <c r="B33" s="796">
        <v>46003</v>
      </c>
      <c r="C33" s="796">
        <v>9120</v>
      </c>
      <c r="D33" s="653" t="s">
        <v>908</v>
      </c>
      <c r="E33" s="652" t="s">
        <v>909</v>
      </c>
      <c r="F33" s="652" t="s">
        <v>910</v>
      </c>
      <c r="G33" s="652" t="s">
        <v>893</v>
      </c>
      <c r="H33" s="652" t="s">
        <v>894</v>
      </c>
      <c r="I33" s="652" t="s">
        <v>911</v>
      </c>
      <c r="J33" s="795">
        <v>40333</v>
      </c>
      <c r="K33" s="795">
        <v>40345</v>
      </c>
      <c r="L33" s="652" t="s">
        <v>895</v>
      </c>
      <c r="M33" s="652">
        <v>1994</v>
      </c>
      <c r="N33" s="652">
        <v>8973</v>
      </c>
      <c r="O33" s="652">
        <v>12818.571428571429</v>
      </c>
      <c r="P33" s="652">
        <v>25637.142857142859</v>
      </c>
      <c r="Q33" s="652">
        <v>0</v>
      </c>
      <c r="R33" s="652">
        <v>0</v>
      </c>
      <c r="S33" s="652">
        <v>0</v>
      </c>
      <c r="T33" s="652">
        <v>0</v>
      </c>
      <c r="U33" s="652">
        <v>0</v>
      </c>
      <c r="V33" s="652">
        <v>0</v>
      </c>
      <c r="W33" s="652">
        <v>0</v>
      </c>
      <c r="X33" s="652">
        <v>10</v>
      </c>
      <c r="Y33" s="652" t="s">
        <v>112</v>
      </c>
      <c r="Z33" s="654" t="s">
        <v>112</v>
      </c>
    </row>
    <row r="34" spans="1:26" s="606" customFormat="1" ht="25.5">
      <c r="A34" s="605"/>
      <c r="B34" s="796">
        <v>46003</v>
      </c>
      <c r="C34" s="796">
        <v>9120</v>
      </c>
      <c r="D34" s="653" t="s">
        <v>912</v>
      </c>
      <c r="E34" s="652" t="s">
        <v>913</v>
      </c>
      <c r="F34" s="652" t="s">
        <v>914</v>
      </c>
      <c r="G34" s="652" t="s">
        <v>893</v>
      </c>
      <c r="H34" s="652" t="s">
        <v>894</v>
      </c>
      <c r="I34" s="652" t="s">
        <v>913</v>
      </c>
      <c r="J34" s="795">
        <v>40819</v>
      </c>
      <c r="K34" s="795">
        <v>40834</v>
      </c>
      <c r="L34" s="652" t="s">
        <v>895</v>
      </c>
      <c r="M34" s="652">
        <v>197</v>
      </c>
      <c r="N34" s="652">
        <v>886.5</v>
      </c>
      <c r="O34" s="652">
        <v>1266.4285714285716</v>
      </c>
      <c r="P34" s="652">
        <v>2532.8571428571431</v>
      </c>
      <c r="Q34" s="652">
        <v>0</v>
      </c>
      <c r="R34" s="652">
        <v>0</v>
      </c>
      <c r="S34" s="652">
        <v>0</v>
      </c>
      <c r="T34" s="652">
        <v>0</v>
      </c>
      <c r="U34" s="652">
        <v>0</v>
      </c>
      <c r="V34" s="652">
        <v>0</v>
      </c>
      <c r="W34" s="652">
        <v>0</v>
      </c>
      <c r="X34" s="652">
        <v>1200</v>
      </c>
      <c r="Y34" s="652" t="s">
        <v>53</v>
      </c>
      <c r="Z34" s="654" t="s">
        <v>156</v>
      </c>
    </row>
    <row r="35" spans="1:26" s="606" customFormat="1" ht="25.5">
      <c r="A35" s="605"/>
      <c r="B35" s="796">
        <v>46003</v>
      </c>
      <c r="C35" s="796">
        <v>9120</v>
      </c>
      <c r="D35" s="653" t="s">
        <v>915</v>
      </c>
      <c r="E35" s="652" t="s">
        <v>916</v>
      </c>
      <c r="F35" s="652" t="s">
        <v>917</v>
      </c>
      <c r="G35" s="652" t="s">
        <v>893</v>
      </c>
      <c r="H35" s="652" t="s">
        <v>894</v>
      </c>
      <c r="I35" s="652" t="s">
        <v>916</v>
      </c>
      <c r="J35" s="795">
        <v>41184</v>
      </c>
      <c r="K35" s="795">
        <v>41184</v>
      </c>
      <c r="L35" s="652" t="s">
        <v>895</v>
      </c>
      <c r="M35" s="652">
        <v>2978</v>
      </c>
      <c r="N35" s="652">
        <v>13401.000000000002</v>
      </c>
      <c r="O35" s="652">
        <v>19144.285714285717</v>
      </c>
      <c r="P35" s="652">
        <v>0</v>
      </c>
      <c r="Q35" s="652">
        <v>38288.571428571435</v>
      </c>
      <c r="R35" s="652">
        <v>0</v>
      </c>
      <c r="S35" s="652">
        <v>0</v>
      </c>
      <c r="T35" s="652">
        <v>0</v>
      </c>
      <c r="U35" s="652">
        <v>0</v>
      </c>
      <c r="V35" s="652">
        <v>0</v>
      </c>
      <c r="W35" s="652">
        <v>0</v>
      </c>
      <c r="X35" s="652">
        <v>10</v>
      </c>
      <c r="Y35" s="652" t="s">
        <v>112</v>
      </c>
      <c r="Z35" s="654" t="s">
        <v>112</v>
      </c>
    </row>
    <row r="36" spans="1:26" s="606" customFormat="1" ht="63.75">
      <c r="A36" s="605"/>
      <c r="B36" s="796">
        <v>46003</v>
      </c>
      <c r="C36" s="796">
        <v>9120</v>
      </c>
      <c r="D36" s="653" t="s">
        <v>918</v>
      </c>
      <c r="E36" s="652" t="s">
        <v>919</v>
      </c>
      <c r="F36" s="652" t="s">
        <v>920</v>
      </c>
      <c r="G36" s="652" t="s">
        <v>893</v>
      </c>
      <c r="H36" s="652" t="s">
        <v>894</v>
      </c>
      <c r="I36" s="652" t="s">
        <v>921</v>
      </c>
      <c r="J36" s="795">
        <v>41450</v>
      </c>
      <c r="K36" s="795">
        <v>41361</v>
      </c>
      <c r="L36" s="652" t="s">
        <v>895</v>
      </c>
      <c r="M36" s="652">
        <v>70</v>
      </c>
      <c r="N36" s="652">
        <v>315.00000000000006</v>
      </c>
      <c r="O36" s="652">
        <v>450.00000000000011</v>
      </c>
      <c r="P36" s="652">
        <v>900.00000000000023</v>
      </c>
      <c r="Q36" s="652">
        <v>0</v>
      </c>
      <c r="R36" s="652">
        <v>0</v>
      </c>
      <c r="S36" s="652">
        <v>0</v>
      </c>
      <c r="T36" s="652">
        <v>0</v>
      </c>
      <c r="U36" s="652">
        <v>0</v>
      </c>
      <c r="V36" s="652">
        <v>0</v>
      </c>
      <c r="W36" s="652">
        <v>0</v>
      </c>
      <c r="X36" s="652">
        <v>1600</v>
      </c>
      <c r="Y36" s="652" t="s">
        <v>50</v>
      </c>
      <c r="Z36" s="654" t="s">
        <v>156</v>
      </c>
    </row>
    <row r="37" spans="1:26" s="606" customFormat="1" ht="25.5">
      <c r="A37" s="605"/>
      <c r="B37" s="796">
        <v>46003</v>
      </c>
      <c r="C37" s="796">
        <v>9120</v>
      </c>
      <c r="D37" s="653" t="s">
        <v>922</v>
      </c>
      <c r="E37" s="652" t="s">
        <v>923</v>
      </c>
      <c r="F37" s="652" t="s">
        <v>924</v>
      </c>
      <c r="G37" s="652" t="s">
        <v>893</v>
      </c>
      <c r="H37" s="652" t="s">
        <v>894</v>
      </c>
      <c r="I37" s="652" t="s">
        <v>923</v>
      </c>
      <c r="J37" s="795">
        <v>41373</v>
      </c>
      <c r="K37" s="795">
        <v>41373</v>
      </c>
      <c r="L37" s="652" t="s">
        <v>895</v>
      </c>
      <c r="M37" s="652">
        <v>9.6999999999999993</v>
      </c>
      <c r="N37" s="652">
        <v>43.649999999999991</v>
      </c>
      <c r="O37" s="652">
        <v>62.357142857142847</v>
      </c>
      <c r="P37" s="652">
        <v>0</v>
      </c>
      <c r="Q37" s="652">
        <v>124.71428571428569</v>
      </c>
      <c r="R37" s="652">
        <v>0</v>
      </c>
      <c r="S37" s="652">
        <v>0</v>
      </c>
      <c r="T37" s="652">
        <v>0</v>
      </c>
      <c r="U37" s="652">
        <v>0</v>
      </c>
      <c r="V37" s="652">
        <v>0</v>
      </c>
      <c r="W37" s="652">
        <v>0</v>
      </c>
      <c r="X37" s="652">
        <v>10</v>
      </c>
      <c r="Y37" s="652" t="s">
        <v>112</v>
      </c>
      <c r="Z37" s="654" t="s">
        <v>112</v>
      </c>
    </row>
    <row r="38" spans="1:26" s="606" customFormat="1" ht="25.5">
      <c r="A38" s="605"/>
      <c r="B38" s="796">
        <v>46003</v>
      </c>
      <c r="C38" s="796">
        <v>9130</v>
      </c>
      <c r="D38" s="653" t="s">
        <v>925</v>
      </c>
      <c r="E38" s="652" t="s">
        <v>926</v>
      </c>
      <c r="F38" s="652" t="s">
        <v>927</v>
      </c>
      <c r="G38" s="652" t="s">
        <v>893</v>
      </c>
      <c r="H38" s="652" t="s">
        <v>894</v>
      </c>
      <c r="I38" s="652" t="s">
        <v>926</v>
      </c>
      <c r="J38" s="795">
        <v>41814</v>
      </c>
      <c r="K38" s="795">
        <v>41814</v>
      </c>
      <c r="L38" s="652" t="s">
        <v>895</v>
      </c>
      <c r="M38" s="652">
        <v>1189</v>
      </c>
      <c r="N38" s="652">
        <v>5350.5</v>
      </c>
      <c r="O38" s="652">
        <v>7643.5714285714284</v>
      </c>
      <c r="P38" s="652">
        <v>0</v>
      </c>
      <c r="Q38" s="652">
        <v>15287.142857142859</v>
      </c>
      <c r="R38" s="652">
        <v>0</v>
      </c>
      <c r="S38" s="652">
        <v>0</v>
      </c>
      <c r="T38" s="652">
        <v>0</v>
      </c>
      <c r="U38" s="652">
        <v>0</v>
      </c>
      <c r="V38" s="652">
        <v>0</v>
      </c>
      <c r="W38" s="652">
        <v>0</v>
      </c>
      <c r="X38" s="652">
        <v>500</v>
      </c>
      <c r="Y38" s="652" t="s">
        <v>41</v>
      </c>
      <c r="Z38" s="654" t="s">
        <v>389</v>
      </c>
    </row>
    <row r="39" spans="1:26" s="606" customFormat="1" ht="63.75">
      <c r="A39" s="605"/>
      <c r="B39" s="796">
        <v>46003</v>
      </c>
      <c r="C39" s="796">
        <v>9120</v>
      </c>
      <c r="D39" s="653" t="s">
        <v>928</v>
      </c>
      <c r="E39" s="652" t="s">
        <v>929</v>
      </c>
      <c r="F39" s="652" t="s">
        <v>930</v>
      </c>
      <c r="G39" s="652" t="s">
        <v>893</v>
      </c>
      <c r="H39" s="652" t="s">
        <v>894</v>
      </c>
      <c r="I39" s="652" t="s">
        <v>931</v>
      </c>
      <c r="J39" s="795">
        <v>41936</v>
      </c>
      <c r="K39" s="795">
        <v>41936</v>
      </c>
      <c r="L39" s="652" t="s">
        <v>932</v>
      </c>
      <c r="M39" s="652">
        <v>2974</v>
      </c>
      <c r="N39" s="652">
        <v>13383</v>
      </c>
      <c r="O39" s="652">
        <v>19118.571428571428</v>
      </c>
      <c r="P39" s="652">
        <v>0</v>
      </c>
      <c r="Q39" s="652">
        <v>38237.142857142862</v>
      </c>
      <c r="R39" s="652">
        <v>0</v>
      </c>
      <c r="S39" s="652">
        <v>0</v>
      </c>
      <c r="T39" s="652">
        <v>0</v>
      </c>
      <c r="U39" s="652">
        <v>0</v>
      </c>
      <c r="V39" s="652">
        <v>0</v>
      </c>
      <c r="W39" s="652">
        <v>0</v>
      </c>
      <c r="X39" s="652">
        <v>1600</v>
      </c>
      <c r="Y39" s="652" t="s">
        <v>50</v>
      </c>
      <c r="Z39" s="654" t="s">
        <v>156</v>
      </c>
    </row>
    <row r="40" spans="1:26" s="606" customFormat="1" ht="63.75">
      <c r="A40" s="605"/>
      <c r="B40" s="796">
        <v>46003</v>
      </c>
      <c r="C40" s="796">
        <v>9120</v>
      </c>
      <c r="D40" s="653" t="s">
        <v>933</v>
      </c>
      <c r="E40" s="652" t="s">
        <v>934</v>
      </c>
      <c r="F40" s="652" t="s">
        <v>935</v>
      </c>
      <c r="G40" s="652" t="s">
        <v>893</v>
      </c>
      <c r="H40" s="652" t="s">
        <v>894</v>
      </c>
      <c r="I40" s="652" t="s">
        <v>934</v>
      </c>
      <c r="J40" s="795">
        <v>42039</v>
      </c>
      <c r="K40" s="795">
        <v>42039</v>
      </c>
      <c r="L40" s="652" t="s">
        <v>895</v>
      </c>
      <c r="M40" s="652">
        <v>2126</v>
      </c>
      <c r="N40" s="652">
        <v>7972.5</v>
      </c>
      <c r="O40" s="652">
        <v>11389.285714285714</v>
      </c>
      <c r="P40" s="652">
        <v>22778.571428571431</v>
      </c>
      <c r="Q40" s="652">
        <v>0</v>
      </c>
      <c r="R40" s="652">
        <v>0</v>
      </c>
      <c r="S40" s="652">
        <v>0</v>
      </c>
      <c r="T40" s="652">
        <v>0</v>
      </c>
      <c r="U40" s="652">
        <v>0</v>
      </c>
      <c r="V40" s="652">
        <v>0</v>
      </c>
      <c r="W40" s="652">
        <v>0</v>
      </c>
      <c r="X40" s="652">
        <v>1600</v>
      </c>
      <c r="Y40" s="652" t="s">
        <v>50</v>
      </c>
      <c r="Z40" s="654" t="s">
        <v>156</v>
      </c>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23333.7</v>
      </c>
      <c r="N58" s="610">
        <f>SUM(N28:N57)</f>
        <v>103407.15</v>
      </c>
      <c r="O58" s="610">
        <f t="shared" ref="O58:W58" si="2">SUM(O28:O57)</f>
        <v>147724.5</v>
      </c>
      <c r="P58" s="610">
        <f t="shared" si="2"/>
        <v>174801.42857142858</v>
      </c>
      <c r="Q58" s="610">
        <f t="shared" si="2"/>
        <v>120647.57142857145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1189</v>
      </c>
      <c r="N59" s="610">
        <f t="shared" si="3"/>
        <v>5350.5</v>
      </c>
      <c r="O59" s="610">
        <f t="shared" si="3"/>
        <v>7643.5714285714284</v>
      </c>
      <c r="P59" s="610">
        <f t="shared" si="3"/>
        <v>0</v>
      </c>
      <c r="Q59" s="610">
        <f t="shared" si="3"/>
        <v>15287.142857142859</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5367</v>
      </c>
      <c r="N60" s="610">
        <f ca="1">SUMIF($Z$28:AD57,"tertiair",N28:N57)</f>
        <v>22557</v>
      </c>
      <c r="O60" s="610">
        <f ca="1">SUMIF($Z$28:AE57,"tertiair",O28:O57)</f>
        <v>32224.285714285714</v>
      </c>
      <c r="P60" s="610">
        <f ca="1">SUMIF($Z$28:AF57,"tertiair",P28:P57)</f>
        <v>26211.428571428572</v>
      </c>
      <c r="Q60" s="610">
        <f ca="1">SUMIF($Z$28:AG57,"tertiair",Q28:Q57)</f>
        <v>38237.142857142862</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16777.7</v>
      </c>
      <c r="N61" s="615">
        <f t="shared" si="4"/>
        <v>75499.649999999994</v>
      </c>
      <c r="O61" s="615">
        <f t="shared" si="4"/>
        <v>107856.64285714288</v>
      </c>
      <c r="P61" s="615">
        <f t="shared" si="4"/>
        <v>148590.00000000003</v>
      </c>
      <c r="Q61" s="615">
        <f t="shared" si="4"/>
        <v>67123.285714285725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71977.058823529413</v>
      </c>
      <c r="C101" s="644">
        <f t="shared" si="9"/>
        <v>49678.411764705888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102824.36974789917</v>
      </c>
      <c r="C102" s="647">
        <f t="shared" si="10"/>
        <v>70969.159663865561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95787.385165965941</v>
      </c>
      <c r="C4" s="477">
        <f>huishoudens!C8</f>
        <v>0</v>
      </c>
      <c r="D4" s="477">
        <f>huishoudens!D8</f>
        <v>190367.75045024001</v>
      </c>
      <c r="E4" s="477">
        <f>huishoudens!E8</f>
        <v>4627.9319340663696</v>
      </c>
      <c r="F4" s="477">
        <f>huishoudens!F8</f>
        <v>0</v>
      </c>
      <c r="G4" s="477">
        <f>huishoudens!G8</f>
        <v>0</v>
      </c>
      <c r="H4" s="477">
        <f>huishoudens!H8</f>
        <v>0</v>
      </c>
      <c r="I4" s="477">
        <f>huishoudens!I8</f>
        <v>0</v>
      </c>
      <c r="J4" s="477">
        <f>huishoudens!J8</f>
        <v>5215.8467503753855</v>
      </c>
      <c r="K4" s="477">
        <f>huishoudens!K8</f>
        <v>0</v>
      </c>
      <c r="L4" s="477">
        <f>huishoudens!L8</f>
        <v>0</v>
      </c>
      <c r="M4" s="477">
        <f>huishoudens!M8</f>
        <v>0</v>
      </c>
      <c r="N4" s="477">
        <f>huishoudens!N8</f>
        <v>31228.478925403189</v>
      </c>
      <c r="O4" s="477">
        <f>huishoudens!O8</f>
        <v>1103.7133333333334</v>
      </c>
      <c r="P4" s="478">
        <f>huishoudens!P8</f>
        <v>1601.6</v>
      </c>
      <c r="Q4" s="479">
        <f>SUM(B4:P4)</f>
        <v>329932.70655938424</v>
      </c>
    </row>
    <row r="5" spans="1:17">
      <c r="A5" s="476" t="s">
        <v>156</v>
      </c>
      <c r="B5" s="477">
        <f ca="1">tertiair!B16</f>
        <v>152646.23677710001</v>
      </c>
      <c r="C5" s="477">
        <f ca="1">tertiair!C16</f>
        <v>32224.285714285714</v>
      </c>
      <c r="D5" s="477">
        <f ca="1">tertiair!D16</f>
        <v>64066.070232263628</v>
      </c>
      <c r="E5" s="477">
        <f>tertiair!E16</f>
        <v>2116.4268525035291</v>
      </c>
      <c r="F5" s="477">
        <f ca="1">tertiair!F16</f>
        <v>32479.975148341095</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10.943333333333335</v>
      </c>
      <c r="P5" s="478">
        <f>tertiair!P16</f>
        <v>57.2</v>
      </c>
      <c r="Q5" s="476">
        <f t="shared" ref="Q5:Q14" ca="1" si="0">SUM(B5:P5)</f>
        <v>283601.13805782731</v>
      </c>
    </row>
    <row r="6" spans="1:17">
      <c r="A6" s="476" t="s">
        <v>194</v>
      </c>
      <c r="B6" s="477">
        <f>'openbare verlichting'!B8</f>
        <v>3098.2829999999999</v>
      </c>
      <c r="C6" s="477"/>
      <c r="D6" s="477"/>
      <c r="E6" s="477"/>
      <c r="F6" s="477"/>
      <c r="G6" s="477"/>
      <c r="H6" s="477"/>
      <c r="I6" s="477"/>
      <c r="J6" s="477"/>
      <c r="K6" s="477"/>
      <c r="L6" s="477"/>
      <c r="M6" s="477"/>
      <c r="N6" s="477"/>
      <c r="O6" s="477"/>
      <c r="P6" s="478"/>
      <c r="Q6" s="476">
        <f t="shared" si="0"/>
        <v>3098.2829999999999</v>
      </c>
    </row>
    <row r="7" spans="1:17">
      <c r="A7" s="476" t="s">
        <v>112</v>
      </c>
      <c r="B7" s="477">
        <f>landbouw!B8</f>
        <v>10130.945729519999</v>
      </c>
      <c r="C7" s="477">
        <f>landbouw!C8</f>
        <v>107856.64285714288</v>
      </c>
      <c r="D7" s="477">
        <f>landbouw!D8</f>
        <v>0</v>
      </c>
      <c r="E7" s="477">
        <f>landbouw!E8</f>
        <v>261.23819202994082</v>
      </c>
      <c r="F7" s="477">
        <f>landbouw!F8</f>
        <v>37030.535986287716</v>
      </c>
      <c r="G7" s="477">
        <f>landbouw!G8</f>
        <v>0</v>
      </c>
      <c r="H7" s="477">
        <f>landbouw!H8</f>
        <v>0</v>
      </c>
      <c r="I7" s="477">
        <f>landbouw!I8</f>
        <v>0</v>
      </c>
      <c r="J7" s="477">
        <f>landbouw!J8</f>
        <v>1458.4835014244914</v>
      </c>
      <c r="K7" s="477">
        <f>landbouw!K8</f>
        <v>0</v>
      </c>
      <c r="L7" s="477">
        <f>landbouw!L8</f>
        <v>0</v>
      </c>
      <c r="M7" s="477">
        <f>landbouw!M8</f>
        <v>0</v>
      </c>
      <c r="N7" s="477">
        <f>landbouw!N8</f>
        <v>0</v>
      </c>
      <c r="O7" s="477">
        <f>landbouw!O8</f>
        <v>0</v>
      </c>
      <c r="P7" s="478">
        <f>landbouw!P8</f>
        <v>0</v>
      </c>
      <c r="Q7" s="476">
        <f t="shared" si="0"/>
        <v>156737.84626640502</v>
      </c>
    </row>
    <row r="8" spans="1:17">
      <c r="A8" s="476" t="s">
        <v>638</v>
      </c>
      <c r="B8" s="477">
        <f>industrie!B18</f>
        <v>83429.969674006992</v>
      </c>
      <c r="C8" s="477">
        <f>industrie!C18</f>
        <v>7643.5714285714284</v>
      </c>
      <c r="D8" s="477">
        <f>industrie!D18</f>
        <v>49859.636318740755</v>
      </c>
      <c r="E8" s="477">
        <f>industrie!E18</f>
        <v>4665.273116134229</v>
      </c>
      <c r="F8" s="477">
        <f>industrie!F18</f>
        <v>17983.30302600974</v>
      </c>
      <c r="G8" s="477">
        <f>industrie!G18</f>
        <v>0</v>
      </c>
      <c r="H8" s="477">
        <f>industrie!H18</f>
        <v>0</v>
      </c>
      <c r="I8" s="477">
        <f>industrie!I18</f>
        <v>0</v>
      </c>
      <c r="J8" s="477">
        <f>industrie!J18</f>
        <v>419.33500812322148</v>
      </c>
      <c r="K8" s="477">
        <f>industrie!K18</f>
        <v>0</v>
      </c>
      <c r="L8" s="477">
        <f>industrie!L18</f>
        <v>0</v>
      </c>
      <c r="M8" s="477">
        <f>industrie!M18</f>
        <v>0</v>
      </c>
      <c r="N8" s="477">
        <f>industrie!N18</f>
        <v>0</v>
      </c>
      <c r="O8" s="477">
        <f>industrie!O18</f>
        <v>0</v>
      </c>
      <c r="P8" s="478">
        <f>industrie!P18</f>
        <v>0</v>
      </c>
      <c r="Q8" s="476">
        <f t="shared" si="0"/>
        <v>164001.08857158636</v>
      </c>
    </row>
    <row r="9" spans="1:17" s="482" customFormat="1">
      <c r="A9" s="480" t="s">
        <v>564</v>
      </c>
      <c r="B9" s="481">
        <f>transport!B14</f>
        <v>130.68450628342256</v>
      </c>
      <c r="C9" s="481">
        <f>transport!C14</f>
        <v>0</v>
      </c>
      <c r="D9" s="481">
        <f>transport!D14</f>
        <v>302.46567579387255</v>
      </c>
      <c r="E9" s="481">
        <f>transport!E14</f>
        <v>1312.3533389658737</v>
      </c>
      <c r="F9" s="481">
        <f>transport!F14</f>
        <v>0</v>
      </c>
      <c r="G9" s="481">
        <f>transport!G14</f>
        <v>653055.67043453467</v>
      </c>
      <c r="H9" s="481">
        <f>transport!H14</f>
        <v>83043.905979062241</v>
      </c>
      <c r="I9" s="481">
        <f>transport!I14</f>
        <v>0</v>
      </c>
      <c r="J9" s="481">
        <f>transport!J14</f>
        <v>0</v>
      </c>
      <c r="K9" s="481">
        <f>transport!K14</f>
        <v>0</v>
      </c>
      <c r="L9" s="481">
        <f>transport!L14</f>
        <v>0</v>
      </c>
      <c r="M9" s="481">
        <f>transport!M14</f>
        <v>23061.212050704824</v>
      </c>
      <c r="N9" s="481">
        <f>transport!N14</f>
        <v>0</v>
      </c>
      <c r="O9" s="481">
        <f>transport!O14</f>
        <v>0</v>
      </c>
      <c r="P9" s="481">
        <f>transport!P14</f>
        <v>0</v>
      </c>
      <c r="Q9" s="480">
        <f>SUM(B9:P9)</f>
        <v>760906.29198534496</v>
      </c>
    </row>
    <row r="10" spans="1:17">
      <c r="A10" s="476" t="s">
        <v>554</v>
      </c>
      <c r="B10" s="477">
        <f>transport!B54</f>
        <v>0</v>
      </c>
      <c r="C10" s="477">
        <f>transport!C54</f>
        <v>0</v>
      </c>
      <c r="D10" s="477">
        <f>transport!D54</f>
        <v>0</v>
      </c>
      <c r="E10" s="477">
        <f>transport!E54</f>
        <v>0</v>
      </c>
      <c r="F10" s="477">
        <f>transport!F54</f>
        <v>0</v>
      </c>
      <c r="G10" s="477">
        <f>transport!G54</f>
        <v>3849.55145986854</v>
      </c>
      <c r="H10" s="477">
        <f>transport!H54</f>
        <v>0</v>
      </c>
      <c r="I10" s="477">
        <f>transport!I54</f>
        <v>0</v>
      </c>
      <c r="J10" s="477">
        <f>transport!J54</f>
        <v>0</v>
      </c>
      <c r="K10" s="477">
        <f>transport!K54</f>
        <v>0</v>
      </c>
      <c r="L10" s="477">
        <f>transport!L54</f>
        <v>0</v>
      </c>
      <c r="M10" s="477">
        <f>transport!M54</f>
        <v>119.40447413754873</v>
      </c>
      <c r="N10" s="477">
        <f>transport!N54</f>
        <v>0</v>
      </c>
      <c r="O10" s="477">
        <f>transport!O54</f>
        <v>0</v>
      </c>
      <c r="P10" s="478">
        <f>transport!P54</f>
        <v>0</v>
      </c>
      <c r="Q10" s="476">
        <f t="shared" si="0"/>
        <v>3968.9559340060887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7946.4897967999996</v>
      </c>
      <c r="C14" s="484"/>
      <c r="D14" s="484">
        <f>'SEAP template'!E25</f>
        <v>6027.2748562000006</v>
      </c>
      <c r="E14" s="484"/>
      <c r="F14" s="484"/>
      <c r="G14" s="484"/>
      <c r="H14" s="484"/>
      <c r="I14" s="484"/>
      <c r="J14" s="484"/>
      <c r="K14" s="484"/>
      <c r="L14" s="484"/>
      <c r="M14" s="484"/>
      <c r="N14" s="484"/>
      <c r="O14" s="484"/>
      <c r="P14" s="485"/>
      <c r="Q14" s="476">
        <f t="shared" si="0"/>
        <v>13973.764653</v>
      </c>
    </row>
    <row r="15" spans="1:17" s="486" customFormat="1">
      <c r="A15" s="1038" t="s">
        <v>558</v>
      </c>
      <c r="B15" s="978">
        <f ca="1">SUM(B4:B14)</f>
        <v>353169.99464967637</v>
      </c>
      <c r="C15" s="978">
        <f t="shared" ref="C15:Q15" ca="1" si="1">SUM(C4:C14)</f>
        <v>147724.50000000003</v>
      </c>
      <c r="D15" s="978">
        <f t="shared" ca="1" si="1"/>
        <v>310623.19753323827</v>
      </c>
      <c r="E15" s="978">
        <f t="shared" si="1"/>
        <v>12983.223433699943</v>
      </c>
      <c r="F15" s="978">
        <f t="shared" ca="1" si="1"/>
        <v>87493.814160638562</v>
      </c>
      <c r="G15" s="978">
        <f t="shared" si="1"/>
        <v>656905.22189440322</v>
      </c>
      <c r="H15" s="978">
        <f t="shared" si="1"/>
        <v>83043.905979062241</v>
      </c>
      <c r="I15" s="978">
        <f t="shared" si="1"/>
        <v>0</v>
      </c>
      <c r="J15" s="978">
        <f t="shared" si="1"/>
        <v>7093.6652599230974</v>
      </c>
      <c r="K15" s="978">
        <f t="shared" si="1"/>
        <v>0</v>
      </c>
      <c r="L15" s="978">
        <f t="shared" ca="1" si="1"/>
        <v>0</v>
      </c>
      <c r="M15" s="978">
        <f t="shared" si="1"/>
        <v>23180.616524842371</v>
      </c>
      <c r="N15" s="978">
        <f t="shared" ca="1" si="1"/>
        <v>31228.478925403189</v>
      </c>
      <c r="O15" s="978">
        <f t="shared" si="1"/>
        <v>1114.6566666666668</v>
      </c>
      <c r="P15" s="978">
        <f t="shared" si="1"/>
        <v>1658.8</v>
      </c>
      <c r="Q15" s="978">
        <f t="shared" ca="1" si="1"/>
        <v>1716220.0750275541</v>
      </c>
    </row>
    <row r="17" spans="1:17">
      <c r="A17" s="487" t="s">
        <v>559</v>
      </c>
      <c r="B17" s="786">
        <f ca="1">huishoudens!B10</f>
        <v>0.10194004592802304</v>
      </c>
      <c r="C17" s="786">
        <f ca="1">huishoudens!C10</f>
        <v>0.14060310029193282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9764.5704431438007</v>
      </c>
      <c r="C22" s="477">
        <f t="shared" ref="C22:C32" ca="1" si="3">C4*$C$17</f>
        <v>0</v>
      </c>
      <c r="D22" s="477">
        <f t="shared" ref="D22:D32" si="4">D4*$D$17</f>
        <v>38454.285590948486</v>
      </c>
      <c r="E22" s="477">
        <f t="shared" ref="E22:E32" si="5">E4*$E$17</f>
        <v>1050.5405490330659</v>
      </c>
      <c r="F22" s="477">
        <f t="shared" ref="F22:F32" si="6">F4*$F$17</f>
        <v>0</v>
      </c>
      <c r="G22" s="477">
        <f t="shared" ref="G22:G32" si="7">G4*$G$17</f>
        <v>0</v>
      </c>
      <c r="H22" s="477">
        <f t="shared" ref="H22:H32" si="8">H4*$H$17</f>
        <v>0</v>
      </c>
      <c r="I22" s="477">
        <f t="shared" ref="I22:I32" si="9">I4*$I$17</f>
        <v>0</v>
      </c>
      <c r="J22" s="477">
        <f t="shared" ref="J22:J32" si="10">J4*$J$17</f>
        <v>1846.4097496328864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51115.806332758235</v>
      </c>
    </row>
    <row r="23" spans="1:17">
      <c r="A23" s="476" t="s">
        <v>156</v>
      </c>
      <c r="B23" s="477">
        <f t="shared" ca="1" si="2"/>
        <v>15560.764387797455</v>
      </c>
      <c r="C23" s="477">
        <f t="shared" ca="1" si="3"/>
        <v>4530.8344761216122</v>
      </c>
      <c r="D23" s="477">
        <f t="shared" ca="1" si="4"/>
        <v>12941.346186917253</v>
      </c>
      <c r="E23" s="477">
        <f t="shared" si="5"/>
        <v>480.42889551830109</v>
      </c>
      <c r="F23" s="477">
        <f t="shared" ca="1" si="6"/>
        <v>8672.1533646070729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42185.527310961697</v>
      </c>
    </row>
    <row r="24" spans="1:17">
      <c r="A24" s="476" t="s">
        <v>194</v>
      </c>
      <c r="B24" s="477">
        <f t="shared" ca="1" si="2"/>
        <v>315.83911131801301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315.83911131801301</v>
      </c>
    </row>
    <row r="25" spans="1:17">
      <c r="A25" s="476" t="s">
        <v>112</v>
      </c>
      <c r="B25" s="477">
        <f t="shared" ca="1" si="2"/>
        <v>1032.7490729615777</v>
      </c>
      <c r="C25" s="477">
        <f t="shared" ca="1" si="3"/>
        <v>15164.978372794041</v>
      </c>
      <c r="D25" s="477">
        <f t="shared" si="4"/>
        <v>0</v>
      </c>
      <c r="E25" s="477">
        <f t="shared" si="5"/>
        <v>59.301069590796565</v>
      </c>
      <c r="F25" s="477">
        <f t="shared" si="6"/>
        <v>9887.1531083388199</v>
      </c>
      <c r="G25" s="477">
        <f t="shared" si="7"/>
        <v>0</v>
      </c>
      <c r="H25" s="477">
        <f t="shared" si="8"/>
        <v>0</v>
      </c>
      <c r="I25" s="477">
        <f t="shared" si="9"/>
        <v>0</v>
      </c>
      <c r="J25" s="477">
        <f t="shared" si="10"/>
        <v>516.30315950426996</v>
      </c>
      <c r="K25" s="477">
        <f t="shared" si="11"/>
        <v>0</v>
      </c>
      <c r="L25" s="477">
        <f t="shared" si="12"/>
        <v>0</v>
      </c>
      <c r="M25" s="477">
        <f t="shared" si="13"/>
        <v>0</v>
      </c>
      <c r="N25" s="477">
        <f t="shared" si="14"/>
        <v>0</v>
      </c>
      <c r="O25" s="477">
        <f t="shared" si="15"/>
        <v>0</v>
      </c>
      <c r="P25" s="478">
        <f t="shared" si="16"/>
        <v>0</v>
      </c>
      <c r="Q25" s="476">
        <f t="shared" ca="1" si="17"/>
        <v>26660.484783189506</v>
      </c>
    </row>
    <row r="26" spans="1:17">
      <c r="A26" s="476" t="s">
        <v>638</v>
      </c>
      <c r="B26" s="477">
        <f t="shared" ca="1" si="2"/>
        <v>8504.8549403418419</v>
      </c>
      <c r="C26" s="477">
        <f t="shared" ca="1" si="3"/>
        <v>1074.7098401599808</v>
      </c>
      <c r="D26" s="477">
        <f t="shared" si="4"/>
        <v>10071.646536385633</v>
      </c>
      <c r="E26" s="477">
        <f t="shared" si="5"/>
        <v>1059.01699736247</v>
      </c>
      <c r="F26" s="477">
        <f t="shared" si="6"/>
        <v>4801.541907944601</v>
      </c>
      <c r="G26" s="477">
        <f t="shared" si="7"/>
        <v>0</v>
      </c>
      <c r="H26" s="477">
        <f t="shared" si="8"/>
        <v>0</v>
      </c>
      <c r="I26" s="477">
        <f t="shared" si="9"/>
        <v>0</v>
      </c>
      <c r="J26" s="477">
        <f t="shared" si="10"/>
        <v>148.4445928756204</v>
      </c>
      <c r="K26" s="477">
        <f t="shared" si="11"/>
        <v>0</v>
      </c>
      <c r="L26" s="477">
        <f t="shared" si="12"/>
        <v>0</v>
      </c>
      <c r="M26" s="477">
        <f t="shared" si="13"/>
        <v>0</v>
      </c>
      <c r="N26" s="477">
        <f t="shared" si="14"/>
        <v>0</v>
      </c>
      <c r="O26" s="477">
        <f t="shared" si="15"/>
        <v>0</v>
      </c>
      <c r="P26" s="478">
        <f t="shared" si="16"/>
        <v>0</v>
      </c>
      <c r="Q26" s="476">
        <f t="shared" ca="1" si="17"/>
        <v>25660.214815070147</v>
      </c>
    </row>
    <row r="27" spans="1:17" s="482" customFormat="1">
      <c r="A27" s="480" t="s">
        <v>564</v>
      </c>
      <c r="B27" s="780">
        <f t="shared" ca="1" si="2"/>
        <v>13.321984572613111</v>
      </c>
      <c r="C27" s="481">
        <f t="shared" ca="1" si="3"/>
        <v>0</v>
      </c>
      <c r="D27" s="481">
        <f t="shared" si="4"/>
        <v>61.098066510362258</v>
      </c>
      <c r="E27" s="481">
        <f t="shared" si="5"/>
        <v>297.90420794525335</v>
      </c>
      <c r="F27" s="481">
        <f t="shared" si="6"/>
        <v>0</v>
      </c>
      <c r="G27" s="481">
        <f t="shared" si="7"/>
        <v>174365.86400602077</v>
      </c>
      <c r="H27" s="481">
        <f t="shared" si="8"/>
        <v>20677.932588786498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195416.12085383548</v>
      </c>
    </row>
    <row r="28" spans="1:17">
      <c r="A28" s="476" t="s">
        <v>554</v>
      </c>
      <c r="B28" s="477">
        <f t="shared" ca="1" si="2"/>
        <v>0</v>
      </c>
      <c r="C28" s="477">
        <f t="shared" ca="1" si="3"/>
        <v>0</v>
      </c>
      <c r="D28" s="477">
        <f t="shared" si="4"/>
        <v>0</v>
      </c>
      <c r="E28" s="477">
        <f t="shared" si="5"/>
        <v>0</v>
      </c>
      <c r="F28" s="477">
        <f t="shared" si="6"/>
        <v>0</v>
      </c>
      <c r="G28" s="477">
        <f t="shared" si="7"/>
        <v>1027.8302397849002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1027.8302397849002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810.06553485235838</v>
      </c>
      <c r="C32" s="477">
        <f t="shared" ca="1" si="3"/>
        <v>0</v>
      </c>
      <c r="D32" s="477">
        <f t="shared" si="4"/>
        <v>1217.5095209524002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2027.5750558047584</v>
      </c>
    </row>
    <row r="33" spans="1:17" s="486" customFormat="1">
      <c r="A33" s="1038" t="s">
        <v>558</v>
      </c>
      <c r="B33" s="978">
        <f ca="1">SUM(B22:B32)</f>
        <v>36002.165474987654</v>
      </c>
      <c r="C33" s="978">
        <f t="shared" ref="C33:Q33" ca="1" si="18">SUM(C22:C32)</f>
        <v>20770.522689075631</v>
      </c>
      <c r="D33" s="978">
        <f t="shared" ca="1" si="18"/>
        <v>62745.885901714137</v>
      </c>
      <c r="E33" s="978">
        <f t="shared" si="18"/>
        <v>2947.1917194498869</v>
      </c>
      <c r="F33" s="978">
        <f t="shared" ca="1" si="18"/>
        <v>23360.848380890493</v>
      </c>
      <c r="G33" s="978">
        <f t="shared" si="18"/>
        <v>175393.69424580567</v>
      </c>
      <c r="H33" s="978">
        <f t="shared" si="18"/>
        <v>20677.932588786498</v>
      </c>
      <c r="I33" s="978">
        <f t="shared" si="18"/>
        <v>0</v>
      </c>
      <c r="J33" s="978">
        <f t="shared" si="18"/>
        <v>2511.1575020127766</v>
      </c>
      <c r="K33" s="978">
        <f t="shared" si="18"/>
        <v>0</v>
      </c>
      <c r="L33" s="978">
        <f t="shared" ca="1" si="18"/>
        <v>0</v>
      </c>
      <c r="M33" s="978">
        <f t="shared" si="18"/>
        <v>0</v>
      </c>
      <c r="N33" s="978">
        <f t="shared" ca="1" si="18"/>
        <v>0</v>
      </c>
      <c r="O33" s="978">
        <f t="shared" si="18"/>
        <v>0</v>
      </c>
      <c r="P33" s="978">
        <f t="shared" si="18"/>
        <v>0</v>
      </c>
      <c r="Q33" s="978">
        <f t="shared" ca="1" si="18"/>
        <v>344409.39850272273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105390.11487758375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47255.989533926462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42226.65</v>
      </c>
      <c r="C8" s="1055">
        <f>'SEAP template'!C76</f>
        <v>61180.499999999993</v>
      </c>
      <c r="D8" s="1055">
        <f>'SEAP template'!D76</f>
        <v>71977.058823529413</v>
      </c>
      <c r="E8" s="1055">
        <f>'SEAP template'!E76</f>
        <v>0</v>
      </c>
      <c r="F8" s="1055">
        <f>'SEAP template'!F76</f>
        <v>0</v>
      </c>
      <c r="G8" s="1055">
        <f>'SEAP template'!G76</f>
        <v>0</v>
      </c>
      <c r="H8" s="1055">
        <f>'SEAP template'!H76</f>
        <v>0</v>
      </c>
      <c r="I8" s="1055">
        <f>'SEAP template'!I76</f>
        <v>0</v>
      </c>
      <c r="J8" s="1055">
        <f>'SEAP template'!J76</f>
        <v>49678.411764705888</v>
      </c>
      <c r="K8" s="1055">
        <f>'SEAP template'!K76</f>
        <v>0</v>
      </c>
      <c r="L8" s="1055">
        <f>'SEAP template'!L76</f>
        <v>0</v>
      </c>
      <c r="M8" s="1055">
        <f>'SEAP template'!M76</f>
        <v>0</v>
      </c>
      <c r="N8" s="1055">
        <f>'SEAP template'!N76</f>
        <v>0</v>
      </c>
      <c r="O8" s="1055">
        <f>'SEAP template'!O76</f>
        <v>0</v>
      </c>
      <c r="P8" s="1056">
        <f>'SEAP template'!Q76</f>
        <v>14539.365882352942</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194872.75441151022</v>
      </c>
      <c r="C10" s="1059">
        <f>SUM(C4:C9)</f>
        <v>61180.499999999993</v>
      </c>
      <c r="D10" s="1059">
        <f t="shared" ref="D10:H10" si="0">SUM(D8:D9)</f>
        <v>71977.058823529413</v>
      </c>
      <c r="E10" s="1059">
        <f t="shared" si="0"/>
        <v>0</v>
      </c>
      <c r="F10" s="1059">
        <f t="shared" si="0"/>
        <v>0</v>
      </c>
      <c r="G10" s="1059">
        <f t="shared" si="0"/>
        <v>0</v>
      </c>
      <c r="H10" s="1059">
        <f t="shared" si="0"/>
        <v>0</v>
      </c>
      <c r="I10" s="1059">
        <f>SUM(I8:I9)</f>
        <v>0</v>
      </c>
      <c r="J10" s="1059">
        <f>SUM(J8:J9)</f>
        <v>49678.411764705888</v>
      </c>
      <c r="K10" s="1059">
        <f t="shared" ref="K10:L10" si="1">SUM(K8:K9)</f>
        <v>0</v>
      </c>
      <c r="L10" s="1059">
        <f t="shared" si="1"/>
        <v>0</v>
      </c>
      <c r="M10" s="1059">
        <f>SUM(M8:M9)</f>
        <v>0</v>
      </c>
      <c r="N10" s="1059">
        <f>SUM(N8:N9)</f>
        <v>0</v>
      </c>
      <c r="O10" s="1059">
        <f>SUM(O8:O9)</f>
        <v>0</v>
      </c>
      <c r="P10" s="1059">
        <f>SUM(P8:P9)</f>
        <v>14539.365882352942</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0.10194004592802304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60323.785714285717</v>
      </c>
      <c r="C17" s="1061">
        <f>'SEAP template'!C87</f>
        <v>87400.714285714275</v>
      </c>
      <c r="D17" s="1056">
        <f>'SEAP template'!D87</f>
        <v>102824.36974789917</v>
      </c>
      <c r="E17" s="1056">
        <f>'SEAP template'!E87</f>
        <v>0</v>
      </c>
      <c r="F17" s="1056">
        <f>'SEAP template'!F87</f>
        <v>0</v>
      </c>
      <c r="G17" s="1056">
        <f>'SEAP template'!G87</f>
        <v>0</v>
      </c>
      <c r="H17" s="1056">
        <f>'SEAP template'!H87</f>
        <v>0</v>
      </c>
      <c r="I17" s="1056">
        <f>'SEAP template'!I87</f>
        <v>0</v>
      </c>
      <c r="J17" s="1056">
        <f>'SEAP template'!J87</f>
        <v>70969.159663865561</v>
      </c>
      <c r="K17" s="1056">
        <f>'SEAP template'!K87</f>
        <v>0</v>
      </c>
      <c r="L17" s="1056">
        <f>'SEAP template'!L87</f>
        <v>0</v>
      </c>
      <c r="M17" s="1056">
        <f>'SEAP template'!M87</f>
        <v>0</v>
      </c>
      <c r="N17" s="1056">
        <f>'SEAP template'!N87</f>
        <v>0</v>
      </c>
      <c r="O17" s="1056">
        <f>'SEAP template'!O87</f>
        <v>0</v>
      </c>
      <c r="P17" s="1056">
        <f>'SEAP template'!Q87</f>
        <v>20770.522689075635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60323.785714285717</v>
      </c>
      <c r="C20" s="1059">
        <f>SUM(C17:C19)</f>
        <v>87400.714285714275</v>
      </c>
      <c r="D20" s="1059">
        <f t="shared" ref="D20:H20" si="2">SUM(D17:D19)</f>
        <v>102824.36974789917</v>
      </c>
      <c r="E20" s="1059">
        <f t="shared" si="2"/>
        <v>0</v>
      </c>
      <c r="F20" s="1059">
        <f t="shared" si="2"/>
        <v>0</v>
      </c>
      <c r="G20" s="1059">
        <f t="shared" si="2"/>
        <v>0</v>
      </c>
      <c r="H20" s="1059">
        <f t="shared" si="2"/>
        <v>0</v>
      </c>
      <c r="I20" s="1059">
        <f>SUM(I17:I19)</f>
        <v>0</v>
      </c>
      <c r="J20" s="1059">
        <f>SUM(J17:J19)</f>
        <v>70969.159663865561</v>
      </c>
      <c r="K20" s="1059">
        <f t="shared" ref="K20:L20" si="3">SUM(K17:K19)</f>
        <v>0</v>
      </c>
      <c r="L20" s="1059">
        <f t="shared" si="3"/>
        <v>0</v>
      </c>
      <c r="M20" s="1059">
        <f>SUM(M17:M19)</f>
        <v>0</v>
      </c>
      <c r="N20" s="1059">
        <f>SUM(N17:N19)</f>
        <v>0</v>
      </c>
      <c r="O20" s="1059">
        <f>SUM(O17:O19)</f>
        <v>0</v>
      </c>
      <c r="P20" s="1059">
        <f>SUM(P17:P19)</f>
        <v>20770.522689075635</v>
      </c>
    </row>
    <row r="22" spans="1:16">
      <c r="A22" s="487" t="s">
        <v>871</v>
      </c>
      <c r="B22" s="786" t="s">
        <v>865</v>
      </c>
      <c r="C22" s="786">
        <f ca="1">'EF ele_warmte'!B22</f>
        <v>0.14060310029193282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0.10194004592802304</v>
      </c>
      <c r="C17" s="524">
        <f ca="1">'EF ele_warmte'!B22</f>
        <v>0.14060310029193282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2019-08-12T08:25:57Z</dcterms:modified>
</cp:coreProperties>
</file>