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20" s="1"/>
  <c r="H8"/>
  <c r="O19" i="18"/>
  <c r="K10" i="59"/>
  <c r="C98" i="18"/>
  <c r="C101" s="1"/>
  <c r="D13" i="15"/>
  <c r="B10" i="18"/>
  <c r="L10"/>
  <c r="C13" i="15"/>
  <c r="K90" i="14"/>
  <c r="G10" i="59"/>
  <c r="E20"/>
  <c r="B13" i="15"/>
  <c r="F20" i="18"/>
  <c r="E10" i="59"/>
  <c r="B17" i="18"/>
  <c r="B20" s="1"/>
  <c r="L13" i="15"/>
  <c r="N13"/>
  <c r="O18" i="18"/>
  <c r="G88" i="14"/>
  <c r="F89"/>
  <c r="I101" i="18"/>
  <c r="H8" s="1"/>
  <c r="E101"/>
  <c r="E8" s="1"/>
  <c r="H101"/>
  <c r="G101"/>
  <c r="F101"/>
  <c r="B101"/>
  <c r="C8" s="1"/>
  <c r="I102"/>
  <c r="H17" s="1"/>
  <c r="E102"/>
  <c r="E17" s="1"/>
  <c r="H102"/>
  <c r="D102"/>
  <c r="G102"/>
  <c r="C102"/>
  <c r="F102"/>
  <c r="B102"/>
  <c r="C17" s="1"/>
  <c r="Q14" i="48"/>
  <c r="O24"/>
  <c r="O30"/>
  <c r="P24"/>
  <c r="P30"/>
  <c r="E78" i="14"/>
  <c r="E90"/>
  <c r="N78"/>
  <c r="G90" l="1"/>
  <c r="G18" i="59"/>
  <c r="G20" s="1"/>
  <c r="C89" i="14"/>
  <c r="C19" i="59" s="1"/>
  <c r="F19"/>
  <c r="H10"/>
  <c r="Q77" i="14"/>
  <c r="P9" i="59" s="1"/>
  <c r="N20"/>
  <c r="C77" i="14"/>
  <c r="C9" i="59" s="1"/>
  <c r="D101" i="18"/>
  <c r="O9"/>
  <c r="O90" i="14"/>
  <c r="Q88"/>
  <c r="P18" i="59" s="1"/>
  <c r="B88" i="14"/>
  <c r="B18" i="59" s="1"/>
  <c r="B77" i="14"/>
  <c r="B9" i="59" s="1"/>
  <c r="C88" i="14"/>
  <c r="C18" i="59" s="1"/>
  <c r="B89" i="14"/>
  <c r="B19" i="59" s="1"/>
  <c r="H78" i="14"/>
  <c r="Q89"/>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M78"/>
  <c r="M8" i="59"/>
  <c r="M10" s="1"/>
  <c r="G5" i="48"/>
  <c r="H10" i="14"/>
  <c r="H16" s="1"/>
  <c r="M90"/>
  <c r="M17" i="59"/>
  <c r="M20" s="1"/>
  <c r="F90" i="14"/>
  <c r="F17" i="59"/>
  <c r="F20"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B78" i="14"/>
  <c r="B8" i="59"/>
  <c r="B10" s="1"/>
  <c r="C78" i="14"/>
  <c r="C8" i="59"/>
  <c r="C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5"/>
  <c r="M29"/>
  <c r="M26"/>
  <c r="M30"/>
  <c r="M22"/>
  <c r="M24"/>
  <c r="M23"/>
  <c r="K32"/>
  <c r="K31"/>
  <c r="K25"/>
  <c r="K29"/>
  <c r="K26"/>
  <c r="K28"/>
  <c r="K24"/>
  <c r="K30"/>
  <c r="K27"/>
  <c r="K22"/>
  <c r="J32"/>
  <c r="J29"/>
  <c r="J28"/>
  <c r="J31"/>
  <c r="J27"/>
  <c r="J24"/>
  <c r="J30"/>
  <c r="O4"/>
  <c r="P11" i="14"/>
  <c r="I32" i="48"/>
  <c r="I25"/>
  <c r="I26"/>
  <c r="I28"/>
  <c r="I27"/>
  <c r="I22"/>
  <c r="I30"/>
  <c r="I29"/>
  <c r="I31"/>
  <c r="I24"/>
  <c r="D4"/>
  <c r="D22" s="1"/>
  <c r="E11" i="14"/>
  <c r="H26" i="48"/>
  <c r="H28"/>
  <c r="H32"/>
  <c r="H25"/>
  <c r="H22"/>
  <c r="H30"/>
  <c r="H24"/>
  <c r="H29"/>
  <c r="H23"/>
  <c r="K5"/>
  <c r="L10" i="14"/>
  <c r="L16" s="1"/>
  <c r="L27" s="1"/>
  <c r="D30" i="48"/>
  <c r="D31"/>
  <c r="D29"/>
  <c r="D28"/>
  <c r="D32"/>
  <c r="D24"/>
  <c r="L27"/>
  <c r="L32"/>
  <c r="L31"/>
  <c r="L29"/>
  <c r="L22"/>
  <c r="L28"/>
  <c r="L30"/>
  <c r="L24"/>
  <c r="Q10" i="14"/>
  <c r="P5" i="48"/>
  <c r="P23" s="1"/>
  <c r="B7"/>
  <c r="C24" i="14"/>
  <c r="C26" s="1"/>
  <c r="Q11"/>
  <c r="P4" i="48"/>
  <c r="C4"/>
  <c r="D11" i="14"/>
  <c r="G32" i="48"/>
  <c r="G24"/>
  <c r="G26"/>
  <c r="G22"/>
  <c r="G30"/>
  <c r="G25"/>
  <c r="G29"/>
  <c r="G23"/>
  <c r="B4"/>
  <c r="C11" i="14"/>
  <c r="F28" i="48"/>
  <c r="F27"/>
  <c r="F32"/>
  <c r="F31"/>
  <c r="F30"/>
  <c r="F29"/>
  <c r="F24"/>
  <c r="N28"/>
  <c r="N27"/>
  <c r="N32"/>
  <c r="N31"/>
  <c r="N24"/>
  <c r="N29"/>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I5"/>
  <c r="J10" i="14"/>
  <c r="J16" s="1"/>
  <c r="J27" s="1"/>
  <c r="O22" i="48"/>
  <c r="M12" i="22"/>
  <c r="M13" i="48"/>
  <c r="M31" s="1"/>
  <c r="N18" i="14"/>
  <c r="K23" i="48"/>
  <c r="K15"/>
  <c r="G13"/>
  <c r="H18" i="14"/>
  <c r="H13" i="48"/>
  <c r="H31" s="1"/>
  <c r="I18" i="14"/>
  <c r="J46"/>
  <c r="J61" s="1"/>
  <c r="K33" i="48"/>
  <c r="J7"/>
  <c r="J25" s="1"/>
  <c r="K24" i="14"/>
  <c r="K26" s="1"/>
  <c r="P22" i="48"/>
  <c r="C20" i="14"/>
  <c r="C22" s="1"/>
  <c r="B9" i="48"/>
  <c r="F4"/>
  <c r="F22" s="1"/>
  <c r="G11" i="14"/>
  <c r="P8" i="48"/>
  <c r="P26" s="1"/>
  <c r="Q13" i="14"/>
  <c r="Q16" s="1"/>
  <c r="Q27" s="1"/>
  <c r="Q63" s="1"/>
  <c r="F20"/>
  <c r="F22" s="1"/>
  <c r="E9" i="48"/>
  <c r="E27" s="1"/>
  <c r="J12" i="17"/>
  <c r="K54" i="14" s="1"/>
  <c r="K56"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E4" i="48"/>
  <c r="F11" i="14"/>
  <c r="N4" i="48"/>
  <c r="N22" s="1"/>
  <c r="O11" i="14"/>
  <c r="G10" i="48"/>
  <c r="H19" i="14"/>
  <c r="I22"/>
  <c r="I27" s="1"/>
  <c r="P15" i="48"/>
  <c r="H20" i="14"/>
  <c r="G9" i="48"/>
  <c r="I23"/>
  <c r="I33" s="1"/>
  <c r="I15"/>
  <c r="I20" i="14"/>
  <c r="H9" i="48"/>
  <c r="G31"/>
  <c r="Q13"/>
  <c r="M10"/>
  <c r="M28" s="1"/>
  <c r="N19" i="14"/>
  <c r="H22"/>
  <c r="H27" s="1"/>
  <c r="R18"/>
  <c r="J4" i="48"/>
  <c r="K11" i="14"/>
  <c r="F24"/>
  <c r="F26" s="1"/>
  <c r="E7" i="48"/>
  <c r="E25" s="1"/>
  <c r="O22" i="16"/>
  <c r="P43" i="14" s="1"/>
  <c r="O8" i="48"/>
  <c r="P13" i="14"/>
  <c r="J63"/>
  <c r="P46"/>
  <c r="P61" s="1"/>
  <c r="P33" i="48"/>
  <c r="P16" i="14"/>
  <c r="P27" s="1"/>
  <c r="M14" i="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Q9" i="48" l="1"/>
  <c r="O26"/>
  <c r="O33" s="1"/>
  <c r="O15"/>
  <c r="G28"/>
  <c r="Q10"/>
  <c r="J5"/>
  <c r="J23" s="1"/>
  <c r="K10" i="14"/>
  <c r="H27" i="48"/>
  <c r="H33" s="1"/>
  <c r="H15"/>
  <c r="E22"/>
  <c r="Q4"/>
  <c r="I63" i="14"/>
  <c r="P63"/>
  <c r="R11"/>
  <c r="G27" i="48"/>
  <c r="G15"/>
  <c r="N20" i="14"/>
  <c r="M9" i="48"/>
  <c r="F10" i="14"/>
  <c r="E5" i="48"/>
  <c r="E23" s="1"/>
  <c r="J22"/>
  <c r="R19" i="14"/>
  <c r="Q7" i="48"/>
  <c r="E20" i="15"/>
  <c r="F40" i="14" s="1"/>
  <c r="J18" i="16"/>
  <c r="E18"/>
  <c r="F18"/>
  <c r="F22" s="1"/>
  <c r="G43" i="14" s="1"/>
  <c r="N18" i="16"/>
  <c r="G18" i="22"/>
  <c r="H50" i="14" s="1"/>
  <c r="H52" s="1"/>
  <c r="H61" s="1"/>
  <c r="H63" s="1"/>
  <c r="H18" i="22"/>
  <c r="I50" i="14" s="1"/>
  <c r="I52" s="1"/>
  <c r="I61" s="1"/>
  <c r="G33" i="48" l="1"/>
  <c r="J22" i="16"/>
  <c r="K43" i="14" s="1"/>
  <c r="K46" s="1"/>
  <c r="K61" s="1"/>
  <c r="J8" i="48"/>
  <c r="K13" i="14"/>
  <c r="K16" s="1"/>
  <c r="K27" s="1"/>
  <c r="E8" i="48"/>
  <c r="E26" s="1"/>
  <c r="F13" i="14"/>
  <c r="N22"/>
  <c r="N27" s="1"/>
  <c r="N63" s="1"/>
  <c r="R20"/>
  <c r="R22" s="1"/>
  <c r="M27" i="48"/>
  <c r="M33" s="1"/>
  <c r="M15"/>
  <c r="F16" i="14"/>
  <c r="F27" s="1"/>
  <c r="E22" i="16"/>
  <c r="F43" i="14" s="1"/>
  <c r="F46" s="1"/>
  <c r="F61" s="1"/>
  <c r="F63" s="1"/>
  <c r="E33" i="48"/>
  <c r="E15"/>
  <c r="N8"/>
  <c r="N26" s="1"/>
  <c r="O13" i="14"/>
  <c r="N22" i="16"/>
  <c r="O43" i="14" s="1"/>
  <c r="G13"/>
  <c r="F8" i="48"/>
  <c r="J26" l="1"/>
  <c r="J33" s="1"/>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<sst xmlns="http://schemas.openxmlformats.org/spreadsheetml/2006/main" count="2392" uniqueCount="890">
  <si>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</si>
  <si>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</si>
  <si>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</si>
  <si>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</si>
  <si>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</si>
  <si>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</si>
  <si>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</si>
  <si>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</si>
  <si>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</si>
  <si>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</si>
  <si>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</si>
  <si>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</si>
  <si>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</si>
  <si>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</si>
  <si>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</si>
  <si>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</si>
  <si>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</si>
  <si>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</si>
  <si>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</si>
  <si>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</si>
  <si>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</si>
  <si>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</si>
  <si>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</si>
  <si>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</si>
  <si>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</si>
  <si>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</si>
  <si>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</si>
  <si>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</si>
  <si>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</si>
  <si>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</si>
  <si>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</si>
  <si>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</si>
  <si>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</si>
  <si>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</si>
  <si>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</si>
  <si>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</si>
  <si>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</si>
  <si>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</si>
  <si>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</si>
  <si>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</si>
  <si>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</si>
  <si>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</si>
  <si>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</si>
  <si>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</si>
  <si>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</si>
  <si>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</si>
  <si>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</si>
  <si>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</si>
  <si>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</si>
  <si>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</si>
  <si>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</si>
  <si>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</si>
  <si>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</si>
  <si>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</si>
  <si>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</si>
  <si>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</si>
  <si>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</si>
  <si>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</si>
  <si>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</si>
  <si>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</si>
  <si>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</si>
  <si>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</si>
  <si>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</si>
  <si>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</si>
  <si>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</si>
  <si>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</si>
  <si>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</si>
  <si>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</si>
  <si>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</si>
  <si>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</si>
  <si>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</si>
  <si>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</si>
  <si>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</si>
  <si>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</si>
  <si>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</si>
  <si>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</si>
  <si>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</si>
  <si>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</si>
  <si>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</si>
  <si>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</si>
  <si>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</si>
  <si>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</si>
  <si>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</si>
  <si>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</si>
  <si>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</si>
  <si>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</si>
  <si>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</si>
  <si>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</si>
  <si>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</si>
  <si>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</si>
  <si>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</si>
  <si>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</si>
  <si>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</si>
  <si>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</si>
  <si>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</si>
  <si>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</si>
  <si>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</si>
  <si>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</si>
  <si>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</si>
  <si>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</si>
  <si>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</si>
  <si>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</si>
  <si>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</si>
  <si>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</si>
  <si>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</si>
  <si>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</si>
  <si>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</si>
  <si>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</si>
  <si>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</si>
  <si>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</si>
  <si>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</si>
  <si>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</si>
  <si>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</si>
  <si>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</si>
  <si>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</si>
  <si>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</si>
  <si>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</si>
  <si>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</si>
  <si>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</si>
  <si>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</si>
  <si>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</si>
  <si>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</si>
  <si>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</si>
  <si>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</si>
  <si>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</si>
  <si>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</si>
  <si>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</si>
  <si>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</si>
  <si>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</si>
  <si>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</si>
  <si>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</si>
  <si>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</si>
  <si>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</si>
  <si>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</si>
  <si>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</si>
  <si>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</si>
  <si>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</si>
  <si>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</si>
  <si>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</si>
  <si>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</si>
  <si>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</si>
  <si>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</si>
  <si>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</si>
  <si>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</si>
  <si>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</si>
  <si>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</si>
  <si>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</si>
  <si>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</si>
  <si>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</si>
  <si>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</si>
  <si>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</si>
  <si>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</si>
  <si>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</si>
  <si>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</si>
  <si>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</si>
  <si>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</si>
  <si>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</si>
  <si>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</si>
  <si>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</si>
  <si>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</si>
  <si>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</si>
  <si>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</si>
  <si>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</si>
  <si>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</si>
  <si>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</si>
  <si>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</si>
  <si>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</si>
  <si>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</si>
  <si>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</si>
  <si>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</si>
  <si>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</si>
  <si>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</si>
  <si>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</si>
  <si>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</si>
  <si>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</si>
  <si>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</si>
  <si>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</si>
  <si>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</si>
  <si>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</si>
  <si>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</si>
  <si>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</si>
  <si>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</si>
  <si>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</si>
  <si>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</si>
  <si>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</si>
  <si>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</si>
  <si>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</si>
  <si>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</si>
  <si>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</si>
  <si>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</si>
  <si>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</si>
  <si>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</si>
  <si>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</si>
  <si>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</si>
  <si>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</si>
  <si>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</si>
  <si>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</si>
  <si>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</si>
  <si>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</si>
  <si>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</si>
  <si>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</si>
  <si>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</si>
  <si>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</si>
  <si>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</si>
  <si>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</si>
  <si>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</si>
  <si>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</si>
  <si>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</si>
  <si>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</si>
  <si>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</si>
  <si>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</si>
  <si>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</si>
  <si>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</si>
  <si>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</si>
  <si>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</si>
  <si>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</si>
  <si>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</si>
  <si>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</si>
  <si>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</si>
  <si>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</si>
  <si>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</si>
  <si>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</si>
  <si>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</si>
  <si>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</si>
  <si>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</si>
  <si>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</si>
  <si>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</si>
  <si>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</si>
  <si>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</si>
  <si>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</si>
  <si>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</si>
  <si>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</si>
  <si>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</si>
  <si>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</si>
  <si>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</si>
  <si>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</si>
  <si>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</si>
  <si>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</si>
  <si>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</si>
  <si>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</si>
  <si>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</si>
  <si>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</si>
  <si>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</si>
  <si>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</si>
  <si>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</si>
  <si>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</si>
  <si>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</si>
  <si>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</si>
  <si>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</si>
  <si>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</si>
  <si>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</si>
  <si>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</si>
  <si>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</si>
  <si>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</si>
  <si>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</si>
  <si>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</si>
  <si>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</si>
  <si>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</si>
  <si>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</si>
  <si>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</si>
  <si>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</si>
  <si>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</si>
  <si>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</si>
  <si>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</si>
  <si>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</si>
  <si>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</si>
  <si>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</si>
  <si>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</si>
  <si>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</si>
  <si>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</si>
  <si>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</si>
  <si>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</si>
  <si>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</si>
  <si>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</si>
  <si>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</si>
  <si>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</si>
  <si>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</si>
  <si>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</si>
  <si>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</si>
  <si>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</si>
  <si>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</si>
  <si>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</si>
  <si>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</si>
  <si>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</si>
  <si>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</si>
  <si>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</si>
  <si>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</si>
  <si>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</si>
  <si>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</si>
  <si>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</si>
  <si>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</si>
  <si>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</si>
  <si>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</si>
  <si>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</si>
  <si>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</si>
  <si>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</si>
  <si>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</si>
  <si>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</si>
  <si>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</si>
  <si>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</si>
  <si>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</si>
  <si>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</si>
  <si>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</si>
  <si>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</si>
  <si>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</si>
  <si>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</si>
  <si>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</si>
  <si>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</si>
  <si>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</si>
  <si>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</si>
  <si>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</si>
  <si>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</si>
  <si>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</si>
  <si>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</si>
  <si>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</si>
  <si>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</si>
  <si>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</si>
  <si>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</si>
  <si>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</si>
  <si>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</si>
  <si>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</si>
  <si>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</si>
  <si>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</si>
  <si>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</si>
  <si>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</si>
  <si>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</si>
  <si>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</si>
  <si>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</si>
  <si>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</si>
  <si>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</si>
  <si>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</si>
  <si>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</si>
  <si>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</si>
  <si>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</si>
  <si>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</si>
  <si>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</si>
  <si>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</si>
  <si>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</si>
  <si>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</si>
  <si>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</si>
  <si>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</si>
  <si>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</si>
  <si>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</si>
  <si>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</si>
  <si>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</si>
  <si>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</si>
  <si>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</si>
  <si>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</si>
  <si>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</si>
  <si>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</si>
  <si>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</si>
  <si>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</si>
  <si>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</si>
  <si>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</si>
  <si>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</si>
  <si>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</si>
  <si>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</si>
  <si>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</si>
  <si>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</si>
  <si>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</si>
  <si>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</si>
  <si>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</si>
  <si>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</si>
  <si>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</si>
  <si>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</si>
  <si>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</si>
  <si>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</si>
  <si>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</si>
  <si>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</si>
  <si>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</si>
  <si>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</si>
  <si>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</si>
  <si>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</si>
  <si>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</si>
  <si>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</si>
  <si>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</si>
  <si>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</si>
  <si>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</si>
  <si>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</si>
  <si>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</si>
  <si>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</si>
  <si>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</si>
  <si>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</si>
  <si>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</si>
  <si>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</si>
  <si>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</si>
  <si>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</si>
  <si>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</si>
  <si>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</si>
  <si>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</si>
  <si>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</si>
  <si>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</si>
  <si>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</si>
  <si>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</si>
  <si>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</si>
  <si>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</si>
  <si>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</si>
  <si>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</si>
  <si>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</si>
  <si>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</si>
  <si>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</si>
  <si>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</si>
  <si>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</si>
  <si>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</si>
  <si>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</si>
  <si>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</si>
  <si>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</si>
  <si>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</si>
  <si>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</si>
  <si>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</si>
  <si>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</si>
  <si>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</si>
  <si>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</si>
  <si>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</si>
  <si>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</si>
  <si>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</si>
  <si>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</si>
  <si>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</si>
  <si>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</si>
  <si>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</si>
  <si>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</si>
  <si>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</si>
  <si>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</si>
  <si>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</si>
  <si>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</si>
  <si>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</si>
  <si>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</si>
  <si>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</si>
  <si>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</si>
  <si>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</si>
  <si>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</si>
  <si>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</si>
  <si>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</si>
  <si>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</si>
  <si>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</si>
  <si>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</si>
  <si>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</si>
  <si>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</si>
  <si>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</si>
  <si>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</si>
  <si>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</si>
  <si>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</si>
  <si>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</si>
  <si>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</si>
  <si>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</si>
  <si>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</si>
  <si>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</si>
  <si>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</si>
  <si>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</si>
  <si>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</si>
  <si>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</si>
  <si>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</si>
  <si>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</si>
  <si>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</si>
  <si>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</si>
  <si>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</si>
  <si>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</si>
  <si>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</si>
  <si>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</si>
  <si>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</si>
  <si>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</si>
  <si>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</si>
  <si>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</si>
  <si>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</si>
  <si>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</si>
  <si>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</si>
  <si>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</si>
  <si>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</si>
  <si>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</si>
  <si>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</si>
  <si>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</si>
  <si>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</si>
  <si>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</si>
  <si>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</si>
  <si>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</si>
  <si>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</si>
  <si>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</si>
  <si>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</si>
  <si>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</si>
  <si>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</si>
  <si>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</si>
  <si>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</si>
  <si>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</si>
  <si>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</si>
  <si>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</si>
  <si>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</si>
  <si>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</si>
  <si>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</si>
  <si>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</si>
  <si>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</si>
  <si>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</si>
  <si>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</si>
  <si>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</si>
  <si>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</si>
  <si>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</si>
  <si>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</si>
  <si>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</si>
  <si>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</si>
  <si>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</si>
  <si>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</si>
  <si>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</si>
  <si>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</si>
  <si>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</si>
  <si>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</si>
  <si>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</si>
  <si>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</si>
  <si>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</si>
  <si>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</si>
  <si>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</si>
  <si>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</si>
  <si>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</si>
  <si>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</si>
  <si>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</si>
  <si>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</si>
  <si>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</si>
  <si>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</si>
  <si>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</si>
  <si>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</si>
  <si>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</si>
  <si>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</si>
  <si>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</si>
  <si>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</si>
  <si>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</si>
  <si>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</si>
  <si>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</si>
  <si>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</si>
  <si>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</si>
  <si>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</si>
  <si>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</si>
  <si>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</si>
  <si>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</si>
  <si>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</si>
  <si>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</si>
  <si>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</si>
  <si>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</si>
  <si>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</si>
  <si>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</si>
  <si>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</si>
  <si>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</si>
  <si>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</si>
  <si>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</si>
  <si>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</si>
  <si>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</si>
  <si>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</si>
  <si>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</si>
  <si>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</si>
  <si>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</si>
  <si>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</si>
  <si>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</si>
  <si>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</si>
  <si>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</si>
  <si>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</si>
  <si>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</si>
  <si>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</si>
  <si>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</si>
  <si>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</si>
  <si>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</si>
  <si>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</si>
  <si>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</si>
  <si>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</si>
  <si>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</si>
  <si>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</si>
  <si>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</si>
  <si>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</si>
  <si>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</si>
  <si>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</si>
  <si>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</si>
  <si>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</si>
  <si>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</si>
  <si>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</si>
  <si>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</si>
  <si>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</si>
  <si>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</si>
  <si>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</si>
  <si>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</si>
  <si>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</si>
  <si>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</si>
  <si>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</si>
  <si>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</si>
  <si>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</si>
  <si>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</si>
  <si>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</si>
  <si>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</si>
  <si>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</si>
  <si>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</si>
  <si>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</si>
  <si>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</si>
  <si>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</si>
  <si>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</si>
  <si>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</si>
  <si>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</si>
  <si>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</si>
  <si>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</si>
  <si>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</si>
  <si>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</si>
  <si>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</si>
  <si>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</si>
  <si>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</si>
  <si>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</si>
  <si>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</si>
  <si>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</si>
  <si>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</si>
  <si>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</si>
  <si>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</si>
  <si>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</si>
  <si>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</si>
  <si>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</si>
  <si>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</si>
  <si>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</si>
  <si>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</si>
  <si>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</si>
  <si>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</si>
  <si>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</si>
  <si>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</si>
  <si>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</si>
  <si>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</si>
  <si>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</si>
  <si>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</si>
  <si>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</si>
  <si>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</si>
  <si>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</si>
  <si>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</si>
  <si>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</si>
  <si>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</si>
  <si>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</si>
  <si>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</si>
  <si>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</si>
  <si>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</si>
  <si>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</si>
  <si>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</si>
  <si>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</si>
  <si>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</si>
  <si>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</si>
  <si>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</si>
  <si>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</si>
  <si>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</si>
  <si>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</si>
  <si>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</si>
  <si>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</si>
  <si>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</si>
  <si>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</si>
  <si>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</si>
  <si>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</si>
  <si>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</si>
  <si>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</si>
  <si>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</si>
  <si>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</si>
  <si>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</si>
  <si>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</si>
  <si>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</si>
  <si>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</si>
  <si>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</si>
  <si>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</si>
  <si>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</si>
  <si>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</si>
  <si>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</si>
  <si>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</si>
  <si>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</si>
  <si>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</si>
  <si>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</si>
  <si>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</si>
  <si>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</si>
  <si>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</si>
  <si>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</si>
  <si>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</si>
  <si>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</si>
  <si>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</si>
  <si>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</si>
  <si>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</si>
  <si>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</si>
  <si>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</si>
  <si>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</si>
  <si>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</si>
  <si>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</si>
  <si>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</si>
  <si>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</si>
  <si>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</si>
  <si>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</si>
  <si>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</si>
  <si>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</si>
  <si>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</si>
  <si>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</si>
  <si>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</si>
  <si>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</si>
  <si>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</si>
  <si>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</si>
  <si>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</si>
  <si>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</si>
  <si>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</si>
  <si>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</si>
  <si>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</si>
  <si>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</si>
  <si>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</si>
  <si>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</si>
  <si>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</si>
  <si>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</si>
  <si>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</si>
  <si>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</si>
  <si>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</si>
  <si>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</si>
  <si>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</si>
  <si>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</si>
  <si>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</si>
  <si>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</si>
  <si>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</si>
  <si>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</si>
  <si>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</si>
  <si>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</si>
  <si>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</si>
  <si>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</si>
  <si>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</si>
  <si>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</si>
  <si>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</si>
  <si>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</si>
  <si>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</si>
  <si>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</si>
  <si>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</si>
  <si>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</si>
  <si>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</si>
  <si>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</si>
  <si>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</si>
  <si>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</si>
  <si>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</si>
  <si>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</si>
  <si>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</si>
  <si>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</si>
  <si>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</si>
  <si>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</si>
  <si>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</si>
  <si>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</si>
  <si>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</si>
  <si>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</si>
  <si>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</si>
  <si>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</si>
  <si>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</si>
  <si>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</si>
  <si>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</si>
  <si>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</si>
  <si>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</si>
  <si>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</si>
  <si>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</si>
  <si>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</si>
  <si>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</si>
  <si>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</si>
  <si>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</si>
  <si>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</si>
  <si>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</si>
  <si>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</si>
  <si>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</si>
  <si>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</si>
  <si>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</si>
  <si>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</si>
  <si>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</si>
  <si>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</si>
  <si>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</si>
  <si>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</si>
  <si>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</si>
  <si>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</si>
  <si>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</si>
  <si>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</si>
  <si>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</si>
  <si>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</si>
  <si>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</si>
  <si>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</si>
  <si>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</si>
  <si>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</si>
  <si>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</si>
  <si>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</si>
  <si>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</si>
  <si>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</si>
  <si>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</si>
  <si>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</si>
  <si>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</si>
  <si>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</si>
  <si>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</si>
  <si>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</si>
  <si>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</si>
  <si>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</si>
  <si>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</si>
  <si>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</si>
  <si>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</si>
  <si>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</si>
  <si>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</si>
  <si>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</si>
  <si>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</si>
  <si>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</si>
  <si>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</si>
  <si>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</si>
  <si>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</si>
  <si>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</si>
  <si>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</si>
  <si>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</si>
  <si>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</si>
  <si>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</si>
  <si>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</si>
  <si>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</si>
  <si>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</si>
  <si>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</si>
  <si>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</si>
  <si>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</si>
  <si>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</si>
  <si>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</si>
  <si>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</si>
  <si>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</si>
  <si>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</si>
  <si>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</si>
  <si>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</si>
  <si>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</si>
  <si>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</si>
  <si>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</si>
  <si>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</si>
  <si>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</si>
  <si>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</si>
  <si>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</si>
  <si>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</si>
  <si>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</si>
  <si>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</si>
  <si>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</si>
  <si>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</si>
  <si>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</si>
  <si>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</si>
  <si>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</si>
  <si>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</si>
  <si>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</si>
  <si>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</si>
  <si>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</si>
  <si>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</si>
  <si>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</si>
  <si>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</si>
  <si>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</si>
  <si>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</si>
  <si>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</si>
  <si>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</si>
  <si>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</si>
  <si>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</si>
  <si>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</si>
  <si>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</si>
  <si>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</si>
  <si>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</si>
  <si>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</si>
  <si>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</si>
  <si>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</si>
  <si>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</si>
  <si>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</si>
  <si>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</si>
  <si>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</si>
  <si>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</si>
  <si>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</si>
  <si>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</si>
  <si>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</si>
  <si>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</si>
  <si>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</si>
  <si>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</si>
  <si>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</si>
  <si>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</si>
  <si>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</si>
  <si>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</si>
  <si>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</si>
  <si>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</si>
  <si>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</si>
  <si>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</si>
  <si>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</si>
  <si>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</si>
  <si>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</si>
  <si>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</si>
  <si>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</si>
  <si>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</si>
  <si>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</si>
  <si>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</si>
  <si>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</si>
  <si>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</si>
  <si>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</si>
  <si>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</si>
  <si>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</si>
  <si>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</si>
  <si>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</si>
  <si>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</si>
  <si>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</si>
  <si>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</si>
  <si>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</si>
  <si>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</si>
  <si>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</si>
  <si>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45064</t>
  </si>
  <si>
    <t>MAARKEDAL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</si>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</sst>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65549.00528013533</c:v>
                </c:pt>
                <c:pt idx="1">
                  <c:v>10389.922352372105</c:v>
                </c:pt>
                <c:pt idx="2">
                  <c:v>499.12700000000001</c:v>
                </c:pt>
                <c:pt idx="3">
                  <c:v>8168.3562018674256</c:v>
                </c:pt>
                <c:pt idx="4">
                  <c:v>1836.1374115353644</c:v>
                </c:pt>
                <c:pt idx="5">
                  <c:v>51185.778519299274</c:v>
                </c:pt>
                <c:pt idx="6">
                  <c:v>780.82284929656089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65549.00528013533</c:v>
                </c:pt>
                <c:pt idx="1">
                  <c:v>10389.922352372105</c:v>
                </c:pt>
                <c:pt idx="2">
                  <c:v>499.12700000000001</c:v>
                </c:pt>
                <c:pt idx="3">
                  <c:v>8168.3562018674256</c:v>
                </c:pt>
                <c:pt idx="4">
                  <c:v>1836.1374115353644</c:v>
                </c:pt>
                <c:pt idx="5">
                  <c:v>51185.778519299274</c:v>
                </c:pt>
                <c:pt idx="6">
                  <c:v>780.82284929656089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13870.457306312039</c:v>
                </c:pt>
                <c:pt idx="2">
                  <c:v>2117.4093206470111</c:v>
                </c:pt>
                <c:pt idx="3">
                  <c:v>102.71074950660709</c:v>
                </c:pt>
                <c:pt idx="4">
                  <c:v>2096.23495491941</c:v>
                </c:pt>
                <c:pt idx="5">
                  <c:v>355.96960269179175</c:v>
                </c:pt>
                <c:pt idx="6">
                  <c:v>13103.515630393471</c:v>
                </c:pt>
                <c:pt idx="7">
                  <c:v>202.20767117763165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13870.457306312039</c:v>
                </c:pt>
                <c:pt idx="2">
                  <c:v>2117.4093206470111</c:v>
                </c:pt>
                <c:pt idx="3">
                  <c:v>102.71074950660709</c:v>
                </c:pt>
                <c:pt idx="4">
                  <c:v>2096.23495491941</c:v>
                </c:pt>
                <c:pt idx="5">
                  <c:v>355.96960269179175</c:v>
                </c:pt>
                <c:pt idx="6">
                  <c:v>13103.515630393471</c:v>
                </c:pt>
                <c:pt idx="7">
                  <c:v>202.20767117763165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45064</v>
      </c>
      <c r="B6" s="415"/>
      <c r="C6" s="416"/>
    </row>
    <row r="7" spans="1:7" s="413" customFormat="1" ht="15.75" customHeight="1">
      <c r="A7" s="417" t="str">
        <f>txtMunicipality</f>
        <v>MAARKEDAL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5132.0780108270001</v>
      </c>
      <c r="D10" s="1012">
        <f ca="1">tertiair!C16</f>
        <v>0</v>
      </c>
      <c r="E10" s="1012">
        <f ca="1">tertiair!D16</f>
        <v>4059.0132042174437</v>
      </c>
      <c r="F10" s="1012">
        <f>tertiair!E16</f>
        <v>81.907609015839824</v>
      </c>
      <c r="G10" s="1012">
        <f ca="1">tertiair!F16</f>
        <v>1219.1883766373255</v>
      </c>
      <c r="H10" s="1012">
        <f>tertiair!G16</f>
        <v>0</v>
      </c>
      <c r="I10" s="1012">
        <f>tertiair!H16</f>
        <v>0</v>
      </c>
      <c r="J10" s="1012">
        <f>tertiair!I16</f>
        <v>0</v>
      </c>
      <c r="K10" s="1012">
        <f>tertiair!J16</f>
        <v>0</v>
      </c>
      <c r="L10" s="1012">
        <f>tertiair!K16</f>
        <v>0</v>
      </c>
      <c r="M10" s="1012">
        <f ca="1">tertiair!L16</f>
        <v>0</v>
      </c>
      <c r="N10" s="1012">
        <f>tertiair!M16</f>
        <v>0</v>
      </c>
      <c r="O10" s="1012">
        <f ca="1">tertiair!N16</f>
        <v>376.23215167449672</v>
      </c>
      <c r="P10" s="1012">
        <f>tertiair!O16</f>
        <v>1.5633333333333335</v>
      </c>
      <c r="Q10" s="1013">
        <f>tertiair!P16</f>
        <v>19.066666666666666</v>
      </c>
      <c r="R10" s="700">
        <f ca="1">SUM(C10:Q10)</f>
        <v>10889.049352372105</v>
      </c>
      <c r="S10" s="67"/>
    </row>
    <row r="11" spans="1:19" s="473" customFormat="1">
      <c r="A11" s="809" t="s">
        <v>225</v>
      </c>
      <c r="B11" s="814"/>
      <c r="C11" s="1012">
        <f>huishoudens!B8</f>
        <v>11752.657454204244</v>
      </c>
      <c r="D11" s="1012">
        <f>huishoudens!C8</f>
        <v>0</v>
      </c>
      <c r="E11" s="1012">
        <f>huishoudens!D8</f>
        <v>6421.8555797770005</v>
      </c>
      <c r="F11" s="1012">
        <f>huishoudens!E8</f>
        <v>3087.3416836334391</v>
      </c>
      <c r="G11" s="1012">
        <f>huishoudens!F8</f>
        <v>30885.32517060007</v>
      </c>
      <c r="H11" s="1012">
        <f>huishoudens!G8</f>
        <v>0</v>
      </c>
      <c r="I11" s="1012">
        <f>huishoudens!H8</f>
        <v>0</v>
      </c>
      <c r="J11" s="1012">
        <f>huishoudens!I8</f>
        <v>0</v>
      </c>
      <c r="K11" s="1012">
        <f>huishoudens!J8</f>
        <v>3411.1947293256226</v>
      </c>
      <c r="L11" s="1012">
        <f>huishoudens!K8</f>
        <v>0</v>
      </c>
      <c r="M11" s="1012">
        <f>huishoudens!L8</f>
        <v>0</v>
      </c>
      <c r="N11" s="1012">
        <f>huishoudens!M8</f>
        <v>0</v>
      </c>
      <c r="O11" s="1012">
        <f>huishoudens!N8</f>
        <v>9346.3806625949437</v>
      </c>
      <c r="P11" s="1012">
        <f>huishoudens!O8</f>
        <v>148.51666666666668</v>
      </c>
      <c r="Q11" s="1013">
        <f>huishoudens!P8</f>
        <v>495.73333333333335</v>
      </c>
      <c r="R11" s="700">
        <f>SUM(C11:Q11)</f>
        <v>65549.00528013533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979.38026243999991</v>
      </c>
      <c r="D13" s="1012">
        <f>industrie!C18</f>
        <v>0</v>
      </c>
      <c r="E13" s="1012">
        <f>industrie!D18</f>
        <v>188.32140455392002</v>
      </c>
      <c r="F13" s="1012">
        <f>industrie!E18</f>
        <v>94.870395848820777</v>
      </c>
      <c r="G13" s="1012">
        <f>industrie!F18</f>
        <v>346.96865957597049</v>
      </c>
      <c r="H13" s="1012">
        <f>industrie!G18</f>
        <v>0</v>
      </c>
      <c r="I13" s="1012">
        <f>industrie!H18</f>
        <v>0</v>
      </c>
      <c r="J13" s="1012">
        <f>industrie!I18</f>
        <v>0</v>
      </c>
      <c r="K13" s="1012">
        <f>industrie!J18</f>
        <v>6.2565555438851952</v>
      </c>
      <c r="L13" s="1012">
        <f>industrie!K18</f>
        <v>0</v>
      </c>
      <c r="M13" s="1012">
        <f>industrie!L18</f>
        <v>0</v>
      </c>
      <c r="N13" s="1012">
        <f>industrie!M18</f>
        <v>0</v>
      </c>
      <c r="O13" s="1012">
        <f>industrie!N18</f>
        <v>220.34013357276808</v>
      </c>
      <c r="P13" s="1012">
        <f>industrie!O18</f>
        <v>0</v>
      </c>
      <c r="Q13" s="1013">
        <f>industrie!P18</f>
        <v>0</v>
      </c>
      <c r="R13" s="700">
        <f>SUM(C13:Q13)</f>
        <v>1836.1374115353644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17864.115727471246</v>
      </c>
      <c r="D16" s="732">
        <f t="shared" ref="D16:R16" ca="1" si="0">SUM(D9:D15)</f>
        <v>0</v>
      </c>
      <c r="E16" s="732">
        <f t="shared" ca="1" si="0"/>
        <v>10669.190188548364</v>
      </c>
      <c r="F16" s="732">
        <f t="shared" si="0"/>
        <v>3264.1196884980995</v>
      </c>
      <c r="G16" s="732">
        <f t="shared" ca="1" si="0"/>
        <v>32451.482206813365</v>
      </c>
      <c r="H16" s="732">
        <f t="shared" si="0"/>
        <v>0</v>
      </c>
      <c r="I16" s="732">
        <f t="shared" si="0"/>
        <v>0</v>
      </c>
      <c r="J16" s="732">
        <f t="shared" si="0"/>
        <v>0</v>
      </c>
      <c r="K16" s="732">
        <f t="shared" si="0"/>
        <v>3417.4512848695076</v>
      </c>
      <c r="L16" s="732">
        <f t="shared" si="0"/>
        <v>0</v>
      </c>
      <c r="M16" s="732">
        <f t="shared" ca="1" si="0"/>
        <v>0</v>
      </c>
      <c r="N16" s="732">
        <f t="shared" si="0"/>
        <v>0</v>
      </c>
      <c r="O16" s="732">
        <f t="shared" ca="1" si="0"/>
        <v>9942.9529478422082</v>
      </c>
      <c r="P16" s="732">
        <f t="shared" si="0"/>
        <v>150.08000000000001</v>
      </c>
      <c r="Q16" s="732">
        <f t="shared" si="0"/>
        <v>514.80000000000007</v>
      </c>
      <c r="R16" s="732">
        <f t="shared" ca="1" si="0"/>
        <v>78274.192044042808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757.3321017888826</v>
      </c>
      <c r="I19" s="1012">
        <f>transport!H54</f>
        <v>0</v>
      </c>
      <c r="J19" s="1012">
        <f>transport!I54</f>
        <v>0</v>
      </c>
      <c r="K19" s="1012">
        <f>transport!J54</f>
        <v>0</v>
      </c>
      <c r="L19" s="1012">
        <f>transport!K54</f>
        <v>0</v>
      </c>
      <c r="M19" s="1012">
        <f>transport!L54</f>
        <v>0</v>
      </c>
      <c r="N19" s="1012">
        <f>transport!M54</f>
        <v>23.490747507678247</v>
      </c>
      <c r="O19" s="1012">
        <f>transport!N54</f>
        <v>0</v>
      </c>
      <c r="P19" s="1012">
        <f>transport!O54</f>
        <v>0</v>
      </c>
      <c r="Q19" s="1013">
        <f>transport!P54</f>
        <v>0</v>
      </c>
      <c r="R19" s="700">
        <f>SUM(C19:Q19)</f>
        <v>780.82284929656089</v>
      </c>
      <c r="S19" s="67"/>
    </row>
    <row r="20" spans="1:19" s="473" customFormat="1">
      <c r="A20" s="809" t="s">
        <v>307</v>
      </c>
      <c r="B20" s="814"/>
      <c r="C20" s="1012">
        <f>transport!B14</f>
        <v>12.431412450360574</v>
      </c>
      <c r="D20" s="1012">
        <f>transport!C14</f>
        <v>0</v>
      </c>
      <c r="E20" s="1012">
        <f>transport!D14</f>
        <v>29.64914781903683</v>
      </c>
      <c r="F20" s="1012">
        <f>transport!E14</f>
        <v>113.3168293293824</v>
      </c>
      <c r="G20" s="1012">
        <f>transport!F14</f>
        <v>0</v>
      </c>
      <c r="H20" s="1012">
        <f>transport!G14</f>
        <v>41545.256141730686</v>
      </c>
      <c r="I20" s="1012">
        <f>transport!H14</f>
        <v>7938.4017932972356</v>
      </c>
      <c r="J20" s="1012">
        <f>transport!I14</f>
        <v>0</v>
      </c>
      <c r="K20" s="1012">
        <f>transport!J14</f>
        <v>0</v>
      </c>
      <c r="L20" s="1012">
        <f>transport!K14</f>
        <v>0</v>
      </c>
      <c r="M20" s="1012">
        <f>transport!L14</f>
        <v>0</v>
      </c>
      <c r="N20" s="1012">
        <f>transport!M14</f>
        <v>1546.7231946725769</v>
      </c>
      <c r="O20" s="1012">
        <f>transport!N14</f>
        <v>0</v>
      </c>
      <c r="P20" s="1012">
        <f>transport!O14</f>
        <v>0</v>
      </c>
      <c r="Q20" s="1013">
        <f>transport!P14</f>
        <v>0</v>
      </c>
      <c r="R20" s="700">
        <f>SUM(C20:Q20)</f>
        <v>51185.778519299274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12.431412450360574</v>
      </c>
      <c r="D22" s="812">
        <f t="shared" ref="D22:R22" si="1">SUM(D18:D21)</f>
        <v>0</v>
      </c>
      <c r="E22" s="812">
        <f t="shared" si="1"/>
        <v>29.64914781903683</v>
      </c>
      <c r="F22" s="812">
        <f t="shared" si="1"/>
        <v>113.3168293293824</v>
      </c>
      <c r="G22" s="812">
        <f t="shared" si="1"/>
        <v>0</v>
      </c>
      <c r="H22" s="812">
        <f t="shared" si="1"/>
        <v>42302.588243519567</v>
      </c>
      <c r="I22" s="812">
        <f t="shared" si="1"/>
        <v>7938.4017932972356</v>
      </c>
      <c r="J22" s="812">
        <f t="shared" si="1"/>
        <v>0</v>
      </c>
      <c r="K22" s="812">
        <f t="shared" si="1"/>
        <v>0</v>
      </c>
      <c r="L22" s="812">
        <f t="shared" si="1"/>
        <v>0</v>
      </c>
      <c r="M22" s="812">
        <f t="shared" si="1"/>
        <v>0</v>
      </c>
      <c r="N22" s="812">
        <f t="shared" si="1"/>
        <v>1570.2139421802551</v>
      </c>
      <c r="O22" s="812">
        <f t="shared" si="1"/>
        <v>0</v>
      </c>
      <c r="P22" s="812">
        <f t="shared" si="1"/>
        <v>0</v>
      </c>
      <c r="Q22" s="812">
        <f t="shared" si="1"/>
        <v>0</v>
      </c>
      <c r="R22" s="812">
        <f t="shared" si="1"/>
        <v>51966.601368595831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1690.92482821</v>
      </c>
      <c r="D24" s="1012">
        <f>+landbouw!C8</f>
        <v>0</v>
      </c>
      <c r="E24" s="1012">
        <f>+landbouw!D8</f>
        <v>9.7456748499440007</v>
      </c>
      <c r="F24" s="1012">
        <f>+landbouw!E8</f>
        <v>43.6024589188129</v>
      </c>
      <c r="G24" s="1012">
        <f>+landbouw!F8</f>
        <v>6180.6522680982225</v>
      </c>
      <c r="H24" s="1012">
        <f>+landbouw!G8</f>
        <v>0</v>
      </c>
      <c r="I24" s="1012">
        <f>+landbouw!H8</f>
        <v>0</v>
      </c>
      <c r="J24" s="1012">
        <f>+landbouw!I8</f>
        <v>0</v>
      </c>
      <c r="K24" s="1012">
        <f>+landbouw!J8</f>
        <v>243.43097179044653</v>
      </c>
      <c r="L24" s="1012">
        <f>+landbouw!K8</f>
        <v>0</v>
      </c>
      <c r="M24" s="1012">
        <f>+landbouw!L8</f>
        <v>0</v>
      </c>
      <c r="N24" s="1012">
        <f>+landbouw!M8</f>
        <v>0</v>
      </c>
      <c r="O24" s="1012">
        <f>+landbouw!N8</f>
        <v>0</v>
      </c>
      <c r="P24" s="1012">
        <f>+landbouw!O8</f>
        <v>0</v>
      </c>
      <c r="Q24" s="1013">
        <f>+landbouw!P8</f>
        <v>0</v>
      </c>
      <c r="R24" s="700">
        <f>SUM(C24:Q24)</f>
        <v>8168.3562018674256</v>
      </c>
      <c r="S24" s="67"/>
    </row>
    <row r="25" spans="1:19" s="473" customFormat="1" ht="15" thickBot="1">
      <c r="A25" s="831" t="s">
        <v>848</v>
      </c>
      <c r="B25" s="1015"/>
      <c r="C25" s="1016">
        <f>IF(Onbekend_ele_kWh="---",0,Onbekend_ele_kWh)/1000+IF(REST_rest_ele_kWh="---",0,REST_rest_ele_kWh)/1000</f>
        <v>508.84596224999996</v>
      </c>
      <c r="D25" s="1016"/>
      <c r="E25" s="1016">
        <f>IF(onbekend_gas_kWh="---",0,onbekend_gas_kWh)/1000+IF(REST_rest_gas_kWh="---",0,REST_rest_gas_kWh)/1000</f>
        <v>324.05669998999997</v>
      </c>
      <c r="F25" s="1016"/>
      <c r="G25" s="1016"/>
      <c r="H25" s="1016"/>
      <c r="I25" s="1016"/>
      <c r="J25" s="1016"/>
      <c r="K25" s="1016"/>
      <c r="L25" s="1016"/>
      <c r="M25" s="1016"/>
      <c r="N25" s="1016"/>
      <c r="O25" s="1016"/>
      <c r="P25" s="1016"/>
      <c r="Q25" s="1017"/>
      <c r="R25" s="700">
        <f>SUM(C25:Q25)</f>
        <v>832.90266223999993</v>
      </c>
      <c r="S25" s="67"/>
    </row>
    <row r="26" spans="1:19" s="473" customFormat="1" ht="15.75" thickBot="1">
      <c r="A26" s="705" t="s">
        <v>849</v>
      </c>
      <c r="B26" s="817"/>
      <c r="C26" s="812">
        <f>SUM(C24:C25)</f>
        <v>2199.7707904600002</v>
      </c>
      <c r="D26" s="812">
        <f t="shared" ref="D26:R26" si="2">SUM(D24:D25)</f>
        <v>0</v>
      </c>
      <c r="E26" s="812">
        <f t="shared" si="2"/>
        <v>333.80237483994398</v>
      </c>
      <c r="F26" s="812">
        <f t="shared" si="2"/>
        <v>43.6024589188129</v>
      </c>
      <c r="G26" s="812">
        <f t="shared" si="2"/>
        <v>6180.6522680982225</v>
      </c>
      <c r="H26" s="812">
        <f t="shared" si="2"/>
        <v>0</v>
      </c>
      <c r="I26" s="812">
        <f t="shared" si="2"/>
        <v>0</v>
      </c>
      <c r="J26" s="812">
        <f t="shared" si="2"/>
        <v>0</v>
      </c>
      <c r="K26" s="812">
        <f t="shared" si="2"/>
        <v>243.43097179044653</v>
      </c>
      <c r="L26" s="812">
        <f t="shared" si="2"/>
        <v>0</v>
      </c>
      <c r="M26" s="812">
        <f t="shared" si="2"/>
        <v>0</v>
      </c>
      <c r="N26" s="812">
        <f t="shared" si="2"/>
        <v>0</v>
      </c>
      <c r="O26" s="812">
        <f t="shared" si="2"/>
        <v>0</v>
      </c>
      <c r="P26" s="812">
        <f t="shared" si="2"/>
        <v>0</v>
      </c>
      <c r="Q26" s="812">
        <f t="shared" si="2"/>
        <v>0</v>
      </c>
      <c r="R26" s="812">
        <f t="shared" si="2"/>
        <v>9001.2588641074253</v>
      </c>
      <c r="S26" s="67"/>
    </row>
    <row r="27" spans="1:19" s="473" customFormat="1" ht="17.25" thickTop="1" thickBot="1">
      <c r="A27" s="706" t="s">
        <v>116</v>
      </c>
      <c r="B27" s="805"/>
      <c r="C27" s="707">
        <f ca="1">C22+C16+C26</f>
        <v>20076.317930381607</v>
      </c>
      <c r="D27" s="707">
        <f t="shared" ref="D27:R27" ca="1" si="3">D22+D16+D26</f>
        <v>0</v>
      </c>
      <c r="E27" s="707">
        <f t="shared" ca="1" si="3"/>
        <v>11032.641711207345</v>
      </c>
      <c r="F27" s="707">
        <f t="shared" si="3"/>
        <v>3421.0389767462948</v>
      </c>
      <c r="G27" s="707">
        <f t="shared" ca="1" si="3"/>
        <v>38632.134474911589</v>
      </c>
      <c r="H27" s="707">
        <f t="shared" si="3"/>
        <v>42302.588243519567</v>
      </c>
      <c r="I27" s="707">
        <f t="shared" si="3"/>
        <v>7938.4017932972356</v>
      </c>
      <c r="J27" s="707">
        <f t="shared" si="3"/>
        <v>0</v>
      </c>
      <c r="K27" s="707">
        <f t="shared" si="3"/>
        <v>3660.8822566599542</v>
      </c>
      <c r="L27" s="707">
        <f t="shared" si="3"/>
        <v>0</v>
      </c>
      <c r="M27" s="707">
        <f t="shared" ca="1" si="3"/>
        <v>0</v>
      </c>
      <c r="N27" s="707">
        <f t="shared" si="3"/>
        <v>1570.2139421802551</v>
      </c>
      <c r="O27" s="707">
        <f t="shared" ca="1" si="3"/>
        <v>9942.9529478422082</v>
      </c>
      <c r="P27" s="707">
        <f t="shared" si="3"/>
        <v>150.08000000000001</v>
      </c>
      <c r="Q27" s="707">
        <f t="shared" si="3"/>
        <v>514.80000000000007</v>
      </c>
      <c r="R27" s="707">
        <f t="shared" ca="1" si="3"/>
        <v>139242.05227674608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1056.0830790929328</v>
      </c>
      <c r="D40" s="1012">
        <f ca="1">tertiair!C20</f>
        <v>0</v>
      </c>
      <c r="E40" s="1012">
        <f ca="1">tertiair!D20</f>
        <v>819.92066725192365</v>
      </c>
      <c r="F40" s="1012">
        <f>tertiair!E20</f>
        <v>18.593027246595639</v>
      </c>
      <c r="G40" s="1012">
        <f ca="1">tertiair!F20</f>
        <v>325.52329656216591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2220.1200701536181</v>
      </c>
    </row>
    <row r="41" spans="1:18">
      <c r="A41" s="822" t="s">
        <v>225</v>
      </c>
      <c r="B41" s="829"/>
      <c r="C41" s="1012">
        <f ca="1">huishoudens!B12</f>
        <v>2418.4711622808036</v>
      </c>
      <c r="D41" s="1012">
        <f ca="1">huishoudens!C12</f>
        <v>0</v>
      </c>
      <c r="E41" s="1012">
        <f>huishoudens!D12</f>
        <v>1297.2148271149542</v>
      </c>
      <c r="F41" s="1012">
        <f>huishoudens!E12</f>
        <v>700.82656218479065</v>
      </c>
      <c r="G41" s="1012">
        <f>huishoudens!F12</f>
        <v>8246.3818205502193</v>
      </c>
      <c r="H41" s="1012">
        <f>huishoudens!G12</f>
        <v>0</v>
      </c>
      <c r="I41" s="1012">
        <f>huishoudens!H12</f>
        <v>0</v>
      </c>
      <c r="J41" s="1012">
        <f>huishoudens!I12</f>
        <v>0</v>
      </c>
      <c r="K41" s="1012">
        <f>huishoudens!J12</f>
        <v>1207.5629341812703</v>
      </c>
      <c r="L41" s="1012">
        <f>huishoudens!K12</f>
        <v>0</v>
      </c>
      <c r="M41" s="1012">
        <f>huishoudens!L12</f>
        <v>0</v>
      </c>
      <c r="N41" s="1012">
        <f>huishoudens!M12</f>
        <v>0</v>
      </c>
      <c r="O41" s="1012">
        <f>huishoudens!N12</f>
        <v>0</v>
      </c>
      <c r="P41" s="1012">
        <f>huishoudens!O12</f>
        <v>0</v>
      </c>
      <c r="Q41" s="774">
        <f>huishoudens!P12</f>
        <v>0</v>
      </c>
      <c r="R41" s="850">
        <f t="shared" ca="1" si="4"/>
        <v>13870.457306312039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201.53764634489806</v>
      </c>
      <c r="D43" s="1012">
        <f ca="1">industrie!C22</f>
        <v>0</v>
      </c>
      <c r="E43" s="1012">
        <f>industrie!D22</f>
        <v>38.040923719891843</v>
      </c>
      <c r="F43" s="1012">
        <f>industrie!E22</f>
        <v>21.535579857682318</v>
      </c>
      <c r="G43" s="1012">
        <f>industrie!F22</f>
        <v>92.640632106784125</v>
      </c>
      <c r="H43" s="1012">
        <f>industrie!G22</f>
        <v>0</v>
      </c>
      <c r="I43" s="1012">
        <f>industrie!H22</f>
        <v>0</v>
      </c>
      <c r="J43" s="1012">
        <f>industrie!I22</f>
        <v>0</v>
      </c>
      <c r="K43" s="1012">
        <f>industrie!J22</f>
        <v>2.214820662535359</v>
      </c>
      <c r="L43" s="1012">
        <f>industrie!K22</f>
        <v>0</v>
      </c>
      <c r="M43" s="1012">
        <f>industrie!L22</f>
        <v>0</v>
      </c>
      <c r="N43" s="1012">
        <f>industrie!M22</f>
        <v>0</v>
      </c>
      <c r="O43" s="1012">
        <f>industrie!N22</f>
        <v>0</v>
      </c>
      <c r="P43" s="1012">
        <f>industrie!O22</f>
        <v>0</v>
      </c>
      <c r="Q43" s="774">
        <f>industrie!P22</f>
        <v>0</v>
      </c>
      <c r="R43" s="849">
        <f t="shared" ca="1" si="4"/>
        <v>355.96960269179175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3676.0918877186346</v>
      </c>
      <c r="D46" s="732">
        <f t="shared" ref="D46:Q46" ca="1" si="5">SUM(D39:D45)</f>
        <v>0</v>
      </c>
      <c r="E46" s="732">
        <f t="shared" ca="1" si="5"/>
        <v>2155.1764180867699</v>
      </c>
      <c r="F46" s="732">
        <f t="shared" si="5"/>
        <v>740.95516928906864</v>
      </c>
      <c r="G46" s="732">
        <f t="shared" ca="1" si="5"/>
        <v>8664.545749219169</v>
      </c>
      <c r="H46" s="732">
        <f t="shared" si="5"/>
        <v>0</v>
      </c>
      <c r="I46" s="732">
        <f t="shared" si="5"/>
        <v>0</v>
      </c>
      <c r="J46" s="732">
        <f t="shared" si="5"/>
        <v>0</v>
      </c>
      <c r="K46" s="732">
        <f t="shared" si="5"/>
        <v>1209.7777548438057</v>
      </c>
      <c r="L46" s="732">
        <f t="shared" si="5"/>
        <v>0</v>
      </c>
      <c r="M46" s="732">
        <f t="shared" ca="1" si="5"/>
        <v>0</v>
      </c>
      <c r="N46" s="732">
        <f t="shared" si="5"/>
        <v>0</v>
      </c>
      <c r="O46" s="732">
        <f t="shared" ca="1" si="5"/>
        <v>0</v>
      </c>
      <c r="P46" s="732">
        <f t="shared" si="5"/>
        <v>0</v>
      </c>
      <c r="Q46" s="732">
        <f t="shared" si="5"/>
        <v>0</v>
      </c>
      <c r="R46" s="732">
        <f ca="1">SUM(R39:R45)</f>
        <v>16446.546979157447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202.20767117763165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202.20767117763165</v>
      </c>
    </row>
    <row r="50" spans="1:18">
      <c r="A50" s="825" t="s">
        <v>307</v>
      </c>
      <c r="B50" s="835"/>
      <c r="C50" s="703">
        <f ca="1">transport!B18</f>
        <v>2.5581459031515053</v>
      </c>
      <c r="D50" s="703">
        <f>transport!C18</f>
        <v>0</v>
      </c>
      <c r="E50" s="703">
        <f>transport!D18</f>
        <v>5.98912785944544</v>
      </c>
      <c r="F50" s="703">
        <f>transport!E18</f>
        <v>25.722920257769808</v>
      </c>
      <c r="G50" s="703">
        <f>transport!F18</f>
        <v>0</v>
      </c>
      <c r="H50" s="703">
        <f>transport!G18</f>
        <v>11092.583389842093</v>
      </c>
      <c r="I50" s="703">
        <f>transport!H18</f>
        <v>1976.6620465310116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13103.515630393471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2.5581459031515053</v>
      </c>
      <c r="D52" s="732">
        <f t="shared" ref="D52:Q52" ca="1" si="6">SUM(D48:D51)</f>
        <v>0</v>
      </c>
      <c r="E52" s="732">
        <f t="shared" si="6"/>
        <v>5.98912785944544</v>
      </c>
      <c r="F52" s="732">
        <f t="shared" si="6"/>
        <v>25.722920257769808</v>
      </c>
      <c r="G52" s="732">
        <f t="shared" si="6"/>
        <v>0</v>
      </c>
      <c r="H52" s="732">
        <f t="shared" si="6"/>
        <v>11294.791061019725</v>
      </c>
      <c r="I52" s="732">
        <f t="shared" si="6"/>
        <v>1976.6620465310116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13305.723301571103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347.95985082910744</v>
      </c>
      <c r="D54" s="703">
        <f ca="1">+landbouw!C12</f>
        <v>0</v>
      </c>
      <c r="E54" s="703">
        <f>+landbouw!D12</f>
        <v>1.9686263196886882</v>
      </c>
      <c r="F54" s="703">
        <f>+landbouw!E12</f>
        <v>9.8977581745705283</v>
      </c>
      <c r="G54" s="703">
        <f>+landbouw!F12</f>
        <v>1650.2341555822254</v>
      </c>
      <c r="H54" s="703">
        <f>+landbouw!G12</f>
        <v>0</v>
      </c>
      <c r="I54" s="703">
        <f>+landbouw!H12</f>
        <v>0</v>
      </c>
      <c r="J54" s="703">
        <f>+landbouw!I12</f>
        <v>0</v>
      </c>
      <c r="K54" s="703">
        <f>+landbouw!J12</f>
        <v>86.17456401381807</v>
      </c>
      <c r="L54" s="703">
        <f>+landbouw!K12</f>
        <v>0</v>
      </c>
      <c r="M54" s="703">
        <f>+landbouw!L12</f>
        <v>0</v>
      </c>
      <c r="N54" s="703">
        <f>+landbouw!M12</f>
        <v>0</v>
      </c>
      <c r="O54" s="703">
        <f>+landbouw!N12</f>
        <v>0</v>
      </c>
      <c r="P54" s="703">
        <f>+landbouw!O12</f>
        <v>0</v>
      </c>
      <c r="Q54" s="704">
        <f>+landbouw!P12</f>
        <v>0</v>
      </c>
      <c r="R54" s="731">
        <f ca="1">SUM(C54:Q54)</f>
        <v>2096.23495491941</v>
      </c>
    </row>
    <row r="55" spans="1:18" ht="15" thickBot="1">
      <c r="A55" s="825" t="s">
        <v>848</v>
      </c>
      <c r="B55" s="835"/>
      <c r="C55" s="703">
        <f ca="1">C25*'EF ele_warmte'!B12</f>
        <v>104.71072525851775</v>
      </c>
      <c r="D55" s="703"/>
      <c r="E55" s="703">
        <f>E25*EF_CO2_aardgas</f>
        <v>65.459453397979999</v>
      </c>
      <c r="F55" s="703"/>
      <c r="G55" s="703"/>
      <c r="H55" s="703"/>
      <c r="I55" s="703"/>
      <c r="J55" s="703"/>
      <c r="K55" s="703"/>
      <c r="L55" s="703"/>
      <c r="M55" s="703"/>
      <c r="N55" s="703"/>
      <c r="O55" s="703"/>
      <c r="P55" s="703"/>
      <c r="Q55" s="704"/>
      <c r="R55" s="731">
        <f ca="1">SUM(C55:Q55)</f>
        <v>170.17017865649774</v>
      </c>
    </row>
    <row r="56" spans="1:18" ht="15.75" thickBot="1">
      <c r="A56" s="823" t="s">
        <v>849</v>
      </c>
      <c r="B56" s="836"/>
      <c r="C56" s="732">
        <f ca="1">SUM(C54:C55)</f>
        <v>452.67057608762519</v>
      </c>
      <c r="D56" s="732">
        <f t="shared" ref="D56:Q56" ca="1" si="7">SUM(D54:D55)</f>
        <v>0</v>
      </c>
      <c r="E56" s="732">
        <f t="shared" si="7"/>
        <v>67.42807971766868</v>
      </c>
      <c r="F56" s="732">
        <f t="shared" si="7"/>
        <v>9.8977581745705283</v>
      </c>
      <c r="G56" s="732">
        <f t="shared" si="7"/>
        <v>1650.2341555822254</v>
      </c>
      <c r="H56" s="732">
        <f t="shared" si="7"/>
        <v>0</v>
      </c>
      <c r="I56" s="732">
        <f t="shared" si="7"/>
        <v>0</v>
      </c>
      <c r="J56" s="732">
        <f t="shared" si="7"/>
        <v>0</v>
      </c>
      <c r="K56" s="732">
        <f t="shared" si="7"/>
        <v>86.17456401381807</v>
      </c>
      <c r="L56" s="732">
        <f t="shared" si="7"/>
        <v>0</v>
      </c>
      <c r="M56" s="732">
        <f t="shared" si="7"/>
        <v>0</v>
      </c>
      <c r="N56" s="732">
        <f t="shared" si="7"/>
        <v>0</v>
      </c>
      <c r="O56" s="732">
        <f t="shared" si="7"/>
        <v>0</v>
      </c>
      <c r="P56" s="732">
        <f t="shared" si="7"/>
        <v>0</v>
      </c>
      <c r="Q56" s="733">
        <f t="shared" si="7"/>
        <v>0</v>
      </c>
      <c r="R56" s="734">
        <f ca="1">SUM(R54:R55)</f>
        <v>2266.4051335759077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4131.3206097094107</v>
      </c>
      <c r="D61" s="740">
        <f t="shared" ref="D61:Q61" ca="1" si="8">D46+D52+D56</f>
        <v>0</v>
      </c>
      <c r="E61" s="740">
        <f t="shared" ca="1" si="8"/>
        <v>2228.5936256638843</v>
      </c>
      <c r="F61" s="740">
        <f t="shared" si="8"/>
        <v>776.57584772140899</v>
      </c>
      <c r="G61" s="740">
        <f t="shared" ca="1" si="8"/>
        <v>10314.779904801395</v>
      </c>
      <c r="H61" s="740">
        <f t="shared" si="8"/>
        <v>11294.791061019725</v>
      </c>
      <c r="I61" s="740">
        <f t="shared" si="8"/>
        <v>1976.6620465310116</v>
      </c>
      <c r="J61" s="740">
        <f t="shared" si="8"/>
        <v>0</v>
      </c>
      <c r="K61" s="740">
        <f t="shared" si="8"/>
        <v>1295.9523188576238</v>
      </c>
      <c r="L61" s="740">
        <f t="shared" si="8"/>
        <v>0</v>
      </c>
      <c r="M61" s="740">
        <f t="shared" ca="1" si="8"/>
        <v>0</v>
      </c>
      <c r="N61" s="740">
        <f t="shared" si="8"/>
        <v>0</v>
      </c>
      <c r="O61" s="740">
        <f t="shared" ca="1" si="8"/>
        <v>0</v>
      </c>
      <c r="P61" s="740">
        <f t="shared" si="8"/>
        <v>0</v>
      </c>
      <c r="Q61" s="740">
        <f t="shared" si="8"/>
        <v>0</v>
      </c>
      <c r="R61" s="740">
        <f ca="1">R46+R52+R56</f>
        <v>32018.675414304456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0.20578079227652893</v>
      </c>
      <c r="D63" s="781">
        <f t="shared" ca="1" si="9"/>
        <v>0</v>
      </c>
      <c r="E63" s="1023">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1382.5595154068947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1382.5595154068947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11752.657454204244</v>
      </c>
      <c r="C4" s="477">
        <f>huishoudens!C8</f>
        <v>0</v>
      </c>
      <c r="D4" s="477">
        <f>huishoudens!D8</f>
        <v>6421.8555797770005</v>
      </c>
      <c r="E4" s="477">
        <f>huishoudens!E8</f>
        <v>3087.3416836334391</v>
      </c>
      <c r="F4" s="477">
        <f>huishoudens!F8</f>
        <v>30885.32517060007</v>
      </c>
      <c r="G4" s="477">
        <f>huishoudens!G8</f>
        <v>0</v>
      </c>
      <c r="H4" s="477">
        <f>huishoudens!H8</f>
        <v>0</v>
      </c>
      <c r="I4" s="477">
        <f>huishoudens!I8</f>
        <v>0</v>
      </c>
      <c r="J4" s="477">
        <f>huishoudens!J8</f>
        <v>3411.1947293256226</v>
      </c>
      <c r="K4" s="477">
        <f>huishoudens!K8</f>
        <v>0</v>
      </c>
      <c r="L4" s="477">
        <f>huishoudens!L8</f>
        <v>0</v>
      </c>
      <c r="M4" s="477">
        <f>huishoudens!M8</f>
        <v>0</v>
      </c>
      <c r="N4" s="477">
        <f>huishoudens!N8</f>
        <v>9346.3806625949437</v>
      </c>
      <c r="O4" s="477">
        <f>huishoudens!O8</f>
        <v>148.51666666666668</v>
      </c>
      <c r="P4" s="478">
        <f>huishoudens!P8</f>
        <v>495.73333333333335</v>
      </c>
      <c r="Q4" s="479">
        <f>SUM(B4:P4)</f>
        <v>65549.00528013533</v>
      </c>
    </row>
    <row r="5" spans="1:17">
      <c r="A5" s="476" t="s">
        <v>156</v>
      </c>
      <c r="B5" s="477">
        <f ca="1">tertiair!B16</f>
        <v>4632.9510108269997</v>
      </c>
      <c r="C5" s="477">
        <f ca="1">tertiair!C16</f>
        <v>0</v>
      </c>
      <c r="D5" s="477">
        <f ca="1">tertiair!D16</f>
        <v>4059.0132042174437</v>
      </c>
      <c r="E5" s="477">
        <f>tertiair!E16</f>
        <v>81.907609015839824</v>
      </c>
      <c r="F5" s="477">
        <f ca="1">tertiair!F16</f>
        <v>1219.1883766373255</v>
      </c>
      <c r="G5" s="477">
        <f>tertiair!G16</f>
        <v>0</v>
      </c>
      <c r="H5" s="477">
        <f>tertiair!H16</f>
        <v>0</v>
      </c>
      <c r="I5" s="477">
        <f>tertiair!I16</f>
        <v>0</v>
      </c>
      <c r="J5" s="477">
        <f>tertiair!J16</f>
        <v>0</v>
      </c>
      <c r="K5" s="477">
        <f>tertiair!K16</f>
        <v>0</v>
      </c>
      <c r="L5" s="477">
        <f ca="1">tertiair!L16</f>
        <v>0</v>
      </c>
      <c r="M5" s="477">
        <f>tertiair!M16</f>
        <v>0</v>
      </c>
      <c r="N5" s="477">
        <f ca="1">tertiair!N16</f>
        <v>376.23215167449672</v>
      </c>
      <c r="O5" s="477">
        <f>tertiair!O16</f>
        <v>1.5633333333333335</v>
      </c>
      <c r="P5" s="478">
        <f>tertiair!P16</f>
        <v>19.066666666666666</v>
      </c>
      <c r="Q5" s="476">
        <f t="shared" ref="Q5:Q14" ca="1" si="0">SUM(B5:P5)</f>
        <v>10389.922352372105</v>
      </c>
    </row>
    <row r="6" spans="1:17">
      <c r="A6" s="476" t="s">
        <v>194</v>
      </c>
      <c r="B6" s="477">
        <f>'openbare verlichting'!B8</f>
        <v>499.12700000000001</v>
      </c>
      <c r="C6" s="477"/>
      <c r="D6" s="477"/>
      <c r="E6" s="477"/>
      <c r="F6" s="477"/>
      <c r="G6" s="477"/>
      <c r="H6" s="477"/>
      <c r="I6" s="477"/>
      <c r="J6" s="477"/>
      <c r="K6" s="477"/>
      <c r="L6" s="477"/>
      <c r="M6" s="477"/>
      <c r="N6" s="477"/>
      <c r="O6" s="477"/>
      <c r="P6" s="478"/>
      <c r="Q6" s="476">
        <f t="shared" si="0"/>
        <v>499.12700000000001</v>
      </c>
    </row>
    <row r="7" spans="1:17">
      <c r="A7" s="476" t="s">
        <v>112</v>
      </c>
      <c r="B7" s="477">
        <f>landbouw!B8</f>
        <v>1690.92482821</v>
      </c>
      <c r="C7" s="477">
        <f>landbouw!C8</f>
        <v>0</v>
      </c>
      <c r="D7" s="477">
        <f>landbouw!D8</f>
        <v>9.7456748499440007</v>
      </c>
      <c r="E7" s="477">
        <f>landbouw!E8</f>
        <v>43.6024589188129</v>
      </c>
      <c r="F7" s="477">
        <f>landbouw!F8</f>
        <v>6180.6522680982225</v>
      </c>
      <c r="G7" s="477">
        <f>landbouw!G8</f>
        <v>0</v>
      </c>
      <c r="H7" s="477">
        <f>landbouw!H8</f>
        <v>0</v>
      </c>
      <c r="I7" s="477">
        <f>landbouw!I8</f>
        <v>0</v>
      </c>
      <c r="J7" s="477">
        <f>landbouw!J8</f>
        <v>243.43097179044653</v>
      </c>
      <c r="K7" s="477">
        <f>landbouw!K8</f>
        <v>0</v>
      </c>
      <c r="L7" s="477">
        <f>landbouw!L8</f>
        <v>0</v>
      </c>
      <c r="M7" s="477">
        <f>landbouw!M8</f>
        <v>0</v>
      </c>
      <c r="N7" s="477">
        <f>landbouw!N8</f>
        <v>0</v>
      </c>
      <c r="O7" s="477">
        <f>landbouw!O8</f>
        <v>0</v>
      </c>
      <c r="P7" s="478">
        <f>landbouw!P8</f>
        <v>0</v>
      </c>
      <c r="Q7" s="476">
        <f t="shared" si="0"/>
        <v>8168.3562018674256</v>
      </c>
    </row>
    <row r="8" spans="1:17">
      <c r="A8" s="476" t="s">
        <v>638</v>
      </c>
      <c r="B8" s="477">
        <f>industrie!B18</f>
        <v>979.38026243999991</v>
      </c>
      <c r="C8" s="477">
        <f>industrie!C18</f>
        <v>0</v>
      </c>
      <c r="D8" s="477">
        <f>industrie!D18</f>
        <v>188.32140455392002</v>
      </c>
      <c r="E8" s="477">
        <f>industrie!E18</f>
        <v>94.870395848820777</v>
      </c>
      <c r="F8" s="477">
        <f>industrie!F18</f>
        <v>346.96865957597049</v>
      </c>
      <c r="G8" s="477">
        <f>industrie!G18</f>
        <v>0</v>
      </c>
      <c r="H8" s="477">
        <f>industrie!H18</f>
        <v>0</v>
      </c>
      <c r="I8" s="477">
        <f>industrie!I18</f>
        <v>0</v>
      </c>
      <c r="J8" s="477">
        <f>industrie!J18</f>
        <v>6.2565555438851952</v>
      </c>
      <c r="K8" s="477">
        <f>industrie!K18</f>
        <v>0</v>
      </c>
      <c r="L8" s="477">
        <f>industrie!L18</f>
        <v>0</v>
      </c>
      <c r="M8" s="477">
        <f>industrie!M18</f>
        <v>0</v>
      </c>
      <c r="N8" s="477">
        <f>industrie!N18</f>
        <v>220.34013357276808</v>
      </c>
      <c r="O8" s="477">
        <f>industrie!O18</f>
        <v>0</v>
      </c>
      <c r="P8" s="478">
        <f>industrie!P18</f>
        <v>0</v>
      </c>
      <c r="Q8" s="476">
        <f t="shared" si="0"/>
        <v>1836.1374115353644</v>
      </c>
    </row>
    <row r="9" spans="1:17" s="482" customFormat="1">
      <c r="A9" s="480" t="s">
        <v>564</v>
      </c>
      <c r="B9" s="481">
        <f>transport!B14</f>
        <v>12.431412450360574</v>
      </c>
      <c r="C9" s="481">
        <f>transport!C14</f>
        <v>0</v>
      </c>
      <c r="D9" s="481">
        <f>transport!D14</f>
        <v>29.64914781903683</v>
      </c>
      <c r="E9" s="481">
        <f>transport!E14</f>
        <v>113.3168293293824</v>
      </c>
      <c r="F9" s="481">
        <f>transport!F14</f>
        <v>0</v>
      </c>
      <c r="G9" s="481">
        <f>transport!G14</f>
        <v>41545.256141730686</v>
      </c>
      <c r="H9" s="481">
        <f>transport!H14</f>
        <v>7938.4017932972356</v>
      </c>
      <c r="I9" s="481">
        <f>transport!I14</f>
        <v>0</v>
      </c>
      <c r="J9" s="481">
        <f>transport!J14</f>
        <v>0</v>
      </c>
      <c r="K9" s="481">
        <f>transport!K14</f>
        <v>0</v>
      </c>
      <c r="L9" s="481">
        <f>transport!L14</f>
        <v>0</v>
      </c>
      <c r="M9" s="481">
        <f>transport!M14</f>
        <v>1546.7231946725769</v>
      </c>
      <c r="N9" s="481">
        <f>transport!N14</f>
        <v>0</v>
      </c>
      <c r="O9" s="481">
        <f>transport!O14</f>
        <v>0</v>
      </c>
      <c r="P9" s="481">
        <f>transport!P14</f>
        <v>0</v>
      </c>
      <c r="Q9" s="480">
        <f>SUM(B9:P9)</f>
        <v>51185.778519299274</v>
      </c>
    </row>
    <row r="10" spans="1:17">
      <c r="A10" s="476" t="s">
        <v>554</v>
      </c>
      <c r="B10" s="477">
        <f>transport!B54</f>
        <v>0</v>
      </c>
      <c r="C10" s="477">
        <f>transport!C54</f>
        <v>0</v>
      </c>
      <c r="D10" s="477">
        <f>transport!D54</f>
        <v>0</v>
      </c>
      <c r="E10" s="477">
        <f>transport!E54</f>
        <v>0</v>
      </c>
      <c r="F10" s="477">
        <f>transport!F54</f>
        <v>0</v>
      </c>
      <c r="G10" s="477">
        <f>transport!G54</f>
        <v>757.3321017888826</v>
      </c>
      <c r="H10" s="477">
        <f>transport!H54</f>
        <v>0</v>
      </c>
      <c r="I10" s="477">
        <f>transport!I54</f>
        <v>0</v>
      </c>
      <c r="J10" s="477">
        <f>transport!J54</f>
        <v>0</v>
      </c>
      <c r="K10" s="477">
        <f>transport!K54</f>
        <v>0</v>
      </c>
      <c r="L10" s="477">
        <f>transport!L54</f>
        <v>0</v>
      </c>
      <c r="M10" s="477">
        <f>transport!M54</f>
        <v>23.490747507678247</v>
      </c>
      <c r="N10" s="477">
        <f>transport!N54</f>
        <v>0</v>
      </c>
      <c r="O10" s="477">
        <f>transport!O54</f>
        <v>0</v>
      </c>
      <c r="P10" s="478">
        <f>transport!P54</f>
        <v>0</v>
      </c>
      <c r="Q10" s="476">
        <f t="shared" si="0"/>
        <v>780.82284929656089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508.84596224999996</v>
      </c>
      <c r="C14" s="484"/>
      <c r="D14" s="484">
        <f>'SEAP template'!E25</f>
        <v>324.05669998999997</v>
      </c>
      <c r="E14" s="484"/>
      <c r="F14" s="484"/>
      <c r="G14" s="484"/>
      <c r="H14" s="484"/>
      <c r="I14" s="484"/>
      <c r="J14" s="484"/>
      <c r="K14" s="484"/>
      <c r="L14" s="484"/>
      <c r="M14" s="484"/>
      <c r="N14" s="484"/>
      <c r="O14" s="484"/>
      <c r="P14" s="485"/>
      <c r="Q14" s="476">
        <f t="shared" si="0"/>
        <v>832.90266223999993</v>
      </c>
    </row>
    <row r="15" spans="1:17" s="486" customFormat="1">
      <c r="A15" s="1038" t="s">
        <v>558</v>
      </c>
      <c r="B15" s="978">
        <f ca="1">SUM(B4:B14)</f>
        <v>20076.31793038161</v>
      </c>
      <c r="C15" s="978">
        <f t="shared" ref="C15:Q15" ca="1" si="1">SUM(C4:C14)</f>
        <v>0</v>
      </c>
      <c r="D15" s="978">
        <f t="shared" ca="1" si="1"/>
        <v>11032.641711207345</v>
      </c>
      <c r="E15" s="978">
        <f t="shared" si="1"/>
        <v>3421.0389767462948</v>
      </c>
      <c r="F15" s="978">
        <f t="shared" ca="1" si="1"/>
        <v>38632.134474911589</v>
      </c>
      <c r="G15" s="978">
        <f t="shared" si="1"/>
        <v>42302.588243519567</v>
      </c>
      <c r="H15" s="978">
        <f t="shared" si="1"/>
        <v>7938.4017932972356</v>
      </c>
      <c r="I15" s="978">
        <f t="shared" si="1"/>
        <v>0</v>
      </c>
      <c r="J15" s="978">
        <f t="shared" si="1"/>
        <v>3660.8822566599542</v>
      </c>
      <c r="K15" s="978">
        <f t="shared" si="1"/>
        <v>0</v>
      </c>
      <c r="L15" s="978">
        <f t="shared" ca="1" si="1"/>
        <v>0</v>
      </c>
      <c r="M15" s="978">
        <f t="shared" si="1"/>
        <v>1570.2139421802551</v>
      </c>
      <c r="N15" s="978">
        <f t="shared" ca="1" si="1"/>
        <v>9942.9529478422082</v>
      </c>
      <c r="O15" s="978">
        <f t="shared" si="1"/>
        <v>150.08000000000001</v>
      </c>
      <c r="P15" s="978">
        <f t="shared" si="1"/>
        <v>514.80000000000007</v>
      </c>
      <c r="Q15" s="978">
        <f t="shared" ca="1" si="1"/>
        <v>139242.05227674605</v>
      </c>
    </row>
    <row r="17" spans="1:17">
      <c r="A17" s="487" t="s">
        <v>559</v>
      </c>
      <c r="B17" s="786">
        <f ca="1">huishoudens!B10</f>
        <v>0.20578079227652898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2418.4711622808036</v>
      </c>
      <c r="C22" s="477">
        <f t="shared" ref="C22:C32" ca="1" si="3">C4*$C$17</f>
        <v>0</v>
      </c>
      <c r="D22" s="477">
        <f t="shared" ref="D22:D32" si="4">D4*$D$17</f>
        <v>1297.2148271149542</v>
      </c>
      <c r="E22" s="477">
        <f t="shared" ref="E22:E32" si="5">E4*$E$17</f>
        <v>700.82656218479065</v>
      </c>
      <c r="F22" s="477">
        <f t="shared" ref="F22:F32" si="6">F4*$F$17</f>
        <v>8246.3818205502193</v>
      </c>
      <c r="G22" s="477">
        <f t="shared" ref="G22:G32" si="7">G4*$G$17</f>
        <v>0</v>
      </c>
      <c r="H22" s="477">
        <f t="shared" ref="H22:H32" si="8">H4*$H$17</f>
        <v>0</v>
      </c>
      <c r="I22" s="477">
        <f t="shared" ref="I22:I32" si="9">I4*$I$17</f>
        <v>0</v>
      </c>
      <c r="J22" s="477">
        <f t="shared" ref="J22:J32" si="10">J4*$J$17</f>
        <v>1207.5629341812703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13870.457306312039</v>
      </c>
    </row>
    <row r="23" spans="1:17">
      <c r="A23" s="476" t="s">
        <v>156</v>
      </c>
      <c r="B23" s="477">
        <f t="shared" ca="1" si="2"/>
        <v>953.3723295863258</v>
      </c>
      <c r="C23" s="477">
        <f t="shared" ca="1" si="3"/>
        <v>0</v>
      </c>
      <c r="D23" s="477">
        <f t="shared" ca="1" si="4"/>
        <v>819.92066725192365</v>
      </c>
      <c r="E23" s="477">
        <f t="shared" si="5"/>
        <v>18.593027246595639</v>
      </c>
      <c r="F23" s="477">
        <f t="shared" ca="1" si="6"/>
        <v>325.52329656216591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2117.4093206470111</v>
      </c>
    </row>
    <row r="24" spans="1:17">
      <c r="A24" s="476" t="s">
        <v>194</v>
      </c>
      <c r="B24" s="477">
        <f t="shared" ca="1" si="2"/>
        <v>102.71074950660709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102.71074950660709</v>
      </c>
    </row>
    <row r="25" spans="1:17">
      <c r="A25" s="476" t="s">
        <v>112</v>
      </c>
      <c r="B25" s="477">
        <f t="shared" ca="1" si="2"/>
        <v>347.95985082910744</v>
      </c>
      <c r="C25" s="477">
        <f t="shared" ca="1" si="3"/>
        <v>0</v>
      </c>
      <c r="D25" s="477">
        <f t="shared" si="4"/>
        <v>1.9686263196886882</v>
      </c>
      <c r="E25" s="477">
        <f t="shared" si="5"/>
        <v>9.8977581745705283</v>
      </c>
      <c r="F25" s="477">
        <f t="shared" si="6"/>
        <v>1650.2341555822254</v>
      </c>
      <c r="G25" s="477">
        <f t="shared" si="7"/>
        <v>0</v>
      </c>
      <c r="H25" s="477">
        <f t="shared" si="8"/>
        <v>0</v>
      </c>
      <c r="I25" s="477">
        <f t="shared" si="9"/>
        <v>0</v>
      </c>
      <c r="J25" s="477">
        <f t="shared" si="10"/>
        <v>86.17456401381807</v>
      </c>
      <c r="K25" s="477">
        <f t="shared" si="11"/>
        <v>0</v>
      </c>
      <c r="L25" s="477">
        <f t="shared" si="12"/>
        <v>0</v>
      </c>
      <c r="M25" s="477">
        <f t="shared" si="13"/>
        <v>0</v>
      </c>
      <c r="N25" s="477">
        <f t="shared" si="14"/>
        <v>0</v>
      </c>
      <c r="O25" s="477">
        <f t="shared" si="15"/>
        <v>0</v>
      </c>
      <c r="P25" s="478">
        <f t="shared" si="16"/>
        <v>0</v>
      </c>
      <c r="Q25" s="476">
        <f t="shared" ca="1" si="17"/>
        <v>2096.23495491941</v>
      </c>
    </row>
    <row r="26" spans="1:17">
      <c r="A26" s="476" t="s">
        <v>638</v>
      </c>
      <c r="B26" s="477">
        <f t="shared" ca="1" si="2"/>
        <v>201.53764634489806</v>
      </c>
      <c r="C26" s="477">
        <f t="shared" ca="1" si="3"/>
        <v>0</v>
      </c>
      <c r="D26" s="477">
        <f t="shared" si="4"/>
        <v>38.040923719891843</v>
      </c>
      <c r="E26" s="477">
        <f t="shared" si="5"/>
        <v>21.535579857682318</v>
      </c>
      <c r="F26" s="477">
        <f t="shared" si="6"/>
        <v>92.640632106784125</v>
      </c>
      <c r="G26" s="477">
        <f t="shared" si="7"/>
        <v>0</v>
      </c>
      <c r="H26" s="477">
        <f t="shared" si="8"/>
        <v>0</v>
      </c>
      <c r="I26" s="477">
        <f t="shared" si="9"/>
        <v>0</v>
      </c>
      <c r="J26" s="477">
        <f t="shared" si="10"/>
        <v>2.214820662535359</v>
      </c>
      <c r="K26" s="477">
        <f t="shared" si="11"/>
        <v>0</v>
      </c>
      <c r="L26" s="477">
        <f t="shared" si="12"/>
        <v>0</v>
      </c>
      <c r="M26" s="477">
        <f t="shared" si="13"/>
        <v>0</v>
      </c>
      <c r="N26" s="477">
        <f t="shared" si="14"/>
        <v>0</v>
      </c>
      <c r="O26" s="477">
        <f t="shared" si="15"/>
        <v>0</v>
      </c>
      <c r="P26" s="478">
        <f t="shared" si="16"/>
        <v>0</v>
      </c>
      <c r="Q26" s="476">
        <f t="shared" ca="1" si="17"/>
        <v>355.96960269179175</v>
      </c>
    </row>
    <row r="27" spans="1:17" s="482" customFormat="1">
      <c r="A27" s="480" t="s">
        <v>564</v>
      </c>
      <c r="B27" s="780">
        <f t="shared" ca="1" si="2"/>
        <v>2.5581459031515053</v>
      </c>
      <c r="C27" s="481">
        <f t="shared" ca="1" si="3"/>
        <v>0</v>
      </c>
      <c r="D27" s="481">
        <f t="shared" si="4"/>
        <v>5.98912785944544</v>
      </c>
      <c r="E27" s="481">
        <f t="shared" si="5"/>
        <v>25.722920257769808</v>
      </c>
      <c r="F27" s="481">
        <f t="shared" si="6"/>
        <v>0</v>
      </c>
      <c r="G27" s="481">
        <f t="shared" si="7"/>
        <v>11092.583389842093</v>
      </c>
      <c r="H27" s="481">
        <f t="shared" si="8"/>
        <v>1976.6620465310116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13103.515630393471</v>
      </c>
    </row>
    <row r="28" spans="1:17">
      <c r="A28" s="476" t="s">
        <v>554</v>
      </c>
      <c r="B28" s="477">
        <f t="shared" ca="1" si="2"/>
        <v>0</v>
      </c>
      <c r="C28" s="477">
        <f t="shared" ca="1" si="3"/>
        <v>0</v>
      </c>
      <c r="D28" s="477">
        <f t="shared" si="4"/>
        <v>0</v>
      </c>
      <c r="E28" s="477">
        <f t="shared" si="5"/>
        <v>0</v>
      </c>
      <c r="F28" s="477">
        <f t="shared" si="6"/>
        <v>0</v>
      </c>
      <c r="G28" s="477">
        <f t="shared" si="7"/>
        <v>202.20767117763165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202.20767117763165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104.71072525851775</v>
      </c>
      <c r="C32" s="477">
        <f t="shared" ca="1" si="3"/>
        <v>0</v>
      </c>
      <c r="D32" s="477">
        <f t="shared" si="4"/>
        <v>65.459453397979999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170.17017865649774</v>
      </c>
    </row>
    <row r="33" spans="1:17" s="486" customFormat="1">
      <c r="A33" s="1038" t="s">
        <v>558</v>
      </c>
      <c r="B33" s="978">
        <f ca="1">SUM(B22:B32)</f>
        <v>4131.3206097094107</v>
      </c>
      <c r="C33" s="978">
        <f t="shared" ref="C33:Q33" ca="1" si="18">SUM(C22:C32)</f>
        <v>0</v>
      </c>
      <c r="D33" s="978">
        <f t="shared" ca="1" si="18"/>
        <v>2228.5936256638838</v>
      </c>
      <c r="E33" s="978">
        <f t="shared" si="18"/>
        <v>776.57584772140899</v>
      </c>
      <c r="F33" s="978">
        <f t="shared" ca="1" si="18"/>
        <v>10314.779904801395</v>
      </c>
      <c r="G33" s="978">
        <f t="shared" si="18"/>
        <v>11294.791061019725</v>
      </c>
      <c r="H33" s="978">
        <f t="shared" si="18"/>
        <v>1976.6620465310116</v>
      </c>
      <c r="I33" s="978">
        <f t="shared" si="18"/>
        <v>0</v>
      </c>
      <c r="J33" s="978">
        <f t="shared" si="18"/>
        <v>1295.9523188576238</v>
      </c>
      <c r="K33" s="978">
        <f t="shared" si="18"/>
        <v>0</v>
      </c>
      <c r="L33" s="978">
        <f t="shared" ca="1" si="18"/>
        <v>0</v>
      </c>
      <c r="M33" s="978">
        <f t="shared" si="18"/>
        <v>0</v>
      </c>
      <c r="N33" s="978">
        <f t="shared" ca="1" si="18"/>
        <v>0</v>
      </c>
      <c r="O33" s="978">
        <f t="shared" si="18"/>
        <v>0</v>
      </c>
      <c r="P33" s="978">
        <f t="shared" si="18"/>
        <v>0</v>
      </c>
      <c r="Q33" s="978">
        <f t="shared" ca="1" si="18"/>
        <v>32018.67541430446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1382.5595154068947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1382.5595154068947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0.20578079227652898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0.20578079227652898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0.20578079227652898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0.20578079227652898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2397</v>
      </c>
      <c r="C9" s="342">
        <v>2521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3343.8</v>
      </c>
    </row>
    <row r="15" spans="1:6">
      <c r="A15" s="348" t="s">
        <v>184</v>
      </c>
      <c r="B15" s="334">
        <v>34</v>
      </c>
    </row>
    <row r="16" spans="1:6">
      <c r="A16" s="348" t="s">
        <v>6</v>
      </c>
      <c r="B16" s="334">
        <v>1175</v>
      </c>
    </row>
    <row r="17" spans="1:6">
      <c r="A17" s="348" t="s">
        <v>7</v>
      </c>
      <c r="B17" s="334">
        <v>1330</v>
      </c>
    </row>
    <row r="18" spans="1:6">
      <c r="A18" s="348" t="s">
        <v>8</v>
      </c>
      <c r="B18" s="334">
        <v>1682</v>
      </c>
    </row>
    <row r="19" spans="1:6">
      <c r="A19" s="348" t="s">
        <v>9</v>
      </c>
      <c r="B19" s="334">
        <v>1576</v>
      </c>
    </row>
    <row r="20" spans="1:6">
      <c r="A20" s="348" t="s">
        <v>10</v>
      </c>
      <c r="B20" s="334">
        <v>1063</v>
      </c>
    </row>
    <row r="21" spans="1:6">
      <c r="A21" s="348" t="s">
        <v>11</v>
      </c>
      <c r="B21" s="334">
        <v>1133</v>
      </c>
    </row>
    <row r="22" spans="1:6">
      <c r="A22" s="348" t="s">
        <v>12</v>
      </c>
      <c r="B22" s="334">
        <v>5382</v>
      </c>
    </row>
    <row r="23" spans="1:6">
      <c r="A23" s="348" t="s">
        <v>13</v>
      </c>
      <c r="B23" s="334">
        <v>101</v>
      </c>
    </row>
    <row r="24" spans="1:6">
      <c r="A24" s="348" t="s">
        <v>14</v>
      </c>
      <c r="B24" s="334">
        <v>8</v>
      </c>
    </row>
    <row r="25" spans="1:6">
      <c r="A25" s="348" t="s">
        <v>15</v>
      </c>
      <c r="B25" s="334">
        <v>543</v>
      </c>
    </row>
    <row r="26" spans="1:6">
      <c r="A26" s="348" t="s">
        <v>16</v>
      </c>
      <c r="B26" s="334">
        <v>112</v>
      </c>
    </row>
    <row r="27" spans="1:6">
      <c r="A27" s="348" t="s">
        <v>17</v>
      </c>
      <c r="B27" s="334">
        <v>688</v>
      </c>
    </row>
    <row r="28" spans="1:6" s="356" customFormat="1">
      <c r="A28" s="355" t="s">
        <v>18</v>
      </c>
      <c r="B28" s="355">
        <v>64056</v>
      </c>
    </row>
    <row r="29" spans="1:6">
      <c r="A29" s="355" t="s">
        <v>884</v>
      </c>
      <c r="B29" s="355">
        <v>150</v>
      </c>
      <c r="C29" s="356"/>
      <c r="D29" s="356"/>
      <c r="E29" s="356"/>
      <c r="F29" s="356"/>
    </row>
    <row r="30" spans="1:6">
      <c r="A30" s="355" t="s">
        <v>885</v>
      </c>
      <c r="B30" s="341">
        <v>88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443</v>
      </c>
      <c r="D39" s="334">
        <v>7119573.8135000002</v>
      </c>
      <c r="E39" s="334">
        <v>2169</v>
      </c>
      <c r="F39" s="334">
        <v>10457388.025</v>
      </c>
    </row>
    <row r="40" spans="1:6">
      <c r="A40" s="348" t="s">
        <v>30</v>
      </c>
      <c r="B40" s="348" t="s">
        <v>29</v>
      </c>
      <c r="C40" s="334">
        <v>0</v>
      </c>
      <c r="D40" s="334">
        <v>0</v>
      </c>
      <c r="E40" s="334">
        <v>0</v>
      </c>
      <c r="F40" s="334">
        <v>0</v>
      </c>
    </row>
    <row r="41" spans="1:6">
      <c r="A41" s="348" t="s">
        <v>32</v>
      </c>
      <c r="B41" s="348" t="s">
        <v>33</v>
      </c>
      <c r="C41" s="334">
        <v>0</v>
      </c>
      <c r="D41" s="334">
        <v>0</v>
      </c>
      <c r="E41" s="334">
        <v>35</v>
      </c>
      <c r="F41" s="334">
        <v>207643.93964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208782.04496</v>
      </c>
      <c r="E48" s="334">
        <v>52</v>
      </c>
      <c r="F48" s="334">
        <v>771736.32279999997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101</v>
      </c>
      <c r="F51" s="334">
        <v>1463849.6100999999</v>
      </c>
    </row>
    <row r="52" spans="1:6">
      <c r="A52" s="348" t="s">
        <v>42</v>
      </c>
      <c r="B52" s="348" t="s">
        <v>29</v>
      </c>
      <c r="C52" s="334">
        <v>1</v>
      </c>
      <c r="D52" s="334">
        <v>10804.517572000001</v>
      </c>
      <c r="E52" s="334">
        <v>17</v>
      </c>
      <c r="F52" s="334">
        <v>227075.21810999999</v>
      </c>
    </row>
    <row r="53" spans="1:6">
      <c r="A53" s="348" t="s">
        <v>44</v>
      </c>
      <c r="B53" s="348" t="s">
        <v>45</v>
      </c>
      <c r="C53" s="334">
        <v>17</v>
      </c>
      <c r="D53" s="334">
        <v>324056.69998999999</v>
      </c>
      <c r="E53" s="334">
        <v>86</v>
      </c>
      <c r="F53" s="334">
        <v>508845.96224999998</v>
      </c>
    </row>
    <row r="54" spans="1:6">
      <c r="A54" s="348" t="s">
        <v>46</v>
      </c>
      <c r="B54" s="348" t="s">
        <v>47</v>
      </c>
      <c r="C54" s="334">
        <v>0</v>
      </c>
      <c r="D54" s="334">
        <v>0</v>
      </c>
      <c r="E54" s="334">
        <v>1</v>
      </c>
      <c r="F54" s="334">
        <v>499127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17</v>
      </c>
      <c r="F57" s="334">
        <v>141325.13451</v>
      </c>
    </row>
    <row r="58" spans="1:6">
      <c r="A58" s="348" t="s">
        <v>49</v>
      </c>
      <c r="B58" s="348" t="s">
        <v>51</v>
      </c>
      <c r="C58" s="334">
        <v>0</v>
      </c>
      <c r="D58" s="334">
        <v>0</v>
      </c>
      <c r="E58" s="334">
        <v>7</v>
      </c>
      <c r="F58" s="334">
        <v>210121.18288000001</v>
      </c>
    </row>
    <row r="59" spans="1:6">
      <c r="A59" s="348" t="s">
        <v>49</v>
      </c>
      <c r="B59" s="348" t="s">
        <v>52</v>
      </c>
      <c r="C59" s="334">
        <v>0</v>
      </c>
      <c r="D59" s="334">
        <v>0</v>
      </c>
      <c r="E59" s="334">
        <v>20</v>
      </c>
      <c r="F59" s="334">
        <v>357074.76522</v>
      </c>
    </row>
    <row r="60" spans="1:6">
      <c r="A60" s="348" t="s">
        <v>49</v>
      </c>
      <c r="B60" s="348" t="s">
        <v>53</v>
      </c>
      <c r="C60" s="334">
        <v>3</v>
      </c>
      <c r="D60" s="334">
        <v>63132.087242000001</v>
      </c>
      <c r="E60" s="334">
        <v>12</v>
      </c>
      <c r="F60" s="334">
        <v>312801.76337</v>
      </c>
    </row>
    <row r="61" spans="1:6">
      <c r="A61" s="348" t="s">
        <v>49</v>
      </c>
      <c r="B61" s="348" t="s">
        <v>54</v>
      </c>
      <c r="C61" s="334">
        <v>4</v>
      </c>
      <c r="D61" s="334">
        <v>557711.40928000002</v>
      </c>
      <c r="E61" s="334">
        <v>66</v>
      </c>
      <c r="F61" s="334">
        <v>598793.85525999998</v>
      </c>
    </row>
    <row r="62" spans="1:6">
      <c r="A62" s="348" t="s">
        <v>49</v>
      </c>
      <c r="B62" s="348" t="s">
        <v>55</v>
      </c>
      <c r="C62" s="334">
        <v>3</v>
      </c>
      <c r="D62" s="334">
        <v>154547.39720000001</v>
      </c>
      <c r="E62" s="334">
        <v>4</v>
      </c>
      <c r="F62" s="334">
        <v>52881.164187000002</v>
      </c>
    </row>
    <row r="63" spans="1:6">
      <c r="A63" s="348" t="s">
        <v>49</v>
      </c>
      <c r="B63" s="348" t="s">
        <v>29</v>
      </c>
      <c r="C63" s="334">
        <v>56</v>
      </c>
      <c r="D63" s="334">
        <v>3724623.7450999999</v>
      </c>
      <c r="E63" s="334">
        <v>172</v>
      </c>
      <c r="F63" s="334">
        <v>2959953.1453999998</v>
      </c>
    </row>
    <row r="64" spans="1:6">
      <c r="A64" s="348" t="s">
        <v>56</v>
      </c>
      <c r="B64" s="348" t="s">
        <v>57</v>
      </c>
      <c r="C64" s="334">
        <v>0</v>
      </c>
      <c r="D64" s="334">
        <v>0</v>
      </c>
      <c r="E64" s="334">
        <v>0</v>
      </c>
      <c r="F64" s="334">
        <v>0</v>
      </c>
    </row>
    <row r="65" spans="1:6">
      <c r="A65" s="348" t="s">
        <v>56</v>
      </c>
      <c r="B65" s="348" t="s">
        <v>29</v>
      </c>
      <c r="C65" s="334">
        <v>1</v>
      </c>
      <c r="D65" s="334">
        <v>15457.868899999999</v>
      </c>
      <c r="E65" s="334">
        <v>2</v>
      </c>
      <c r="F65" s="334">
        <v>1155.8869768</v>
      </c>
    </row>
    <row r="66" spans="1:6">
      <c r="A66" s="348" t="s">
        <v>56</v>
      </c>
      <c r="B66" s="348" t="s">
        <v>58</v>
      </c>
      <c r="C66" s="334">
        <v>0</v>
      </c>
      <c r="D66" s="334">
        <v>0</v>
      </c>
      <c r="E66" s="334">
        <v>4</v>
      </c>
      <c r="F66" s="334">
        <v>168168.33296999999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39261212</v>
      </c>
      <c r="E73" s="475">
        <v>41817441.580268651</v>
      </c>
    </row>
    <row r="74" spans="1:6">
      <c r="A74" s="348" t="s">
        <v>64</v>
      </c>
      <c r="B74" s="348" t="s">
        <v>667</v>
      </c>
      <c r="C74" s="1294" t="s">
        <v>669</v>
      </c>
      <c r="D74" s="475">
        <v>4686212.8138527507</v>
      </c>
      <c r="E74" s="475">
        <v>4772044.2390246438</v>
      </c>
    </row>
    <row r="75" spans="1:6">
      <c r="A75" s="348" t="s">
        <v>65</v>
      </c>
      <c r="B75" s="348" t="s">
        <v>666</v>
      </c>
      <c r="C75" s="1294" t="s">
        <v>670</v>
      </c>
      <c r="D75" s="475">
        <v>13788480</v>
      </c>
      <c r="E75" s="475">
        <v>14786424.255088825</v>
      </c>
    </row>
    <row r="76" spans="1:6">
      <c r="A76" s="348" t="s">
        <v>65</v>
      </c>
      <c r="B76" s="348" t="s">
        <v>667</v>
      </c>
      <c r="C76" s="1294" t="s">
        <v>671</v>
      </c>
      <c r="D76" s="475">
        <v>818305.81385275058</v>
      </c>
      <c r="E76" s="475">
        <v>860394.91557735344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209718.37229449878</v>
      </c>
      <c r="C83" s="475">
        <v>209718.37229449878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1295.2694292042431</v>
      </c>
    </row>
    <row r="92" spans="1:6">
      <c r="A92" s="341" t="s">
        <v>69</v>
      </c>
      <c r="B92" s="342">
        <v>87.290086202651622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20076.317930381607</v>
      </c>
      <c r="C3" s="43" t="s">
        <v>170</v>
      </c>
      <c r="D3" s="43"/>
      <c r="E3" s="154"/>
      <c r="F3" s="43"/>
      <c r="G3" s="43"/>
      <c r="H3" s="43"/>
      <c r="I3" s="43"/>
      <c r="J3" s="43"/>
      <c r="K3" s="96"/>
    </row>
    <row r="4" spans="1:11">
      <c r="A4" s="383" t="s">
        <v>171</v>
      </c>
      <c r="B4" s="49">
        <f>IF(ISERROR('SEAP template'!B78+'SEAP template'!C78),0,'SEAP template'!B78+'SEAP template'!C78)</f>
        <v>1382.5595154068947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0.20578079227652898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499.12700000000001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499.12700000000001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0.20578079227652898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102.71074950660709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10457.388025</v>
      </c>
      <c r="C5" s="17">
        <f>IF(ISERROR('Eigen informatie GS &amp; warmtenet'!B57),0,'Eigen informatie GS &amp; warmtenet'!B57)</f>
        <v>0</v>
      </c>
      <c r="D5" s="30">
        <f>(SUM(HH_hh_gas_kWh,HH_rest_gas_kWh)/1000)*0.902</f>
        <v>6421.8555797770005</v>
      </c>
      <c r="E5" s="17">
        <f>B46*B57</f>
        <v>3087.3416836334391</v>
      </c>
      <c r="F5" s="17">
        <f>B51*B62</f>
        <v>30885.32517060007</v>
      </c>
      <c r="G5" s="18"/>
      <c r="H5" s="17"/>
      <c r="I5" s="17"/>
      <c r="J5" s="17">
        <f>B50*B61+C50*C61</f>
        <v>3411.1947293256226</v>
      </c>
      <c r="K5" s="17"/>
      <c r="L5" s="17"/>
      <c r="M5" s="17"/>
      <c r="N5" s="17">
        <f>B48*B59+C48*C59</f>
        <v>9346.3806625949437</v>
      </c>
      <c r="O5" s="17">
        <f>B69*B70*B71</f>
        <v>148.51666666666668</v>
      </c>
      <c r="P5" s="17">
        <f>B77*B78*B79/1000-B77*B78*B79/1000/B80</f>
        <v>495.73333333333335</v>
      </c>
    </row>
    <row r="6" spans="1:16">
      <c r="A6" s="16" t="s">
        <v>624</v>
      </c>
      <c r="B6" s="788">
        <f>kWh_PV_kleiner_dan_10kW</f>
        <v>1295.2694292042431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11752.657454204244</v>
      </c>
      <c r="C8" s="21">
        <f>C5</f>
        <v>0</v>
      </c>
      <c r="D8" s="21">
        <f>D5</f>
        <v>6421.8555797770005</v>
      </c>
      <c r="E8" s="21">
        <f>E5</f>
        <v>3087.3416836334391</v>
      </c>
      <c r="F8" s="21">
        <f>F5</f>
        <v>30885.32517060007</v>
      </c>
      <c r="G8" s="21"/>
      <c r="H8" s="21"/>
      <c r="I8" s="21"/>
      <c r="J8" s="21">
        <f>J5</f>
        <v>3411.1947293256226</v>
      </c>
      <c r="K8" s="21"/>
      <c r="L8" s="21">
        <f>L5</f>
        <v>0</v>
      </c>
      <c r="M8" s="21">
        <f>M5</f>
        <v>0</v>
      </c>
      <c r="N8" s="21">
        <f>N5</f>
        <v>9346.3806625949437</v>
      </c>
      <c r="O8" s="21">
        <f>O5</f>
        <v>148.51666666666668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0.20578079227652898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2418.4711622808036</v>
      </c>
      <c r="C12" s="23">
        <f ca="1">C10*C8</f>
        <v>0</v>
      </c>
      <c r="D12" s="23">
        <f>D8*D10</f>
        <v>1297.2148271149542</v>
      </c>
      <c r="E12" s="23">
        <f>E10*E8</f>
        <v>700.82656218479065</v>
      </c>
      <c r="F12" s="23">
        <f>F10*F8</f>
        <v>8246.3818205502193</v>
      </c>
      <c r="G12" s="23"/>
      <c r="H12" s="23"/>
      <c r="I12" s="23"/>
      <c r="J12" s="23">
        <f>J10*J8</f>
        <v>1207.5629341812703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2397</v>
      </c>
      <c r="C28" s="36"/>
      <c r="D28" s="228"/>
    </row>
    <row r="29" spans="1:7" s="15" customFormat="1">
      <c r="A29" s="230" t="s">
        <v>699</v>
      </c>
      <c r="B29" s="37">
        <f>SUM(HH_hh_gas_aantal,HH_rest_gas_aantal)</f>
        <v>443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443</v>
      </c>
      <c r="C32" s="167">
        <f>IF(ISERROR(B32/SUM($B$32,$B$34,$B$35,$B$36,$B$38,$B$39)*100),0,B32/SUM($B$32,$B$34,$B$35,$B$36,$B$38,$B$39)*100)</f>
        <v>18.684099536060732</v>
      </c>
      <c r="D32" s="233"/>
      <c r="G32" s="15"/>
    </row>
    <row r="33" spans="1:7">
      <c r="A33" s="171" t="s">
        <v>72</v>
      </c>
      <c r="B33" s="34" t="s">
        <v>111</v>
      </c>
      <c r="C33" s="167"/>
      <c r="D33" s="233"/>
      <c r="G33" s="15"/>
    </row>
    <row r="34" spans="1:7">
      <c r="A34" s="171" t="s">
        <v>73</v>
      </c>
      <c r="B34" s="33">
        <f>IF((($B$28-$B$32-$B$39-$B$77-$B$38)*C20/100)&lt;0,0,($B$28-$B$32-$B$39-$B$77-$B$38)*C20/100)</f>
        <v>136.5</v>
      </c>
      <c r="C34" s="167">
        <f>IF(ISERROR(B34/SUM($B$32,$B$34,$B$35,$B$36,$B$38,$B$39)*100),0,B34/SUM($B$32,$B$34,$B$35,$B$36,$B$38,$B$39)*100)</f>
        <v>5.7570645297342891</v>
      </c>
      <c r="D34" s="233"/>
      <c r="G34" s="15"/>
    </row>
    <row r="35" spans="1:7">
      <c r="A35" s="171" t="s">
        <v>74</v>
      </c>
      <c r="B35" s="33">
        <f>IF((($B$28-$B$32-$B$39-$B$77-$B$38)*C21/100)&lt;0,0,($B$28-$B$32-$B$39-$B$77-$B$38)*C21/100)</f>
        <v>267</v>
      </c>
      <c r="C35" s="167">
        <f>IF(ISERROR(B35/SUM($B$32,$B$34,$B$35,$B$36,$B$38,$B$39)*100),0,B35/SUM($B$32,$B$34,$B$35,$B$36,$B$38,$B$39)*100)</f>
        <v>11.261071277941797</v>
      </c>
      <c r="D35" s="233"/>
      <c r="G35" s="15"/>
    </row>
    <row r="36" spans="1:7">
      <c r="A36" s="171" t="s">
        <v>75</v>
      </c>
      <c r="B36" s="33">
        <f>IF((($B$28-$B$32-$B$39-$B$77-$B$38)*C22/100)&lt;0,0,($B$28-$B$32-$B$39-$B$77-$B$38)*C22/100)</f>
        <v>145.50000000000003</v>
      </c>
      <c r="C36" s="167">
        <f>IF(ISERROR(B36/SUM($B$32,$B$34,$B$35,$B$36,$B$38,$B$39)*100),0,B36/SUM($B$32,$B$34,$B$35,$B$36,$B$38,$B$39)*100)</f>
        <v>6.1366512020244635</v>
      </c>
      <c r="D36" s="233"/>
      <c r="G36" s="15"/>
    </row>
    <row r="37" spans="1:7">
      <c r="A37" s="171" t="s">
        <v>76</v>
      </c>
      <c r="B37" s="34" t="s">
        <v>111</v>
      </c>
      <c r="C37" s="167"/>
      <c r="D37" s="173"/>
      <c r="G37" s="15"/>
    </row>
    <row r="38" spans="1:7">
      <c r="A38" s="171" t="s">
        <v>77</v>
      </c>
      <c r="B38" s="33">
        <f>IF((B24-(B29-B18)*0.1)&lt;0,0,B24-(B29-B18)*0.1)</f>
        <v>110.19999999999999</v>
      </c>
      <c r="C38" s="167">
        <f>IF(ISERROR(B38/SUM($B$32,$B$34,$B$35,$B$36,$B$38,$B$39)*100),0,B38/SUM($B$32,$B$34,$B$35,$B$36,$B$38,$B$39)*100)</f>
        <v>4.6478279207085613</v>
      </c>
      <c r="D38" s="234"/>
      <c r="G38" s="15"/>
    </row>
    <row r="39" spans="1:7">
      <c r="A39" s="171" t="s">
        <v>78</v>
      </c>
      <c r="B39" s="33">
        <f>IF((B25-(B29-B18))&lt;0,0,B25-(B29-B18)*0.9)</f>
        <v>1268.8</v>
      </c>
      <c r="C39" s="167">
        <f>IF(ISERROR(B39/SUM($B$32,$B$34,$B$35,$B$36,$B$38,$B$39)*100),0,B39/SUM($B$32,$B$34,$B$35,$B$36,$B$38,$B$39)*100)</f>
        <v>53.513285533530151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443</v>
      </c>
      <c r="C44" s="34" t="s">
        <v>111</v>
      </c>
      <c r="D44" s="174"/>
    </row>
    <row r="45" spans="1:7">
      <c r="A45" s="171" t="s">
        <v>72</v>
      </c>
      <c r="B45" s="33" t="str">
        <f t="shared" si="0"/>
        <v>-</v>
      </c>
      <c r="C45" s="34" t="s">
        <v>111</v>
      </c>
      <c r="D45" s="174"/>
    </row>
    <row r="46" spans="1:7">
      <c r="A46" s="171" t="s">
        <v>73</v>
      </c>
      <c r="B46" s="33">
        <f t="shared" si="0"/>
        <v>136.5</v>
      </c>
      <c r="C46" s="34" t="s">
        <v>111</v>
      </c>
      <c r="D46" s="174"/>
    </row>
    <row r="47" spans="1:7">
      <c r="A47" s="171" t="s">
        <v>74</v>
      </c>
      <c r="B47" s="33">
        <f t="shared" si="0"/>
        <v>267</v>
      </c>
      <c r="C47" s="34" t="s">
        <v>111</v>
      </c>
      <c r="D47" s="174"/>
    </row>
    <row r="48" spans="1:7">
      <c r="A48" s="171" t="s">
        <v>75</v>
      </c>
      <c r="B48" s="33">
        <f t="shared" si="0"/>
        <v>145.50000000000003</v>
      </c>
      <c r="C48" s="33">
        <f>B48*10</f>
        <v>1455.0000000000002</v>
      </c>
      <c r="D48" s="234"/>
    </row>
    <row r="49" spans="1:6">
      <c r="A49" s="171" t="s">
        <v>76</v>
      </c>
      <c r="B49" s="33" t="str">
        <f t="shared" si="0"/>
        <v>-</v>
      </c>
      <c r="C49" s="34" t="s">
        <v>111</v>
      </c>
      <c r="D49" s="234"/>
    </row>
    <row r="50" spans="1:6">
      <c r="A50" s="171" t="s">
        <v>77</v>
      </c>
      <c r="B50" s="33">
        <f t="shared" si="0"/>
        <v>110.19999999999999</v>
      </c>
      <c r="C50" s="33">
        <f>B50*2</f>
        <v>220.39999999999998</v>
      </c>
      <c r="D50" s="234"/>
    </row>
    <row r="51" spans="1:6">
      <c r="A51" s="171" t="s">
        <v>78</v>
      </c>
      <c r="B51" s="33">
        <f t="shared" si="0"/>
        <v>1268.8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4632.9510108269997</v>
      </c>
      <c r="C5" s="17">
        <f>IF(ISERROR('Eigen informatie GS &amp; warmtenet'!B58),0,'Eigen informatie GS &amp; warmtenet'!B58)</f>
        <v>0</v>
      </c>
      <c r="D5" s="30">
        <f>SUM(D6:D12)</f>
        <v>4059.0132042174437</v>
      </c>
      <c r="E5" s="17">
        <f>SUM(E6:E12)</f>
        <v>81.907609015839824</v>
      </c>
      <c r="F5" s="17">
        <f>SUM(F6:F12)</f>
        <v>1219.1883766373255</v>
      </c>
      <c r="G5" s="18"/>
      <c r="H5" s="17"/>
      <c r="I5" s="17"/>
      <c r="J5" s="17">
        <f>SUM(J6:J12)</f>
        <v>0</v>
      </c>
      <c r="K5" s="17"/>
      <c r="L5" s="17"/>
      <c r="M5" s="17"/>
      <c r="N5" s="17">
        <f>SUM(N6:N12)</f>
        <v>376.23215167449672</v>
      </c>
      <c r="O5" s="17">
        <f>B38*B39*B40</f>
        <v>1.5633333333333335</v>
      </c>
      <c r="P5" s="17">
        <f>B46*B47*B48/1000-B46*B47*B48/1000/B49</f>
        <v>19.066666666666666</v>
      </c>
      <c r="R5" s="32"/>
    </row>
    <row r="6" spans="1:18">
      <c r="A6" s="32" t="s">
        <v>54</v>
      </c>
      <c r="B6" s="37">
        <f>B26</f>
        <v>598.79385525999999</v>
      </c>
      <c r="C6" s="33"/>
      <c r="D6" s="37">
        <f>IF(ISERROR(TER_kantoor_gas_kWh/1000),0,TER_kantoor_gas_kWh/1000)*0.902</f>
        <v>503.05569117056001</v>
      </c>
      <c r="E6" s="33">
        <f>$C$26*'E Balans VL '!I12/100/3.6*1000000</f>
        <v>7.8389491724270881</v>
      </c>
      <c r="F6" s="33">
        <f>$C$26*('E Balans VL '!L12+'E Balans VL '!N12)/100/3.6*1000000</f>
        <v>152.68624538674086</v>
      </c>
      <c r="G6" s="34"/>
      <c r="H6" s="33"/>
      <c r="I6" s="33"/>
      <c r="J6" s="33">
        <f>$C$26*('E Balans VL '!D12+'E Balans VL '!E12)/100/3.6*1000000</f>
        <v>0</v>
      </c>
      <c r="K6" s="33"/>
      <c r="L6" s="33"/>
      <c r="M6" s="33"/>
      <c r="N6" s="33">
        <f>$C$26*'E Balans VL '!Y12/100/3.6*1000000</f>
        <v>0.600810261494507</v>
      </c>
      <c r="O6" s="33"/>
      <c r="P6" s="33"/>
      <c r="R6" s="32"/>
    </row>
    <row r="7" spans="1:18">
      <c r="A7" s="32" t="s">
        <v>53</v>
      </c>
      <c r="B7" s="37">
        <f t="shared" ref="B7:B12" si="0">B27</f>
        <v>312.80176337</v>
      </c>
      <c r="C7" s="33"/>
      <c r="D7" s="37">
        <f>IF(ISERROR(TER_horeca_gas_kWh/1000),0,TER_horeca_gas_kWh/1000)*0.902</f>
        <v>56.945142692284008</v>
      </c>
      <c r="E7" s="33">
        <f>$C$27*'E Balans VL '!I9/100/3.6*1000000</f>
        <v>10.351835658248596</v>
      </c>
      <c r="F7" s="33">
        <f>$C$27*('E Balans VL '!L9+'E Balans VL '!N9)/100/3.6*1000000</f>
        <v>134.50355944753403</v>
      </c>
      <c r="G7" s="34"/>
      <c r="H7" s="33"/>
      <c r="I7" s="33"/>
      <c r="J7" s="33">
        <f>$C$27*('E Balans VL '!D9+'E Balans VL '!E9)/100/3.6*1000000</f>
        <v>0</v>
      </c>
      <c r="K7" s="33"/>
      <c r="L7" s="33"/>
      <c r="M7" s="33"/>
      <c r="N7" s="33">
        <f>$C$27*'E Balans VL '!Y9/100/3.6*1000000</f>
        <v>7.5295926823247927E-2</v>
      </c>
      <c r="O7" s="33"/>
      <c r="P7" s="33"/>
      <c r="R7" s="32"/>
    </row>
    <row r="8" spans="1:18">
      <c r="A8" s="6" t="s">
        <v>52</v>
      </c>
      <c r="B8" s="37">
        <f t="shared" si="0"/>
        <v>357.07476522000002</v>
      </c>
      <c r="C8" s="33"/>
      <c r="D8" s="37">
        <f>IF(ISERROR(TER_handel_gas_kWh/1000),0,TER_handel_gas_kWh/1000)*0.902</f>
        <v>0</v>
      </c>
      <c r="E8" s="33">
        <f>$C$28*'E Balans VL '!I13/100/3.6*1000000</f>
        <v>11.269825184343986</v>
      </c>
      <c r="F8" s="33">
        <f>$C$28*('E Balans VL '!L13+'E Balans VL '!N13)/100/3.6*1000000</f>
        <v>70.028649155882732</v>
      </c>
      <c r="G8" s="34"/>
      <c r="H8" s="33"/>
      <c r="I8" s="33"/>
      <c r="J8" s="33">
        <f>$C$28*('E Balans VL '!D13+'E Balans VL '!E13)/100/3.6*1000000</f>
        <v>0</v>
      </c>
      <c r="K8" s="33"/>
      <c r="L8" s="33"/>
      <c r="M8" s="33"/>
      <c r="N8" s="33">
        <f>$C$28*'E Balans VL '!Y13/100/3.6*1000000</f>
        <v>0.42377842110154129</v>
      </c>
      <c r="O8" s="33"/>
      <c r="P8" s="33"/>
      <c r="R8" s="32"/>
    </row>
    <row r="9" spans="1:18">
      <c r="A9" s="32" t="s">
        <v>51</v>
      </c>
      <c r="B9" s="37">
        <f t="shared" si="0"/>
        <v>210.12118288000002</v>
      </c>
      <c r="C9" s="33"/>
      <c r="D9" s="37">
        <f>IF(ISERROR(TER_gezond_gas_kWh/1000),0,TER_gezond_gas_kWh/1000)*0.902</f>
        <v>0</v>
      </c>
      <c r="E9" s="33">
        <f>$C$29*'E Balans VL '!I10/100/3.6*1000000</f>
        <v>2.6901658367455662E-2</v>
      </c>
      <c r="F9" s="33">
        <f>$C$29*('E Balans VL '!L10+'E Balans VL '!N10)/100/3.6*1000000</f>
        <v>43.777049379780479</v>
      </c>
      <c r="G9" s="34"/>
      <c r="H9" s="33"/>
      <c r="I9" s="33"/>
      <c r="J9" s="33">
        <f>$C$29*('E Balans VL '!D10+'E Balans VL '!E10)/100/3.6*1000000</f>
        <v>0</v>
      </c>
      <c r="K9" s="33"/>
      <c r="L9" s="33"/>
      <c r="M9" s="33"/>
      <c r="N9" s="33">
        <f>$C$29*'E Balans VL '!Y10/100/3.6*1000000</f>
        <v>2.4679726092533318</v>
      </c>
      <c r="O9" s="33"/>
      <c r="P9" s="33"/>
      <c r="R9" s="32"/>
    </row>
    <row r="10" spans="1:18">
      <c r="A10" s="32" t="s">
        <v>50</v>
      </c>
      <c r="B10" s="37">
        <f t="shared" si="0"/>
        <v>141.32513451</v>
      </c>
      <c r="C10" s="33"/>
      <c r="D10" s="37">
        <f>IF(ISERROR(TER_ander_gas_kWh/1000),0,TER_ander_gas_kWh/1000)*0.902</f>
        <v>0</v>
      </c>
      <c r="E10" s="33">
        <f>$C$30*'E Balans VL '!I14/100/3.6*1000000</f>
        <v>0.21251976749469498</v>
      </c>
      <c r="F10" s="33">
        <f>$C$30*('E Balans VL '!L14+'E Balans VL '!N14)/100/3.6*1000000</f>
        <v>31.200034141052857</v>
      </c>
      <c r="G10" s="34"/>
      <c r="H10" s="33"/>
      <c r="I10" s="33"/>
      <c r="J10" s="33">
        <f>$C$30*('E Balans VL '!D14+'E Balans VL '!E14)/100/3.6*1000000</f>
        <v>0</v>
      </c>
      <c r="K10" s="33"/>
      <c r="L10" s="33"/>
      <c r="M10" s="33"/>
      <c r="N10" s="33">
        <f>$C$30*'E Balans VL '!Y14/100/3.6*1000000</f>
        <v>111.37371681683881</v>
      </c>
      <c r="O10" s="33"/>
      <c r="P10" s="33"/>
      <c r="R10" s="32"/>
    </row>
    <row r="11" spans="1:18">
      <c r="A11" s="32" t="s">
        <v>55</v>
      </c>
      <c r="B11" s="37">
        <f t="shared" si="0"/>
        <v>52.881164187000003</v>
      </c>
      <c r="C11" s="33"/>
      <c r="D11" s="37">
        <f>IF(ISERROR(TER_onderwijs_gas_kWh/1000),0,TER_onderwijs_gas_kWh/1000)*0.902</f>
        <v>139.4017522744</v>
      </c>
      <c r="E11" s="33">
        <f>$C$31*'E Balans VL '!I11/100/3.6*1000000</f>
        <v>9.3128161559548048E-2</v>
      </c>
      <c r="F11" s="33">
        <f>$C$31*('E Balans VL '!L11+'E Balans VL '!N11)/100/3.6*1000000</f>
        <v>24.416190388221253</v>
      </c>
      <c r="G11" s="34"/>
      <c r="H11" s="33"/>
      <c r="I11" s="33"/>
      <c r="J11" s="33">
        <f>$C$31*('E Balans VL '!D11+'E Balans VL '!E11)/100/3.6*1000000</f>
        <v>0</v>
      </c>
      <c r="K11" s="33"/>
      <c r="L11" s="33"/>
      <c r="M11" s="33"/>
      <c r="N11" s="33">
        <f>$C$31*'E Balans VL '!Y11/100/3.6*1000000</f>
        <v>9.8518340162298518E-2</v>
      </c>
      <c r="O11" s="33"/>
      <c r="P11" s="33"/>
      <c r="R11" s="32"/>
    </row>
    <row r="12" spans="1:18">
      <c r="A12" s="32" t="s">
        <v>260</v>
      </c>
      <c r="B12" s="37">
        <f t="shared" si="0"/>
        <v>2959.9531453999998</v>
      </c>
      <c r="C12" s="33"/>
      <c r="D12" s="37">
        <f>IF(ISERROR(TER_rest_gas_kWh/1000),0,TER_rest_gas_kWh/1000)*0.902</f>
        <v>3359.6106180801999</v>
      </c>
      <c r="E12" s="33">
        <f>$C$32*'E Balans VL '!I8/100/3.6*1000000</f>
        <v>52.114449413398461</v>
      </c>
      <c r="F12" s="33">
        <f>$C$32*('E Balans VL '!L8+'E Balans VL '!N8)/100/3.6*1000000</f>
        <v>762.57664873811325</v>
      </c>
      <c r="G12" s="34"/>
      <c r="H12" s="33"/>
      <c r="I12" s="33"/>
      <c r="J12" s="33">
        <f>$C$32*('E Balans VL '!D8+'E Balans VL '!E8)/100/3.6*1000000</f>
        <v>0</v>
      </c>
      <c r="K12" s="33"/>
      <c r="L12" s="33"/>
      <c r="M12" s="33"/>
      <c r="N12" s="33">
        <f>$C$32*'E Balans VL '!Y8/100/3.6*1000000</f>
        <v>261.19205929882298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4632.9510108269997</v>
      </c>
      <c r="C16" s="21">
        <f t="shared" ca="1" si="1"/>
        <v>0</v>
      </c>
      <c r="D16" s="21">
        <f t="shared" ca="1" si="1"/>
        <v>4059.0132042174437</v>
      </c>
      <c r="E16" s="21">
        <f t="shared" si="1"/>
        <v>81.907609015839824</v>
      </c>
      <c r="F16" s="21">
        <f t="shared" ca="1" si="1"/>
        <v>1219.1883766373255</v>
      </c>
      <c r="G16" s="21">
        <f t="shared" si="1"/>
        <v>0</v>
      </c>
      <c r="H16" s="21">
        <f t="shared" si="1"/>
        <v>0</v>
      </c>
      <c r="I16" s="21">
        <f t="shared" si="1"/>
        <v>0</v>
      </c>
      <c r="J16" s="21">
        <f t="shared" si="1"/>
        <v>0</v>
      </c>
      <c r="K16" s="21">
        <f t="shared" si="1"/>
        <v>0</v>
      </c>
      <c r="L16" s="21">
        <f t="shared" ca="1" si="1"/>
        <v>0</v>
      </c>
      <c r="M16" s="21">
        <f t="shared" si="1"/>
        <v>0</v>
      </c>
      <c r="N16" s="21">
        <f t="shared" ca="1" si="1"/>
        <v>376.23215167449672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0.20578079227652898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953.3723295863258</v>
      </c>
      <c r="C20" s="23">
        <f t="shared" ref="C20:P20" ca="1" si="2">C16*C18</f>
        <v>0</v>
      </c>
      <c r="D20" s="23">
        <f t="shared" ca="1" si="2"/>
        <v>819.92066725192365</v>
      </c>
      <c r="E20" s="23">
        <f t="shared" si="2"/>
        <v>18.593027246595639</v>
      </c>
      <c r="F20" s="23">
        <f t="shared" ca="1" si="2"/>
        <v>325.52329656216591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598.79385525999999</v>
      </c>
      <c r="C26" s="39">
        <f>IF(ISERROR(B26*3.6/1000000/'E Balans VL '!Z12*100),0,B26*3.6/1000000/'E Balans VL '!Z12*100)</f>
        <v>1.2826629564501275E-2</v>
      </c>
      <c r="D26" s="237" t="s">
        <v>660</v>
      </c>
      <c r="F26" s="6"/>
    </row>
    <row r="27" spans="1:18">
      <c r="A27" s="231" t="s">
        <v>53</v>
      </c>
      <c r="B27" s="33">
        <f>IF(ISERROR(TER_horeca_ele_kWh/1000),0,TER_horeca_ele_kWh/1000)</f>
        <v>312.80176337</v>
      </c>
      <c r="C27" s="39">
        <f>IF(ISERROR(B27*3.6/1000000/'E Balans VL '!Z9*100),0,B27*3.6/1000000/'E Balans VL '!Z9*100)</f>
        <v>2.5101254222611155E-2</v>
      </c>
      <c r="D27" s="237" t="s">
        <v>660</v>
      </c>
      <c r="F27" s="6"/>
    </row>
    <row r="28" spans="1:18">
      <c r="A28" s="171" t="s">
        <v>52</v>
      </c>
      <c r="B28" s="33">
        <f>IF(ISERROR(TER_handel_ele_kWh/1000),0,TER_handel_ele_kWh/1000)</f>
        <v>357.07476522000002</v>
      </c>
      <c r="C28" s="39">
        <f>IF(ISERROR(B28*3.6/1000000/'E Balans VL '!Z13*100),0,B28*3.6/1000000/'E Balans VL '!Z13*100)</f>
        <v>1.0531657474828739E-2</v>
      </c>
      <c r="D28" s="237" t="s">
        <v>660</v>
      </c>
      <c r="F28" s="6"/>
    </row>
    <row r="29" spans="1:18">
      <c r="A29" s="231" t="s">
        <v>51</v>
      </c>
      <c r="B29" s="33">
        <f>IF(ISERROR(TER_gezond_ele_kWh/1000),0,TER_gezond_ele_kWh/1000)</f>
        <v>210.12118288000002</v>
      </c>
      <c r="C29" s="39">
        <f>IF(ISERROR(B29*3.6/1000000/'E Balans VL '!Z10*100),0,B29*3.6/1000000/'E Balans VL '!Z10*100)</f>
        <v>2.2435308771414222E-2</v>
      </c>
      <c r="D29" s="237" t="s">
        <v>660</v>
      </c>
      <c r="F29" s="6"/>
    </row>
    <row r="30" spans="1:18">
      <c r="A30" s="231" t="s">
        <v>50</v>
      </c>
      <c r="B30" s="33">
        <f>IF(ISERROR(TER_ander_ele_kWh/1000),0,TER_ander_ele_kWh/1000)</f>
        <v>141.32513451</v>
      </c>
      <c r="C30" s="39">
        <f>IF(ISERROR(B30*3.6/1000000/'E Balans VL '!Z14*100),0,B30*3.6/1000000/'E Balans VL '!Z14*100)</f>
        <v>1.0674842370958223E-2</v>
      </c>
      <c r="D30" s="237" t="s">
        <v>660</v>
      </c>
      <c r="F30" s="6"/>
    </row>
    <row r="31" spans="1:18">
      <c r="A31" s="231" t="s">
        <v>55</v>
      </c>
      <c r="B31" s="33">
        <f>IF(ISERROR(TER_onderwijs_ele_kWh/1000),0,TER_onderwijs_ele_kWh/1000)</f>
        <v>52.881164187000003</v>
      </c>
      <c r="C31" s="39">
        <f>IF(ISERROR(B31*3.6/1000000/'E Balans VL '!Z11*100),0,B31*3.6/1000000/'E Balans VL '!Z11*100)</f>
        <v>1.0678472358993468E-2</v>
      </c>
      <c r="D31" s="237" t="s">
        <v>660</v>
      </c>
    </row>
    <row r="32" spans="1:18">
      <c r="A32" s="231" t="s">
        <v>260</v>
      </c>
      <c r="B32" s="33">
        <f>IF(ISERROR(TER_rest_ele_kWh/1000),0,TER_rest_ele_kWh/1000)</f>
        <v>2959.9531453999998</v>
      </c>
      <c r="C32" s="39">
        <f>IF(ISERROR(B32*3.6/1000000/'E Balans VL '!Z8*100),0,B32*3.6/1000000/'E Balans VL '!Z8*100)</f>
        <v>2.4542133280386492E-2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979.38026243999991</v>
      </c>
      <c r="C5" s="17">
        <f>IF(ISERROR('Eigen informatie GS &amp; warmtenet'!B59),0,'Eigen informatie GS &amp; warmtenet'!B59)</f>
        <v>0</v>
      </c>
      <c r="D5" s="30">
        <f>SUM(D6:D15)</f>
        <v>188.32140455392002</v>
      </c>
      <c r="E5" s="17">
        <f>SUM(E6:E15)</f>
        <v>94.870395848820777</v>
      </c>
      <c r="F5" s="17">
        <f>SUM(F6:F15)</f>
        <v>346.96865957597049</v>
      </c>
      <c r="G5" s="18"/>
      <c r="H5" s="17"/>
      <c r="I5" s="17"/>
      <c r="J5" s="17">
        <f>SUM(J6:J15)</f>
        <v>6.2565555438851952</v>
      </c>
      <c r="K5" s="17"/>
      <c r="L5" s="17"/>
      <c r="M5" s="17"/>
      <c r="N5" s="17">
        <f>SUM(N6:N15)</f>
        <v>220.34013357276808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207.64393963999999</v>
      </c>
      <c r="C9" s="33"/>
      <c r="D9" s="37">
        <f>IF( ISERROR(IND_andere_gas_kWh/1000),0,IND_andere_gas_kWh/1000)*0.902</f>
        <v>0</v>
      </c>
      <c r="E9" s="33">
        <f>C31*'E Balans VL '!I19/100/3.6*1000000</f>
        <v>52.986035320405435</v>
      </c>
      <c r="F9" s="33">
        <f>C31*'E Balans VL '!L19/100/3.6*1000000+C31*'E Balans VL '!N19/100/3.6*1000000</f>
        <v>178.76582490478376</v>
      </c>
      <c r="G9" s="34"/>
      <c r="H9" s="33"/>
      <c r="I9" s="33"/>
      <c r="J9" s="40">
        <f>C31*'E Balans VL '!D19/100/3.6*1000000+C31*'E Balans VL '!E19/100/3.6*1000000</f>
        <v>0</v>
      </c>
      <c r="K9" s="33"/>
      <c r="L9" s="33"/>
      <c r="M9" s="33"/>
      <c r="N9" s="33">
        <f>C31*'E Balans VL '!Y19/100/3.6*1000000</f>
        <v>64.937370987690016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771.73632279999993</v>
      </c>
      <c r="C15" s="33"/>
      <c r="D15" s="37">
        <f>IF( ISERROR(IND_rest_gas_kWh/1000),0,IND_rest_gas_kWh/1000)*0.902</f>
        <v>188.32140455392002</v>
      </c>
      <c r="E15" s="33">
        <f>C37*'E Balans VL '!I15/100/3.6*1000000</f>
        <v>41.884360528415343</v>
      </c>
      <c r="F15" s="33">
        <f>C37*'E Balans VL '!L15/100/3.6*1000000+C37*'E Balans VL '!N15/100/3.6*1000000</f>
        <v>168.20283467118676</v>
      </c>
      <c r="G15" s="34"/>
      <c r="H15" s="33"/>
      <c r="I15" s="33"/>
      <c r="J15" s="40">
        <f>C37*'E Balans VL '!D15/100/3.6*1000000+C37*'E Balans VL '!E15/100/3.6*1000000</f>
        <v>6.2565555438851952</v>
      </c>
      <c r="K15" s="33"/>
      <c r="L15" s="33"/>
      <c r="M15" s="33"/>
      <c r="N15" s="33">
        <f>C37*'E Balans VL '!Y15/100/3.6*1000000</f>
        <v>155.40276258507805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979.38026243999991</v>
      </c>
      <c r="C18" s="21">
        <f>C5+C16</f>
        <v>0</v>
      </c>
      <c r="D18" s="21">
        <f>MAX((D5+D16),0)</f>
        <v>188.32140455392002</v>
      </c>
      <c r="E18" s="21">
        <f>MAX((E5+E16),0)</f>
        <v>94.870395848820777</v>
      </c>
      <c r="F18" s="21">
        <f>MAX((F5+F16),0)</f>
        <v>346.96865957597049</v>
      </c>
      <c r="G18" s="21"/>
      <c r="H18" s="21"/>
      <c r="I18" s="21"/>
      <c r="J18" s="21">
        <f>MAX((J5+J16),0)</f>
        <v>6.2565555438851952</v>
      </c>
      <c r="K18" s="21"/>
      <c r="L18" s="21">
        <f>MAX((L5+L16),0)</f>
        <v>0</v>
      </c>
      <c r="M18" s="21"/>
      <c r="N18" s="21">
        <f>MAX((N5+N16),0)</f>
        <v>220.34013357276808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0.20578079227652898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201.53764634489806</v>
      </c>
      <c r="C22" s="23">
        <f ca="1">C18*C20</f>
        <v>0</v>
      </c>
      <c r="D22" s="23">
        <f>D18*D20</f>
        <v>38.040923719891843</v>
      </c>
      <c r="E22" s="23">
        <f>E18*E20</f>
        <v>21.535579857682318</v>
      </c>
      <c r="F22" s="23">
        <f>F18*F20</f>
        <v>92.640632106784125</v>
      </c>
      <c r="G22" s="23"/>
      <c r="H22" s="23"/>
      <c r="I22" s="23"/>
      <c r="J22" s="23">
        <f>J18*J20</f>
        <v>2.214820662535359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207.64393963999999</v>
      </c>
      <c r="C31" s="39">
        <f>IF(ISERROR(B31*3.6/1000000/'E Balans VL '!Z19*100),0,B31*3.6/1000000/'E Balans VL '!Z19*100)</f>
        <v>8.7402049093020847E-3</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771.73632279999993</v>
      </c>
      <c r="C37" s="39">
        <f>IF(ISERROR(B37*3.6/1000000/'E Balans VL '!Z15*100),0,B37*3.6/1000000/'E Balans VL '!Z15*100)</f>
        <v>6.2305261639650856E-3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1690.92482821</v>
      </c>
      <c r="C5" s="17">
        <f>'Eigen informatie GS &amp; warmtenet'!B60</f>
        <v>0</v>
      </c>
      <c r="D5" s="30">
        <f>IF(ISERROR(SUM(LB_lb_gas_kWh,LB_rest_gas_kWh)/1000),0,SUM(LB_lb_gas_kWh,LB_rest_gas_kWh)/1000)*0.902</f>
        <v>9.7456748499440007</v>
      </c>
      <c r="E5" s="17">
        <f>B17*'E Balans VL '!I25/3.6*1000000/100</f>
        <v>43.6024589188129</v>
      </c>
      <c r="F5" s="17">
        <f>B17*('E Balans VL '!L25/3.6*1000000+'E Balans VL '!N25/3.6*1000000)/100</f>
        <v>6180.6522680982225</v>
      </c>
      <c r="G5" s="18"/>
      <c r="H5" s="17"/>
      <c r="I5" s="17"/>
      <c r="J5" s="17">
        <f>('E Balans VL '!D25+'E Balans VL '!E25)/3.6*1000000*landbouw!B17/100</f>
        <v>243.43097179044653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1690.92482821</v>
      </c>
      <c r="C8" s="21">
        <f>C5+C6</f>
        <v>0</v>
      </c>
      <c r="D8" s="21">
        <f>MAX((D5+D6),0)</f>
        <v>9.7456748499440007</v>
      </c>
      <c r="E8" s="21">
        <f>MAX((E5+E6),0)</f>
        <v>43.6024589188129</v>
      </c>
      <c r="F8" s="21">
        <f>MAX((F5+F6),0)</f>
        <v>6180.6522680982225</v>
      </c>
      <c r="G8" s="21"/>
      <c r="H8" s="21"/>
      <c r="I8" s="21"/>
      <c r="J8" s="21">
        <f>MAX((J5+J6),0)</f>
        <v>243.43097179044653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0.20578079227652898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347.95985082910744</v>
      </c>
      <c r="C12" s="23">
        <f ca="1">C8*C10</f>
        <v>0</v>
      </c>
      <c r="D12" s="23">
        <f>D8*D10</f>
        <v>1.9686263196886882</v>
      </c>
      <c r="E12" s="23">
        <f>E8*E10</f>
        <v>9.8977581745705283</v>
      </c>
      <c r="F12" s="23">
        <f>F8*F10</f>
        <v>1650.2341555822254</v>
      </c>
      <c r="G12" s="23"/>
      <c r="H12" s="23"/>
      <c r="I12" s="23"/>
      <c r="J12" s="23">
        <f>J8*J10</f>
        <v>86.17456401381807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0.2384316012125261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499.22034858314532</v>
      </c>
      <c r="C26" s="247">
        <f>B26*'GWP N2O_CH4'!B5</f>
        <v>10483.627320246052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98.369084393965153</v>
      </c>
      <c r="C27" s="247">
        <f>B27*'GWP N2O_CH4'!B5</f>
        <v>2065.750772273268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6.5501857211360557</v>
      </c>
      <c r="C28" s="247">
        <f>B28*'GWP N2O_CH4'!B4</f>
        <v>2030.5575735521772</v>
      </c>
      <c r="D28" s="50"/>
    </row>
    <row r="29" spans="1:4">
      <c r="A29" s="41" t="s">
        <v>277</v>
      </c>
      <c r="B29" s="247">
        <f>B34*'ha_N2O bodem landbouw'!B4</f>
        <v>22.059318163341903</v>
      </c>
      <c r="C29" s="247">
        <f>B29*'GWP N2O_CH4'!B4</f>
        <v>6838.38863063599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4.9645453249714941E-3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4.4753084821298067E-5</v>
      </c>
      <c r="C5" s="463" t="s">
        <v>211</v>
      </c>
      <c r="D5" s="448">
        <f>SUM(D6:D11)</f>
        <v>1.067369321485326E-4</v>
      </c>
      <c r="E5" s="448">
        <f>SUM(E6:E11)</f>
        <v>4.0794058558577667E-4</v>
      </c>
      <c r="F5" s="461" t="s">
        <v>211</v>
      </c>
      <c r="G5" s="448">
        <f>SUM(G6:G11)</f>
        <v>0.14956292211023048</v>
      </c>
      <c r="H5" s="448">
        <f>SUM(H6:H11)</f>
        <v>2.8578246455870048E-2</v>
      </c>
      <c r="I5" s="463" t="s">
        <v>211</v>
      </c>
      <c r="J5" s="463" t="s">
        <v>211</v>
      </c>
      <c r="K5" s="463" t="s">
        <v>211</v>
      </c>
      <c r="L5" s="463" t="s">
        <v>211</v>
      </c>
      <c r="M5" s="448">
        <f>SUM(M6:M11)</f>
        <v>5.5682035008212767E-3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3.3121028314791453E-5</v>
      </c>
      <c r="C6" s="449"/>
      <c r="D6" s="892">
        <f>vkm_2011_GW_PW*SUMIFS(TableVerdeelsleutelVkm[CNG],TableVerdeelsleutelVkm[Voertuigtype],"Lichte voertuigen")*SUMIFS(TableECFTransport[EnergieConsumptieFactor (PJ per km)],TableECFTransport[Index],CONCATENATE($A6,"_CNG_CNG"))</f>
        <v>6.5812063427124487E-5</v>
      </c>
      <c r="E6" s="892">
        <f>vkm_2011_GW_PW*SUMIFS(TableVerdeelsleutelVkm[LPG],TableVerdeelsleutelVkm[Voertuigtype],"Lichte voertuigen")*SUMIFS(TableECFTransport[EnergieConsumptieFactor (PJ per km)],TableECFTransport[Index],CONCATENATE($A6,"_LPG_LPG"))</f>
        <v>2.5899406144192259E-4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6.1579901206448129E-2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1.7817305481879115E-2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2.4740902768609014E-3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4.4904217574510623E-2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1.4505980293213768E-5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1.4148631889042633E-3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1.1632056506506617E-5</v>
      </c>
      <c r="C8" s="449"/>
      <c r="D8" s="451">
        <f>vkm_2011_NGW_PW*SUMIFS(TableVerdeelsleutelVkm[CNG],TableVerdeelsleutelVkm[Voertuigtype],"Lichte voertuigen")*SUMIFS(TableECFTransport[EnergieConsumptieFactor (PJ per km)],TableECFTransport[Index],CONCATENATE($A8,"_CNG_CNG"))</f>
        <v>4.0924868721408113E-5</v>
      </c>
      <c r="E8" s="451">
        <f>vkm_2011_NGW_PW*SUMIFS(TableVerdeelsleutelVkm[LPG],TableVerdeelsleutelVkm[Voertuigtype],"Lichte voertuigen")*SUMIFS(TableECFTransport[EnergieConsumptieFactor (PJ per km)],TableECFTransport[Index],CONCATENATE($A8,"_LPG_LPG"))</f>
        <v>1.4894652414385406E-4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3.3070315399169957E-2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1.0743377315772051E-2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1.3639031576728185E-3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1.0008487930101751E-2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3.0576779256696594E-6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3.1534687738329263E-4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12.431412450360574</v>
      </c>
      <c r="C14" s="21"/>
      <c r="D14" s="21">
        <f t="shared" ref="D14:M14" si="0">((D5)*10^9/3600)+D12</f>
        <v>29.64914781903683</v>
      </c>
      <c r="E14" s="21">
        <f t="shared" si="0"/>
        <v>113.3168293293824</v>
      </c>
      <c r="F14" s="21"/>
      <c r="G14" s="21">
        <f t="shared" si="0"/>
        <v>41545.256141730686</v>
      </c>
      <c r="H14" s="21">
        <f t="shared" si="0"/>
        <v>7938.4017932972356</v>
      </c>
      <c r="I14" s="21"/>
      <c r="J14" s="21"/>
      <c r="K14" s="21"/>
      <c r="L14" s="21"/>
      <c r="M14" s="21">
        <f t="shared" si="0"/>
        <v>1546.7231946725769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0.20578079227652898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2.5581459031515053</v>
      </c>
      <c r="C18" s="23"/>
      <c r="D18" s="23">
        <f t="shared" ref="D18:M18" si="1">D14*D16</f>
        <v>5.98912785944544</v>
      </c>
      <c r="E18" s="23">
        <f t="shared" si="1"/>
        <v>25.722920257769808</v>
      </c>
      <c r="F18" s="23"/>
      <c r="G18" s="23">
        <f t="shared" si="1"/>
        <v>11092.583389842093</v>
      </c>
      <c r="H18" s="23">
        <f t="shared" si="1"/>
        <v>1976.6620465310116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2.7263955664399773E-3</v>
      </c>
      <c r="H50" s="321">
        <f t="shared" si="2"/>
        <v>0</v>
      </c>
      <c r="I50" s="321">
        <f t="shared" si="2"/>
        <v>0</v>
      </c>
      <c r="J50" s="321">
        <f t="shared" si="2"/>
        <v>0</v>
      </c>
      <c r="K50" s="321">
        <f t="shared" si="2"/>
        <v>0</v>
      </c>
      <c r="L50" s="321">
        <f t="shared" si="2"/>
        <v>0</v>
      </c>
      <c r="M50" s="321">
        <f t="shared" si="2"/>
        <v>8.4566691027641687E-5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2.7263955664399773E-3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8.4566691027641687E-5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757.3321017888826</v>
      </c>
      <c r="H54" s="21">
        <f t="shared" si="3"/>
        <v>0</v>
      </c>
      <c r="I54" s="21">
        <f t="shared" si="3"/>
        <v>0</v>
      </c>
      <c r="J54" s="21">
        <f t="shared" si="3"/>
        <v>0</v>
      </c>
      <c r="K54" s="21">
        <f t="shared" si="3"/>
        <v>0</v>
      </c>
      <c r="L54" s="21">
        <f t="shared" si="3"/>
        <v>0</v>
      </c>
      <c r="M54" s="21">
        <f t="shared" si="3"/>
        <v>23.490747507678247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0.20578079227652898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202.20767117763165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1382.5595154068947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1382.5595154068947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2019-08-12T08:25:55Z</dcterms:modified>
</cp:coreProperties>
</file>