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1" s="1"/>
  <c r="Q12"/>
  <c r="O28"/>
  <c r="M89" i="14"/>
  <c r="M19" i="59" s="1"/>
  <c r="L89" i="14"/>
  <c r="L19" i="59" s="1"/>
  <c r="K89" i="14"/>
  <c r="K19" i="59" s="1"/>
  <c r="G89" i="14"/>
  <c r="G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M19"/>
  <c r="L19"/>
  <c r="K19"/>
  <c r="J19"/>
  <c r="I19"/>
  <c r="G19"/>
  <c r="G22" s="1"/>
  <c r="F19"/>
  <c r="E19"/>
  <c r="D19"/>
  <c r="Q48"/>
  <c r="P48"/>
  <c r="P52" s="1"/>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Q26"/>
  <c r="P26"/>
  <c r="N26"/>
  <c r="L26"/>
  <c r="L22"/>
  <c r="O22"/>
  <c r="R12"/>
  <c r="O19" i="59" l="1"/>
  <c r="O20" s="1"/>
  <c r="O90" i="14"/>
  <c r="O77"/>
  <c r="L10" i="18"/>
  <c r="N77" i="14"/>
  <c r="N9" i="59" s="1"/>
  <c r="N10" s="1"/>
  <c r="K10" i="18"/>
  <c r="N19" i="59"/>
  <c r="N20" s="1"/>
  <c r="N90" i="14"/>
  <c r="K17" i="59"/>
  <c r="K20" s="1"/>
  <c r="K90" i="14"/>
  <c r="P32" i="48"/>
  <c r="P25"/>
  <c r="P31"/>
  <c r="P29"/>
  <c r="H90" i="14"/>
  <c r="H18" i="59"/>
  <c r="H20" s="1"/>
  <c r="O32" i="48"/>
  <c r="O29"/>
  <c r="L18" i="59"/>
  <c r="L90" i="14"/>
  <c r="B14" i="48"/>
  <c r="Q14" s="1"/>
  <c r="R25" i="14"/>
  <c r="Q22"/>
  <c r="P27" i="48"/>
  <c r="L78" i="14"/>
  <c r="L8" i="59"/>
  <c r="L10" s="1"/>
  <c r="B98" i="18"/>
  <c r="E102" s="1"/>
  <c r="E17" s="1"/>
  <c r="B17"/>
  <c r="B20" s="1"/>
  <c r="D10"/>
  <c r="E77" i="14"/>
  <c r="E9" i="59" s="1"/>
  <c r="C98" i="18"/>
  <c r="E101" s="1"/>
  <c r="E8" s="1"/>
  <c r="B8"/>
  <c r="H78" i="14"/>
  <c r="H8" i="59"/>
  <c r="H10" s="1"/>
  <c r="E89" i="14"/>
  <c r="E19" i="59" s="1"/>
  <c r="L6" i="17"/>
  <c r="J9" i="18"/>
  <c r="J77" i="14" s="1"/>
  <c r="J9" i="59" s="1"/>
  <c r="B10" i="18"/>
  <c r="E20" i="59"/>
  <c r="E10"/>
  <c r="F13" i="15"/>
  <c r="G78" i="14"/>
  <c r="L20" i="59"/>
  <c r="O19" i="18"/>
  <c r="L13" i="15"/>
  <c r="N13"/>
  <c r="Q77" i="14"/>
  <c r="P9" i="59" s="1"/>
  <c r="O9" i="18"/>
  <c r="O18"/>
  <c r="B89" i="14"/>
  <c r="B19" i="59" s="1"/>
  <c r="G88" i="14"/>
  <c r="F89"/>
  <c r="I101" i="18"/>
  <c r="H8" s="1"/>
  <c r="H101"/>
  <c r="D101"/>
  <c r="G101"/>
  <c r="C101"/>
  <c r="F101"/>
  <c r="B101"/>
  <c r="C8" s="1"/>
  <c r="H102"/>
  <c r="D102"/>
  <c r="G102"/>
  <c r="B77" i="14"/>
  <c r="B9" i="59" s="1"/>
  <c r="O24" i="48"/>
  <c r="O30"/>
  <c r="P24"/>
  <c r="P30"/>
  <c r="C88" i="14"/>
  <c r="C18" i="59" s="1"/>
  <c r="E90" i="14"/>
  <c r="G90" l="1"/>
  <c r="G18" i="59"/>
  <c r="G20" s="1"/>
  <c r="C89" i="14"/>
  <c r="C19" i="59" s="1"/>
  <c r="F19"/>
  <c r="O78" i="14"/>
  <c r="O9" i="59"/>
  <c r="O10" s="1"/>
  <c r="C77" i="14"/>
  <c r="C9" i="59" s="1"/>
  <c r="C102" i="18"/>
  <c r="J17" s="1"/>
  <c r="F102"/>
  <c r="I17" s="1"/>
  <c r="N78" i="14"/>
  <c r="B102" i="18"/>
  <c r="C17" s="1"/>
  <c r="Q88" i="14"/>
  <c r="P18" i="59" s="1"/>
  <c r="I102" i="18"/>
  <c r="H17" s="1"/>
  <c r="E78" i="14"/>
  <c r="B88"/>
  <c r="B18" i="59" s="1"/>
  <c r="Q89" i="14"/>
  <c r="P19" i="59" s="1"/>
  <c r="C20" i="18"/>
  <c r="D87" i="14"/>
  <c r="D17" i="59" s="1"/>
  <c r="D20" s="1"/>
  <c r="D76" i="14"/>
  <c r="D8" i="59" s="1"/>
  <c r="D10" s="1"/>
  <c r="C10" i="18"/>
  <c r="J8"/>
  <c r="F87" i="14"/>
  <c r="E20" i="18"/>
  <c r="E10"/>
  <c r="F76" i="14"/>
  <c r="F8" i="59" s="1"/>
  <c r="F10" s="1"/>
  <c r="H20" i="18"/>
  <c r="M87" i="14"/>
  <c r="I8" i="18"/>
  <c r="O8" s="1"/>
  <c r="O10" s="1"/>
  <c r="M76" i="14"/>
  <c r="H10" i="18"/>
  <c r="H14" i="15"/>
  <c r="H16" s="1"/>
  <c r="G14"/>
  <c r="G16" s="1"/>
  <c r="O17" i="18" l="1"/>
  <c r="O20" s="1"/>
  <c r="H5" i="48"/>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30"/>
  <c r="J24"/>
  <c r="P4"/>
  <c r="Q11" i="14"/>
  <c r="O4" i="48"/>
  <c r="P11" i="14"/>
  <c r="I27" i="48"/>
  <c r="I32"/>
  <c r="I31"/>
  <c r="I25"/>
  <c r="I26"/>
  <c r="I29"/>
  <c r="I22"/>
  <c r="I30"/>
  <c r="I28"/>
  <c r="I24"/>
  <c r="D4"/>
  <c r="D22" s="1"/>
  <c r="E11" i="14"/>
  <c r="H32" i="48"/>
  <c r="H25"/>
  <c r="H29"/>
  <c r="H26"/>
  <c r="H28"/>
  <c r="H24"/>
  <c r="H22"/>
  <c r="H30"/>
  <c r="H23"/>
  <c r="C4"/>
  <c r="D11" i="14"/>
  <c r="G32" i="48"/>
  <c r="G25"/>
  <c r="G29"/>
  <c r="G26"/>
  <c r="G22"/>
  <c r="G30"/>
  <c r="G24"/>
  <c r="G23"/>
  <c r="B4"/>
  <c r="C11" i="14"/>
  <c r="F32" i="48"/>
  <c r="F28"/>
  <c r="F27"/>
  <c r="F31"/>
  <c r="F29"/>
  <c r="F30"/>
  <c r="F24"/>
  <c r="N32"/>
  <c r="N28"/>
  <c r="N27"/>
  <c r="N29"/>
  <c r="N30"/>
  <c r="N24"/>
  <c r="N31"/>
  <c r="B10"/>
  <c r="C19" i="14"/>
  <c r="E28" i="48"/>
  <c r="E32"/>
  <c r="E30"/>
  <c r="E31"/>
  <c r="E24"/>
  <c r="E29"/>
  <c r="M32"/>
  <c r="M26"/>
  <c r="M24"/>
  <c r="M22"/>
  <c r="M25"/>
  <c r="M29"/>
  <c r="M30"/>
  <c r="M23"/>
  <c r="L10" i="14"/>
  <c r="L16" s="1"/>
  <c r="L27" s="1"/>
  <c r="K5" i="48"/>
  <c r="D28"/>
  <c r="D32"/>
  <c r="D30"/>
  <c r="D29"/>
  <c r="D24"/>
  <c r="D31"/>
  <c r="L28"/>
  <c r="L27"/>
  <c r="L32"/>
  <c r="L24"/>
  <c r="L29"/>
  <c r="L22"/>
  <c r="L30"/>
  <c r="L31"/>
  <c r="P5"/>
  <c r="P23" s="1"/>
  <c r="Q10" i="14"/>
  <c r="K28" i="48"/>
  <c r="K27"/>
  <c r="K32"/>
  <c r="K31"/>
  <c r="K25"/>
  <c r="K30"/>
  <c r="K24"/>
  <c r="K26"/>
  <c r="K29"/>
  <c r="K22"/>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15"/>
  <c r="P22"/>
  <c r="P33" s="1"/>
  <c r="F4"/>
  <c r="F22" s="1"/>
  <c r="G11" i="14"/>
  <c r="I5" i="48"/>
  <c r="J10" i="14"/>
  <c r="J16" s="1"/>
  <c r="J27" s="1"/>
  <c r="Q16"/>
  <c r="Q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H9" i="48"/>
  <c r="I20" i="14"/>
  <c r="I22" s="1"/>
  <c r="I27" s="1"/>
  <c r="G31" i="48"/>
  <c r="Q13"/>
  <c r="M10"/>
  <c r="M28" s="1"/>
  <c r="N19" i="14"/>
  <c r="G10" i="48"/>
  <c r="H19" i="14"/>
  <c r="R19" s="1"/>
  <c r="G14" i="22"/>
  <c r="Q63" i="14"/>
  <c r="J6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G9" i="48"/>
  <c r="H20" i="14"/>
  <c r="R20" s="1"/>
  <c r="H27" i="48"/>
  <c r="H33" s="1"/>
  <c r="H15"/>
  <c r="M27"/>
  <c r="M33" s="1"/>
  <c r="M15"/>
  <c r="E22"/>
  <c r="Q4"/>
  <c r="J22"/>
  <c r="E5"/>
  <c r="E23" s="1"/>
  <c r="F10" i="14"/>
  <c r="G28" i="48"/>
  <c r="Q10"/>
  <c r="R22" i="14"/>
  <c r="R24"/>
  <c r="R26" s="1"/>
  <c r="O15" i="48"/>
  <c r="J20" i="15"/>
  <c r="K40" i="14" s="1"/>
  <c r="Q7" i="48"/>
  <c r="E20" i="15"/>
  <c r="F40" i="14" s="1"/>
  <c r="J18" i="16"/>
  <c r="E18"/>
  <c r="F18"/>
  <c r="F22" s="1"/>
  <c r="G43" i="14" s="1"/>
  <c r="N18" i="16"/>
  <c r="G18" i="22"/>
  <c r="H50" i="14" s="1"/>
  <c r="H52" s="1"/>
  <c r="H61" s="1"/>
  <c r="H18" i="22"/>
  <c r="I50" i="14" s="1"/>
  <c r="I52" s="1"/>
  <c r="I61" s="1"/>
  <c r="I63" s="1"/>
  <c r="J22" i="16" l="1"/>
  <c r="K43" i="14" s="1"/>
  <c r="J8" i="48"/>
  <c r="J26" s="1"/>
  <c r="J33" s="1"/>
  <c r="K13" i="14"/>
  <c r="E8" i="48"/>
  <c r="F13" i="14"/>
  <c r="G27" i="48"/>
  <c r="G33" s="1"/>
  <c r="G15"/>
  <c r="Q9"/>
  <c r="K16" i="14"/>
  <c r="K27" s="1"/>
  <c r="H63"/>
  <c r="K46"/>
  <c r="K61" s="1"/>
  <c r="E22" i="16"/>
  <c r="F43" i="14" s="1"/>
  <c r="F46" s="1"/>
  <c r="F61" s="1"/>
  <c r="F63" s="1"/>
  <c r="H22"/>
  <c r="H27" s="1"/>
  <c r="F16"/>
  <c r="F27" s="1"/>
  <c r="N8" i="48"/>
  <c r="N26" s="1"/>
  <c r="O13" i="14"/>
  <c r="N22" i="16"/>
  <c r="O43" i="14" s="1"/>
  <c r="G13"/>
  <c r="F8" i="48"/>
  <c r="E26" l="1"/>
  <c r="E33" s="1"/>
  <c r="E15"/>
  <c r="J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<sst xmlns="http://schemas.openxmlformats.org/spreadsheetml/2006/main" count="2401" uniqueCount="896">
  <si>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</si>
  <si>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</si>
  <si>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</si>
  <si>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</si>
  <si>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</si>
  <si>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</si>
  <si>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</si>
  <si>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</si>
  <si>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</si>
  <si>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</si>
  <si>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</si>
  <si>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</si>
  <si>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</si>
  <si>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</si>
  <si>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</si>
  <si>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</si>
  <si>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</si>
  <si>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</si>
  <si>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</si>
  <si>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</si>
  <si>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</si>
  <si>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</si>
  <si>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</si>
  <si>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</si>
  <si>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</si>
  <si>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</si>
  <si>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</si>
  <si>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</si>
  <si>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</si>
  <si>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</si>
  <si>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</si>
  <si>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</si>
  <si>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</si>
  <si>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</si>
  <si>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</si>
  <si>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</si>
  <si>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</si>
  <si>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</si>
  <si>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</si>
  <si>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</si>
  <si>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</si>
  <si>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</si>
  <si>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</si>
  <si>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</si>
  <si>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</si>
  <si>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</si>
  <si>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</si>
  <si>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</si>
  <si>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</si>
  <si>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</si>
  <si>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</si>
  <si>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</si>
  <si>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</si>
  <si>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</si>
  <si>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</si>
  <si>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</si>
  <si>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</si>
  <si>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</si>
  <si>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</si>
  <si>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</si>
  <si>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</si>
  <si>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</si>
  <si>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</si>
  <si>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</si>
  <si>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</si>
  <si>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</si>
  <si>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</si>
  <si>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</si>
  <si>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</si>
  <si>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</si>
  <si>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</si>
  <si>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</si>
  <si>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</si>
  <si>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</si>
  <si>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</si>
  <si>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</si>
  <si>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</si>
  <si>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</si>
  <si>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</si>
  <si>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</si>
  <si>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</si>
  <si>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</si>
  <si>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</si>
  <si>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</si>
  <si>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</si>
  <si>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</si>
  <si>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</si>
  <si>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</si>
  <si>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</si>
  <si>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</si>
  <si>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</si>
  <si>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</si>
  <si>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</si>
  <si>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</si>
  <si>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</si>
  <si>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</si>
  <si>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</si>
  <si>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</si>
  <si>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</si>
  <si>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</si>
  <si>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</si>
  <si>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</si>
  <si>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</si>
  <si>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</si>
  <si>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</si>
  <si>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</si>
  <si>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</si>
  <si>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</si>
  <si>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</si>
  <si>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</si>
  <si>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</si>
  <si>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</si>
  <si>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</si>
  <si>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</si>
  <si>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</si>
  <si>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</si>
  <si>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</si>
  <si>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</si>
  <si>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</si>
  <si>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</si>
  <si>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</si>
  <si>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</si>
  <si>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</si>
  <si>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</si>
  <si>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</si>
  <si>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</si>
  <si>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</si>
  <si>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</si>
  <si>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</si>
  <si>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</si>
  <si>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</si>
  <si>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</si>
  <si>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</si>
  <si>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</si>
  <si>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</si>
  <si>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</si>
  <si>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</si>
  <si>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</si>
  <si>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</si>
  <si>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</si>
  <si>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</si>
  <si>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</si>
  <si>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</si>
  <si>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</si>
  <si>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</si>
  <si>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</si>
  <si>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</si>
  <si>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</si>
  <si>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</si>
  <si>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</si>
  <si>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</si>
  <si>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</si>
  <si>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</si>
  <si>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</si>
  <si>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</si>
  <si>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</si>
  <si>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</si>
  <si>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</si>
  <si>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</si>
  <si>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</si>
  <si>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</si>
  <si>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</si>
  <si>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</si>
  <si>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</si>
  <si>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</si>
  <si>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</si>
  <si>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</si>
  <si>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</si>
  <si>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</si>
  <si>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</si>
  <si>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</si>
  <si>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</si>
  <si>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</si>
  <si>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</si>
  <si>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</si>
  <si>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</si>
  <si>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</si>
  <si>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</si>
  <si>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</si>
  <si>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</si>
  <si>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</si>
  <si>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</si>
  <si>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</si>
  <si>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</si>
  <si>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</si>
  <si>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</si>
  <si>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</si>
  <si>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</si>
  <si>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</si>
  <si>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</si>
  <si>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</si>
  <si>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</si>
  <si>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</si>
  <si>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</si>
  <si>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</si>
  <si>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</si>
  <si>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</si>
  <si>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</si>
  <si>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</si>
  <si>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</si>
  <si>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</si>
  <si>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</si>
  <si>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</si>
  <si>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</si>
  <si>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</si>
  <si>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</si>
  <si>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</si>
  <si>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</si>
  <si>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</si>
  <si>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</si>
  <si>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</si>
  <si>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</si>
  <si>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</si>
  <si>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</si>
  <si>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</si>
  <si>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</si>
  <si>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</si>
  <si>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</si>
  <si>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</si>
  <si>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</si>
  <si>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</si>
  <si>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</si>
  <si>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</si>
  <si>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</si>
  <si>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</si>
  <si>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</si>
  <si>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</si>
  <si>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</si>
  <si>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</si>
  <si>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</si>
  <si>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</si>
  <si>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</si>
  <si>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</si>
  <si>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</si>
  <si>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</si>
  <si>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</si>
  <si>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</si>
  <si>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</si>
  <si>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</si>
  <si>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</si>
  <si>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</si>
  <si>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</si>
  <si>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</si>
  <si>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</si>
  <si>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</si>
  <si>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</si>
  <si>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</si>
  <si>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</si>
  <si>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</si>
  <si>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</si>
  <si>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</si>
  <si>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</si>
  <si>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</si>
  <si>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</si>
  <si>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</si>
  <si>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</si>
  <si>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</si>
  <si>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</si>
  <si>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</si>
  <si>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</si>
  <si>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</si>
  <si>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</si>
  <si>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</si>
  <si>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</si>
  <si>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</si>
  <si>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</si>
  <si>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</si>
  <si>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</si>
  <si>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</si>
  <si>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</si>
  <si>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</si>
  <si>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</si>
  <si>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</si>
  <si>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</si>
  <si>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</si>
  <si>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</si>
  <si>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</si>
  <si>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</si>
  <si>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</si>
  <si>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</si>
  <si>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</si>
  <si>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</si>
  <si>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</si>
  <si>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</si>
  <si>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</si>
  <si>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</si>
  <si>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</si>
  <si>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</si>
  <si>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</si>
  <si>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</si>
  <si>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</si>
  <si>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</si>
  <si>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</si>
  <si>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</si>
  <si>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</si>
  <si>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</si>
  <si>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</si>
  <si>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</si>
  <si>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</si>
  <si>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</si>
  <si>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</si>
  <si>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</si>
  <si>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</si>
  <si>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</si>
  <si>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</si>
  <si>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</si>
  <si>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</si>
  <si>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</si>
  <si>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</si>
  <si>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</si>
  <si>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</si>
  <si>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</si>
  <si>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</si>
  <si>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</si>
  <si>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</si>
  <si>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</si>
  <si>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</si>
  <si>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</si>
  <si>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</si>
  <si>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</si>
  <si>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</si>
  <si>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</si>
  <si>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</si>
  <si>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</si>
  <si>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</si>
  <si>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</si>
  <si>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</si>
  <si>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</si>
  <si>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</si>
  <si>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</si>
  <si>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</si>
  <si>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</si>
  <si>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</si>
  <si>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</si>
  <si>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</si>
  <si>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</si>
  <si>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</si>
  <si>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</si>
  <si>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</si>
  <si>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</si>
  <si>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</si>
  <si>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</si>
  <si>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</si>
  <si>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</si>
  <si>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</si>
  <si>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</si>
  <si>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</si>
  <si>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</si>
  <si>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</si>
  <si>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</si>
  <si>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</si>
  <si>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</si>
  <si>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</si>
  <si>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</si>
  <si>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</si>
  <si>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</si>
  <si>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</si>
  <si>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</si>
  <si>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</si>
  <si>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</si>
  <si>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</si>
  <si>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</si>
  <si>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</si>
  <si>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</si>
  <si>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</si>
  <si>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</si>
  <si>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</si>
  <si>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</si>
  <si>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</si>
  <si>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</si>
  <si>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</si>
  <si>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</si>
  <si>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</si>
  <si>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</si>
  <si>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</si>
  <si>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</si>
  <si>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</si>
  <si>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</si>
  <si>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</si>
  <si>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</si>
  <si>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</si>
  <si>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</si>
  <si>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</si>
  <si>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</si>
  <si>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</si>
  <si>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</si>
  <si>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</si>
  <si>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</si>
  <si>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</si>
  <si>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</si>
  <si>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</si>
  <si>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</si>
  <si>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</si>
  <si>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</si>
  <si>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</si>
  <si>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</si>
  <si>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</si>
  <si>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</si>
  <si>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</si>
  <si>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</si>
  <si>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</si>
  <si>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</si>
  <si>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</si>
  <si>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</si>
  <si>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</si>
  <si>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</si>
  <si>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</si>
  <si>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</si>
  <si>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</si>
  <si>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</si>
  <si>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</si>
  <si>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</si>
  <si>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</si>
  <si>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</si>
  <si>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</si>
  <si>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</si>
  <si>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</si>
  <si>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</si>
  <si>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</si>
  <si>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</si>
  <si>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</si>
  <si>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</si>
  <si>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</si>
  <si>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</si>
  <si>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</si>
  <si>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</si>
  <si>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</si>
  <si>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</si>
  <si>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</si>
  <si>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</si>
  <si>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</si>
  <si>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</si>
  <si>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</si>
  <si>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</si>
  <si>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</si>
  <si>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</si>
  <si>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</si>
  <si>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</si>
  <si>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</si>
  <si>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</si>
  <si>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</si>
  <si>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</si>
  <si>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</si>
  <si>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</si>
  <si>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</si>
  <si>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</si>
  <si>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</si>
  <si>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</si>
  <si>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</si>
  <si>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</si>
  <si>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</si>
  <si>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</si>
  <si>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</si>
  <si>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</si>
  <si>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</si>
  <si>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</si>
  <si>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</si>
  <si>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</si>
  <si>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</si>
  <si>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</si>
  <si>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</si>
  <si>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</si>
  <si>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</si>
  <si>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</si>
  <si>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</si>
  <si>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</si>
  <si>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</si>
  <si>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</si>
  <si>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</si>
  <si>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</si>
  <si>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</si>
  <si>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</si>
  <si>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</si>
  <si>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</si>
  <si>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</si>
  <si>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</si>
  <si>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</si>
  <si>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</si>
  <si>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</si>
  <si>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</si>
  <si>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</si>
  <si>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</si>
  <si>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</si>
  <si>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</si>
  <si>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</si>
  <si>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</si>
  <si>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</si>
  <si>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</si>
  <si>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</si>
  <si>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</si>
  <si>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</si>
  <si>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</si>
  <si>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</si>
  <si>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</si>
  <si>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</si>
  <si>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</si>
  <si>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</si>
  <si>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</si>
  <si>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</si>
  <si>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</si>
  <si>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</si>
  <si>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</si>
  <si>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</si>
  <si>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</si>
  <si>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</si>
  <si>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</si>
  <si>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</si>
  <si>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</si>
  <si>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</si>
  <si>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</si>
  <si>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</si>
  <si>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</si>
  <si>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</si>
  <si>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</si>
  <si>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</si>
  <si>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</si>
  <si>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</si>
  <si>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</si>
  <si>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</si>
  <si>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</si>
  <si>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</si>
  <si>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</si>
  <si>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</si>
  <si>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</si>
  <si>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</si>
  <si>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</si>
  <si>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</si>
  <si>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</si>
  <si>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</si>
  <si>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</si>
  <si>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</si>
  <si>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</si>
  <si>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</si>
  <si>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</si>
  <si>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</si>
  <si>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</si>
  <si>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</si>
  <si>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</si>
  <si>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</si>
  <si>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</si>
  <si>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</si>
  <si>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</si>
  <si>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</si>
  <si>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</si>
  <si>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</si>
  <si>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</si>
  <si>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</si>
  <si>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</si>
  <si>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</si>
  <si>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</si>
  <si>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</si>
  <si>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</si>
  <si>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</si>
  <si>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</si>
  <si>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</si>
  <si>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</si>
  <si>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</si>
  <si>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</si>
  <si>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</si>
  <si>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</si>
  <si>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</si>
  <si>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</si>
  <si>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</si>
  <si>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</si>
  <si>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</si>
  <si>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</si>
  <si>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</si>
  <si>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</si>
  <si>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</si>
  <si>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</si>
  <si>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</si>
  <si>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</si>
  <si>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</si>
  <si>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</si>
  <si>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</si>
  <si>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</si>
  <si>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</si>
  <si>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</si>
  <si>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</si>
  <si>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</si>
  <si>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</si>
  <si>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</si>
  <si>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</si>
  <si>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</si>
  <si>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</si>
  <si>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</si>
  <si>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</si>
  <si>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</si>
  <si>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</si>
  <si>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</si>
  <si>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</si>
  <si>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</si>
  <si>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</si>
  <si>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</si>
  <si>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</si>
  <si>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</si>
  <si>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</si>
  <si>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</si>
  <si>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</si>
  <si>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</si>
  <si>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</si>
  <si>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</si>
  <si>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</si>
  <si>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</si>
  <si>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</si>
  <si>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</si>
  <si>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</si>
  <si>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</si>
  <si>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</si>
  <si>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</si>
  <si>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</si>
  <si>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</si>
  <si>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</si>
  <si>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</si>
  <si>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</si>
  <si>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</si>
  <si>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</si>
  <si>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</si>
  <si>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</si>
  <si>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</si>
  <si>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</si>
  <si>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</si>
  <si>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</si>
  <si>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</si>
  <si>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</si>
  <si>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</si>
  <si>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</si>
  <si>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</si>
  <si>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</si>
  <si>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</si>
  <si>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</si>
  <si>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</si>
  <si>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</si>
  <si>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</si>
  <si>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</si>
  <si>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</si>
  <si>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</si>
  <si>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</si>
  <si>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</si>
  <si>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</si>
  <si>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</si>
  <si>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</si>
  <si>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</si>
  <si>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</si>
  <si>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</si>
  <si>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</si>
  <si>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</si>
  <si>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</si>
  <si>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</si>
  <si>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</si>
  <si>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</si>
  <si>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</si>
  <si>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</si>
  <si>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</si>
  <si>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</si>
  <si>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</si>
  <si>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</si>
  <si>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</si>
  <si>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</si>
  <si>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</si>
  <si>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</si>
  <si>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</si>
  <si>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</si>
  <si>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</si>
  <si>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</si>
  <si>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</si>
  <si>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</si>
  <si>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</si>
  <si>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</si>
  <si>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</si>
  <si>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</si>
  <si>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</si>
  <si>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</si>
  <si>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</si>
  <si>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</si>
  <si>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</si>
  <si>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</si>
  <si>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</si>
  <si>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</si>
  <si>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</si>
  <si>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</si>
  <si>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</si>
  <si>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</si>
  <si>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</si>
  <si>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</si>
  <si>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</si>
  <si>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</si>
  <si>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</si>
  <si>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</si>
  <si>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</si>
  <si>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</si>
  <si>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</si>
  <si>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</si>
  <si>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</si>
  <si>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</si>
  <si>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</si>
  <si>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</si>
  <si>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</si>
  <si>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</si>
  <si>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</si>
  <si>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</si>
  <si>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</si>
  <si>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</si>
  <si>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</si>
  <si>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</si>
  <si>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</si>
  <si>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</si>
  <si>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</si>
  <si>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</si>
  <si>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</si>
  <si>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</si>
  <si>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</si>
  <si>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</si>
  <si>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</si>
  <si>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</si>
  <si>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</si>
  <si>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</si>
  <si>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</si>
  <si>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</si>
  <si>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</si>
  <si>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</si>
  <si>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</si>
  <si>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</si>
  <si>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</si>
  <si>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</si>
  <si>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</si>
  <si>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</si>
  <si>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</si>
  <si>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</si>
  <si>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</si>
  <si>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</si>
  <si>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</si>
  <si>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</si>
  <si>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</si>
  <si>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</si>
  <si>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</si>
  <si>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</si>
  <si>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</si>
  <si>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</si>
  <si>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</si>
  <si>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</si>
  <si>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</si>
  <si>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</si>
  <si>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</si>
  <si>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</si>
  <si>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</si>
  <si>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</si>
  <si>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</si>
  <si>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</si>
  <si>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</si>
  <si>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</si>
  <si>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</si>
  <si>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</si>
  <si>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</si>
  <si>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</si>
  <si>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</si>
  <si>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</si>
  <si>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</si>
  <si>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</si>
  <si>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</si>
  <si>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</si>
  <si>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</si>
  <si>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</si>
  <si>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</si>
  <si>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</si>
  <si>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</si>
  <si>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</si>
  <si>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</si>
  <si>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</si>
  <si>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</si>
  <si>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</si>
  <si>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</si>
  <si>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</si>
  <si>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</si>
  <si>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</si>
  <si>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</si>
  <si>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</si>
  <si>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</si>
  <si>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</si>
  <si>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</si>
  <si>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</si>
  <si>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</si>
  <si>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</si>
  <si>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</si>
  <si>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</si>
  <si>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</si>
  <si>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</si>
  <si>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</si>
  <si>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</si>
  <si>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</si>
  <si>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</si>
  <si>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</si>
  <si>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</si>
  <si>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</si>
  <si>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</si>
  <si>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</si>
  <si>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</si>
  <si>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</si>
  <si>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</si>
  <si>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</si>
  <si>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</si>
  <si>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</si>
  <si>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</si>
  <si>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</si>
  <si>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</si>
  <si>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</si>
  <si>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</si>
  <si>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</si>
  <si>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</si>
  <si>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</si>
  <si>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</si>
  <si>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</si>
  <si>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</si>
  <si>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</si>
  <si>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</si>
  <si>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</si>
  <si>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</si>
  <si>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</si>
  <si>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</si>
  <si>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</si>
  <si>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</si>
  <si>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</si>
  <si>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</si>
  <si>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</si>
  <si>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</si>
  <si>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</si>
  <si>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</si>
  <si>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</si>
  <si>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</si>
  <si>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</si>
  <si>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</si>
  <si>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</si>
  <si>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</si>
  <si>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</si>
  <si>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</si>
  <si>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</si>
  <si>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</si>
  <si>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</si>
  <si>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</si>
  <si>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</si>
  <si>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</si>
  <si>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</si>
  <si>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</si>
  <si>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</si>
  <si>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</si>
  <si>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</si>
  <si>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</si>
  <si>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</si>
  <si>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</si>
  <si>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</si>
  <si>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</si>
  <si>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</si>
  <si>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</si>
  <si>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</si>
  <si>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</si>
  <si>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</si>
  <si>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</si>
  <si>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</si>
  <si>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</si>
  <si>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</si>
  <si>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</si>
  <si>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</si>
  <si>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</si>
  <si>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</si>
  <si>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</si>
  <si>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</si>
  <si>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</si>
  <si>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</si>
  <si>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</si>
  <si>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</si>
  <si>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</si>
  <si>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</si>
  <si>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</si>
  <si>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</si>
  <si>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</si>
  <si>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</si>
  <si>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</si>
  <si>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</si>
  <si>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</si>
  <si>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</si>
  <si>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</si>
  <si>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</si>
  <si>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45061</t>
  </si>
  <si>
    <t>WORTEGEM-PETEGEM</t>
  </si>
  <si>
    <t>Paarden&amp;pony's 200 - 600 kg</t>
  </si>
  <si>
    <t>Paarden&amp;pony's &lt; 200 kg</t>
  </si>
  <si>
    <t>referentietaak LNE (2017); Jaarverslag De Lijn (2015)</t>
  </si>
  <si>
    <t>op basis van VEA (maart 2018) en Inventaris Hernieuwbare Energiebronnen (juni 2018)</t>
  </si>
  <si>
    <t>VEA (januari 2017)</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</si>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</sst>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59108.397287633859</c:v>
                </c:pt>
                <c:pt idx="1">
                  <c:v>9805.9044549931496</c:v>
                </c:pt>
                <c:pt idx="2">
                  <c:v>578.29200000000003</c:v>
                </c:pt>
                <c:pt idx="3">
                  <c:v>6624.6976636472273</c:v>
                </c:pt>
                <c:pt idx="4">
                  <c:v>8501.8729374708382</c:v>
                </c:pt>
                <c:pt idx="5">
                  <c:v>33178.949104163992</c:v>
                </c:pt>
                <c:pt idx="6">
                  <c:v>530.64802322184187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59108.397287633859</c:v>
                </c:pt>
                <c:pt idx="1">
                  <c:v>9805.9044549931496</c:v>
                </c:pt>
                <c:pt idx="2">
                  <c:v>578.29200000000003</c:v>
                </c:pt>
                <c:pt idx="3">
                  <c:v>6624.6976636472273</c:v>
                </c:pt>
                <c:pt idx="4">
                  <c:v>8501.8729374708382</c:v>
                </c:pt>
                <c:pt idx="5">
                  <c:v>33178.949104163992</c:v>
                </c:pt>
                <c:pt idx="6">
                  <c:v>530.64802322184187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12295.684940866327</c:v>
                </c:pt>
                <c:pt idx="2">
                  <c:v>1935.188465283291</c:v>
                </c:pt>
                <c:pt idx="3">
                  <c:v>110.72231814311596</c:v>
                </c:pt>
                <c:pt idx="4">
                  <c:v>1660.9380965947307</c:v>
                </c:pt>
                <c:pt idx="5">
                  <c:v>1621.9069268481633</c:v>
                </c:pt>
                <c:pt idx="6">
                  <c:v>8469.1250782749503</c:v>
                </c:pt>
                <c:pt idx="7">
                  <c:v>137.42054434929696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12295.684940866327</c:v>
                </c:pt>
                <c:pt idx="2">
                  <c:v>1935.188465283291</c:v>
                </c:pt>
                <c:pt idx="3">
                  <c:v>110.72231814311596</c:v>
                </c:pt>
                <c:pt idx="4">
                  <c:v>1660.9380965947307</c:v>
                </c:pt>
                <c:pt idx="5">
                  <c:v>1621.9069268481633</c:v>
                </c:pt>
                <c:pt idx="6">
                  <c:v>8469.1250782749503</c:v>
                </c:pt>
                <c:pt idx="7">
                  <c:v>137.42054434929696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45061</v>
      </c>
      <c r="B6" s="415"/>
      <c r="C6" s="416"/>
    </row>
    <row r="7" spans="1:7" s="413" customFormat="1" ht="15.75" customHeight="1">
      <c r="A7" s="417" t="str">
        <f>txtMunicipality</f>
        <v>WORTEGEM-PETEGEM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0.19146437810503336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0.19146437810503336</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2494</v>
      </c>
      <c r="C9" s="342">
        <v>2605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2887.94</v>
      </c>
    </row>
    <row r="15" spans="1:6">
      <c r="A15" s="348" t="s">
        <v>184</v>
      </c>
      <c r="B15" s="334">
        <v>32</v>
      </c>
    </row>
    <row r="16" spans="1:6">
      <c r="A16" s="348" t="s">
        <v>6</v>
      </c>
      <c r="B16" s="334">
        <v>881</v>
      </c>
    </row>
    <row r="17" spans="1:6">
      <c r="A17" s="348" t="s">
        <v>7</v>
      </c>
      <c r="B17" s="334">
        <v>920</v>
      </c>
    </row>
    <row r="18" spans="1:6">
      <c r="A18" s="348" t="s">
        <v>8</v>
      </c>
      <c r="B18" s="334">
        <v>1166</v>
      </c>
    </row>
    <row r="19" spans="1:6">
      <c r="A19" s="348" t="s">
        <v>9</v>
      </c>
      <c r="B19" s="334">
        <v>1052</v>
      </c>
    </row>
    <row r="20" spans="1:6">
      <c r="A20" s="348" t="s">
        <v>10</v>
      </c>
      <c r="B20" s="334">
        <v>652</v>
      </c>
    </row>
    <row r="21" spans="1:6">
      <c r="A21" s="348" t="s">
        <v>11</v>
      </c>
      <c r="B21" s="334">
        <v>4237</v>
      </c>
    </row>
    <row r="22" spans="1:6">
      <c r="A22" s="348" t="s">
        <v>12</v>
      </c>
      <c r="B22" s="334">
        <v>14145</v>
      </c>
    </row>
    <row r="23" spans="1:6">
      <c r="A23" s="348" t="s">
        <v>13</v>
      </c>
      <c r="B23" s="334">
        <v>95</v>
      </c>
    </row>
    <row r="24" spans="1:6">
      <c r="A24" s="348" t="s">
        <v>14</v>
      </c>
      <c r="B24" s="334">
        <v>7</v>
      </c>
    </row>
    <row r="25" spans="1:6">
      <c r="A25" s="348" t="s">
        <v>15</v>
      </c>
      <c r="B25" s="334">
        <v>1105</v>
      </c>
    </row>
    <row r="26" spans="1:6">
      <c r="A26" s="348" t="s">
        <v>16</v>
      </c>
      <c r="B26" s="334">
        <v>202</v>
      </c>
    </row>
    <row r="27" spans="1:6">
      <c r="A27" s="348" t="s">
        <v>17</v>
      </c>
      <c r="B27" s="334">
        <v>0</v>
      </c>
    </row>
    <row r="28" spans="1:6" s="356" customFormat="1">
      <c r="A28" s="355" t="s">
        <v>18</v>
      </c>
      <c r="B28" s="355">
        <v>10936</v>
      </c>
    </row>
    <row r="29" spans="1:6">
      <c r="A29" s="355" t="s">
        <v>884</v>
      </c>
      <c r="B29" s="355">
        <v>66</v>
      </c>
      <c r="C29" s="356"/>
      <c r="D29" s="356"/>
      <c r="E29" s="356"/>
      <c r="F29" s="356"/>
    </row>
    <row r="30" spans="1:6">
      <c r="A30" s="355" t="s">
        <v>885</v>
      </c>
      <c r="B30" s="341">
        <v>12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710</v>
      </c>
      <c r="D39" s="334">
        <v>10506529.843</v>
      </c>
      <c r="E39" s="334">
        <v>2259</v>
      </c>
      <c r="F39" s="334">
        <v>10999521.471000001</v>
      </c>
    </row>
    <row r="40" spans="1:6">
      <c r="A40" s="348" t="s">
        <v>30</v>
      </c>
      <c r="B40" s="348" t="s">
        <v>29</v>
      </c>
      <c r="C40" s="334">
        <v>0</v>
      </c>
      <c r="D40" s="334">
        <v>0</v>
      </c>
      <c r="E40" s="334">
        <v>1</v>
      </c>
      <c r="F40" s="334">
        <v>27579.026953000001</v>
      </c>
    </row>
    <row r="41" spans="1:6">
      <c r="A41" s="348" t="s">
        <v>32</v>
      </c>
      <c r="B41" s="348" t="s">
        <v>33</v>
      </c>
      <c r="C41" s="334">
        <v>6</v>
      </c>
      <c r="D41" s="334">
        <v>130619.62692</v>
      </c>
      <c r="E41" s="334">
        <v>82</v>
      </c>
      <c r="F41" s="334">
        <v>2030834.665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375563.75263</v>
      </c>
      <c r="E48" s="334">
        <v>26</v>
      </c>
      <c r="F48" s="334">
        <v>2100780.9866999998</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5</v>
      </c>
      <c r="D51" s="334">
        <v>56987.528771999998</v>
      </c>
      <c r="E51" s="334">
        <v>92</v>
      </c>
      <c r="F51" s="334">
        <v>1293227.2042</v>
      </c>
    </row>
    <row r="52" spans="1:6">
      <c r="A52" s="348" t="s">
        <v>42</v>
      </c>
      <c r="B52" s="348" t="s">
        <v>29</v>
      </c>
      <c r="C52" s="334">
        <v>1</v>
      </c>
      <c r="D52" s="334">
        <v>30966.653018000001</v>
      </c>
      <c r="E52" s="334">
        <v>3</v>
      </c>
      <c r="F52" s="334">
        <v>50417.711179999998</v>
      </c>
    </row>
    <row r="53" spans="1:6">
      <c r="A53" s="348" t="s">
        <v>44</v>
      </c>
      <c r="B53" s="348" t="s">
        <v>45</v>
      </c>
      <c r="C53" s="334">
        <v>14</v>
      </c>
      <c r="D53" s="334">
        <v>191332.68437</v>
      </c>
      <c r="E53" s="334">
        <v>107</v>
      </c>
      <c r="F53" s="334">
        <v>454260.15177</v>
      </c>
    </row>
    <row r="54" spans="1:6">
      <c r="A54" s="348" t="s">
        <v>46</v>
      </c>
      <c r="B54" s="348" t="s">
        <v>47</v>
      </c>
      <c r="C54" s="334">
        <v>0</v>
      </c>
      <c r="D54" s="334">
        <v>0</v>
      </c>
      <c r="E54" s="334">
        <v>1</v>
      </c>
      <c r="F54" s="334">
        <v>578292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17</v>
      </c>
      <c r="F57" s="334">
        <v>200839.51718</v>
      </c>
    </row>
    <row r="58" spans="1:6">
      <c r="A58" s="348" t="s">
        <v>49</v>
      </c>
      <c r="B58" s="348" t="s">
        <v>51</v>
      </c>
      <c r="C58" s="334">
        <v>0</v>
      </c>
      <c r="D58" s="334">
        <v>0</v>
      </c>
      <c r="E58" s="334">
        <v>10</v>
      </c>
      <c r="F58" s="334">
        <v>115932.67260999999</v>
      </c>
    </row>
    <row r="59" spans="1:6">
      <c r="A59" s="348" t="s">
        <v>49</v>
      </c>
      <c r="B59" s="348" t="s">
        <v>52</v>
      </c>
      <c r="C59" s="334">
        <v>0</v>
      </c>
      <c r="D59" s="334">
        <v>0</v>
      </c>
      <c r="E59" s="334">
        <v>38</v>
      </c>
      <c r="F59" s="334">
        <v>824528.39462000004</v>
      </c>
    </row>
    <row r="60" spans="1:6">
      <c r="A60" s="348" t="s">
        <v>49</v>
      </c>
      <c r="B60" s="348" t="s">
        <v>53</v>
      </c>
      <c r="C60" s="334">
        <v>0</v>
      </c>
      <c r="D60" s="334">
        <v>0</v>
      </c>
      <c r="E60" s="334">
        <v>24</v>
      </c>
      <c r="F60" s="334">
        <v>518985.39101999998</v>
      </c>
    </row>
    <row r="61" spans="1:6">
      <c r="A61" s="348" t="s">
        <v>49</v>
      </c>
      <c r="B61" s="348" t="s">
        <v>54</v>
      </c>
      <c r="C61" s="334">
        <v>18</v>
      </c>
      <c r="D61" s="334">
        <v>749909.63549000002</v>
      </c>
      <c r="E61" s="334">
        <v>122</v>
      </c>
      <c r="F61" s="334">
        <v>1648203.0456999999</v>
      </c>
    </row>
    <row r="62" spans="1:6">
      <c r="A62" s="348" t="s">
        <v>49</v>
      </c>
      <c r="B62" s="348" t="s">
        <v>55</v>
      </c>
      <c r="C62" s="334">
        <v>0</v>
      </c>
      <c r="D62" s="334">
        <v>0</v>
      </c>
      <c r="E62" s="334">
        <v>0</v>
      </c>
      <c r="F62" s="334">
        <v>0</v>
      </c>
    </row>
    <row r="63" spans="1:6">
      <c r="A63" s="348" t="s">
        <v>49</v>
      </c>
      <c r="B63" s="348" t="s">
        <v>29</v>
      </c>
      <c r="C63" s="334">
        <v>34</v>
      </c>
      <c r="D63" s="334">
        <v>814290.20513000002</v>
      </c>
      <c r="E63" s="334">
        <v>88</v>
      </c>
      <c r="F63" s="334">
        <v>2908969.0334000001</v>
      </c>
    </row>
    <row r="64" spans="1:6">
      <c r="A64" s="348" t="s">
        <v>56</v>
      </c>
      <c r="B64" s="348" t="s">
        <v>57</v>
      </c>
      <c r="C64" s="334">
        <v>0</v>
      </c>
      <c r="D64" s="334">
        <v>0</v>
      </c>
      <c r="E64" s="334">
        <v>0</v>
      </c>
      <c r="F64" s="334">
        <v>0</v>
      </c>
    </row>
    <row r="65" spans="1:6">
      <c r="A65" s="348" t="s">
        <v>56</v>
      </c>
      <c r="B65" s="348" t="s">
        <v>29</v>
      </c>
      <c r="C65" s="334">
        <v>1</v>
      </c>
      <c r="D65" s="334">
        <v>23197.734060999999</v>
      </c>
      <c r="E65" s="334">
        <v>1</v>
      </c>
      <c r="F65" s="334">
        <v>2773.3910265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168959.45274000001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14700302</v>
      </c>
      <c r="E73" s="475">
        <v>14790371.934057921</v>
      </c>
    </row>
    <row r="74" spans="1:6">
      <c r="A74" s="348" t="s">
        <v>64</v>
      </c>
      <c r="B74" s="348" t="s">
        <v>667</v>
      </c>
      <c r="C74" s="1294" t="s">
        <v>669</v>
      </c>
      <c r="D74" s="475">
        <v>879604.58766688523</v>
      </c>
      <c r="E74" s="475">
        <v>878208.81251850282</v>
      </c>
    </row>
    <row r="75" spans="1:6">
      <c r="A75" s="348" t="s">
        <v>65</v>
      </c>
      <c r="B75" s="348" t="s">
        <v>666</v>
      </c>
      <c r="C75" s="1294" t="s">
        <v>670</v>
      </c>
      <c r="D75" s="475">
        <v>21411094</v>
      </c>
      <c r="E75" s="475">
        <v>20771036.641086049</v>
      </c>
    </row>
    <row r="76" spans="1:6">
      <c r="A76" s="348" t="s">
        <v>65</v>
      </c>
      <c r="B76" s="348" t="s">
        <v>667</v>
      </c>
      <c r="C76" s="1294" t="s">
        <v>671</v>
      </c>
      <c r="D76" s="475">
        <v>752233.58766688523</v>
      </c>
      <c r="E76" s="475">
        <v>739454.91344595037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142524.82466622951</v>
      </c>
      <c r="C83" s="475">
        <v>142524.82466622951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1197.5799367933914</v>
      </c>
    </row>
    <row r="92" spans="1:6">
      <c r="A92" s="341" t="s">
        <v>69</v>
      </c>
      <c r="B92" s="342">
        <v>2094.3459035492674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v>
      </c>
    </row>
    <row r="98" spans="1:6">
      <c r="A98" s="348" t="s">
        <v>72</v>
      </c>
      <c r="B98" s="334">
        <v>1</v>
      </c>
    </row>
    <row r="99" spans="1:6">
      <c r="A99" s="348" t="s">
        <v>73</v>
      </c>
      <c r="B99" s="334">
        <v>72</v>
      </c>
    </row>
    <row r="100" spans="1:6">
      <c r="A100" s="348" t="s">
        <v>74</v>
      </c>
      <c r="B100" s="334">
        <v>217</v>
      </c>
    </row>
    <row r="101" spans="1:6">
      <c r="A101" s="348" t="s">
        <v>75</v>
      </c>
      <c r="B101" s="334">
        <v>54</v>
      </c>
    </row>
    <row r="102" spans="1:6">
      <c r="A102" s="348" t="s">
        <v>76</v>
      </c>
      <c r="B102" s="334">
        <v>37</v>
      </c>
    </row>
    <row r="103" spans="1:6">
      <c r="A103" s="348" t="s">
        <v>77</v>
      </c>
      <c r="B103" s="334">
        <v>154</v>
      </c>
    </row>
    <row r="104" spans="1:6">
      <c r="A104" s="348" t="s">
        <v>78</v>
      </c>
      <c r="B104" s="334">
        <v>1613</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86</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24958.413380872546</v>
      </c>
      <c r="C3" s="43" t="s">
        <v>170</v>
      </c>
      <c r="D3" s="43"/>
      <c r="E3" s="154"/>
      <c r="F3" s="43"/>
      <c r="G3" s="43"/>
      <c r="H3" s="43"/>
      <c r="I3" s="43"/>
      <c r="J3" s="43"/>
      <c r="K3" s="96"/>
    </row>
    <row r="4" spans="1:11">
      <c r="A4" s="383" t="s">
        <v>171</v>
      </c>
      <c r="B4" s="49">
        <f>IF(ISERROR('SEAP template'!B78+'SEAP template'!C78),0,'SEAP template'!B78+'SEAP template'!C78)</f>
        <v>3335.5758403426589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0.19146437810503336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578.29200000000003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578.29200000000003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0.19146437810503336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110.72231814311596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11027.100497953001</v>
      </c>
      <c r="C5" s="17">
        <f>IF(ISERROR('Eigen informatie GS &amp; warmtenet'!B57),0,'Eigen informatie GS &amp; warmtenet'!B57)</f>
        <v>0</v>
      </c>
      <c r="D5" s="30">
        <f>(SUM(HH_hh_gas_kWh,HH_rest_gas_kWh)/1000)*0.902</f>
        <v>9476.8899183860012</v>
      </c>
      <c r="E5" s="17">
        <f>B46*B57</f>
        <v>3313.9491804201698</v>
      </c>
      <c r="F5" s="17">
        <f>B51*B62</f>
        <v>23862.613701717568</v>
      </c>
      <c r="G5" s="18"/>
      <c r="H5" s="17"/>
      <c r="I5" s="17"/>
      <c r="J5" s="17">
        <f>B50*B61+C50*C61</f>
        <v>2590.8983561211853</v>
      </c>
      <c r="K5" s="17"/>
      <c r="L5" s="17"/>
      <c r="M5" s="17"/>
      <c r="N5" s="17">
        <f>B48*B59+C48*C59</f>
        <v>7058.8756962425459</v>
      </c>
      <c r="O5" s="17">
        <f>B69*B70*B71</f>
        <v>161.02333333333334</v>
      </c>
      <c r="P5" s="17">
        <f>B77*B78*B79/1000-B77*B78*B79/1000/B80</f>
        <v>419.4666666666667</v>
      </c>
    </row>
    <row r="6" spans="1:16">
      <c r="A6" s="16" t="s">
        <v>624</v>
      </c>
      <c r="B6" s="788">
        <f>kWh_PV_kleiner_dan_10kW</f>
        <v>1197.5799367933914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12224.680434746391</v>
      </c>
      <c r="C8" s="21">
        <f>C5</f>
        <v>0</v>
      </c>
      <c r="D8" s="21">
        <f>D5</f>
        <v>9476.8899183860012</v>
      </c>
      <c r="E8" s="21">
        <f>E5</f>
        <v>3313.9491804201698</v>
      </c>
      <c r="F8" s="21">
        <f>F5</f>
        <v>23862.613701717568</v>
      </c>
      <c r="G8" s="21"/>
      <c r="H8" s="21"/>
      <c r="I8" s="21"/>
      <c r="J8" s="21">
        <f>J5</f>
        <v>2590.8983561211853</v>
      </c>
      <c r="K8" s="21"/>
      <c r="L8" s="21">
        <f>L5</f>
        <v>0</v>
      </c>
      <c r="M8" s="21">
        <f>M5</f>
        <v>0</v>
      </c>
      <c r="N8" s="21">
        <f>N5</f>
        <v>7058.8756962425459</v>
      </c>
      <c r="O8" s="21">
        <f>O5</f>
        <v>161.02333333333334</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0.19146437810503336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2340.5908369714866</v>
      </c>
      <c r="C12" s="23">
        <f ca="1">C10*C8</f>
        <v>0</v>
      </c>
      <c r="D12" s="23">
        <f>D8*D10</f>
        <v>1914.3317635139724</v>
      </c>
      <c r="E12" s="23">
        <f>E10*E8</f>
        <v>752.26646395537853</v>
      </c>
      <c r="F12" s="23">
        <f>F10*F8</f>
        <v>6371.3178583585914</v>
      </c>
      <c r="G12" s="23"/>
      <c r="H12" s="23"/>
      <c r="I12" s="23"/>
      <c r="J12" s="23">
        <f>J10*J8</f>
        <v>917.17801806689954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v>
      </c>
      <c r="C18" s="166" t="s">
        <v>111</v>
      </c>
      <c r="D18" s="228"/>
      <c r="E18" s="15"/>
    </row>
    <row r="19" spans="1:7">
      <c r="A19" s="171" t="s">
        <v>72</v>
      </c>
      <c r="B19" s="37">
        <f>aantalw2001_ander</f>
        <v>1</v>
      </c>
      <c r="C19" s="166" t="s">
        <v>111</v>
      </c>
      <c r="D19" s="229"/>
      <c r="E19" s="15"/>
    </row>
    <row r="20" spans="1:7">
      <c r="A20" s="171" t="s">
        <v>73</v>
      </c>
      <c r="B20" s="37">
        <f>aantalw2001_propaan</f>
        <v>72</v>
      </c>
      <c r="C20" s="167">
        <f>IF(ISERROR(B20/SUM($B$20,$B$21,$B$22)*100),0,B20/SUM($B$20,$B$21,$B$22)*100)</f>
        <v>20.99125364431487</v>
      </c>
      <c r="D20" s="229"/>
      <c r="E20" s="15"/>
    </row>
    <row r="21" spans="1:7">
      <c r="A21" s="171" t="s">
        <v>74</v>
      </c>
      <c r="B21" s="37">
        <f>aantalw2001_elektriciteit</f>
        <v>217</v>
      </c>
      <c r="C21" s="167">
        <f>IF(ISERROR(B21/SUM($B$20,$B$21,$B$22)*100),0,B21/SUM($B$20,$B$21,$B$22)*100)</f>
        <v>63.265306122448983</v>
      </c>
      <c r="D21" s="229"/>
      <c r="E21" s="15"/>
    </row>
    <row r="22" spans="1:7">
      <c r="A22" s="171" t="s">
        <v>75</v>
      </c>
      <c r="B22" s="37">
        <f>aantalw2001_hout</f>
        <v>54</v>
      </c>
      <c r="C22" s="167">
        <f>IF(ISERROR(B22/SUM($B$20,$B$21,$B$22)*100),0,B22/SUM($B$20,$B$21,$B$22)*100)</f>
        <v>15.743440233236154</v>
      </c>
      <c r="D22" s="229"/>
      <c r="E22" s="15"/>
    </row>
    <row r="23" spans="1:7">
      <c r="A23" s="171" t="s">
        <v>76</v>
      </c>
      <c r="B23" s="37">
        <f>aantalw2001_niet_gespec</f>
        <v>37</v>
      </c>
      <c r="C23" s="166" t="s">
        <v>111</v>
      </c>
      <c r="D23" s="228"/>
      <c r="E23" s="15"/>
    </row>
    <row r="24" spans="1:7">
      <c r="A24" s="171" t="s">
        <v>77</v>
      </c>
      <c r="B24" s="37">
        <f>aantalw2001_steenkool</f>
        <v>154</v>
      </c>
      <c r="C24" s="166" t="s">
        <v>111</v>
      </c>
      <c r="D24" s="229"/>
      <c r="E24" s="15"/>
    </row>
    <row r="25" spans="1:7">
      <c r="A25" s="171" t="s">
        <v>78</v>
      </c>
      <c r="B25" s="37">
        <f>aantalw2001_stookolie</f>
        <v>1613</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2494</v>
      </c>
      <c r="C28" s="36"/>
      <c r="D28" s="228"/>
    </row>
    <row r="29" spans="1:7" s="15" customFormat="1">
      <c r="A29" s="230" t="s">
        <v>699</v>
      </c>
      <c r="B29" s="37">
        <f>SUM(HH_hh_gas_aantal,HH_rest_gas_aantal)</f>
        <v>710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710</v>
      </c>
      <c r="C32" s="167">
        <f>IF(ISERROR(B32/SUM($B$32,$B$34,$B$35,$B$36,$B$38,$B$39)*100),0,B32/SUM($B$32,$B$34,$B$35,$B$36,$B$38,$B$39)*100)</f>
        <v>28.721682847896439</v>
      </c>
      <c r="D32" s="233"/>
      <c r="G32" s="15"/>
    </row>
    <row r="33" spans="1:7">
      <c r="A33" s="171" t="s">
        <v>72</v>
      </c>
      <c r="B33" s="34" t="s">
        <v>111</v>
      </c>
      <c r="C33" s="167"/>
      <c r="D33" s="233"/>
      <c r="G33" s="15"/>
    </row>
    <row r="34" spans="1:7">
      <c r="A34" s="171" t="s">
        <v>73</v>
      </c>
      <c r="B34" s="33">
        <f>IF((($B$28-$B$32-$B$39-$B$77-$B$38)*C20/100)&lt;0,0,($B$28-$B$32-$B$39-$B$77-$B$38)*C20/100)</f>
        <v>146.51895043731781</v>
      </c>
      <c r="C34" s="167">
        <f>IF(ISERROR(B34/SUM($B$32,$B$34,$B$35,$B$36,$B$38,$B$39)*100),0,B34/SUM($B$32,$B$34,$B$35,$B$36,$B$38,$B$39)*100)</f>
        <v>5.9271420079821118</v>
      </c>
      <c r="D34" s="233"/>
      <c r="G34" s="15"/>
    </row>
    <row r="35" spans="1:7">
      <c r="A35" s="171" t="s">
        <v>74</v>
      </c>
      <c r="B35" s="33">
        <f>IF((($B$28-$B$32-$B$39-$B$77-$B$38)*C21/100)&lt;0,0,($B$28-$B$32-$B$39-$B$77-$B$38)*C21/100)</f>
        <v>441.59183673469391</v>
      </c>
      <c r="C35" s="167">
        <f>IF(ISERROR(B35/SUM($B$32,$B$34,$B$35,$B$36,$B$38,$B$39)*100),0,B35/SUM($B$32,$B$34,$B$35,$B$36,$B$38,$B$39)*100)</f>
        <v>17.863747440723866</v>
      </c>
      <c r="D35" s="233"/>
      <c r="G35" s="15"/>
    </row>
    <row r="36" spans="1:7">
      <c r="A36" s="171" t="s">
        <v>75</v>
      </c>
      <c r="B36" s="33">
        <f>IF((($B$28-$B$32-$B$39-$B$77-$B$38)*C22/100)&lt;0,0,($B$28-$B$32-$B$39-$B$77-$B$38)*C22/100)</f>
        <v>109.88921282798836</v>
      </c>
      <c r="C36" s="167">
        <f>IF(ISERROR(B36/SUM($B$32,$B$34,$B$35,$B$36,$B$38,$B$39)*100),0,B36/SUM($B$32,$B$34,$B$35,$B$36,$B$38,$B$39)*100)</f>
        <v>4.4453565059865845</v>
      </c>
      <c r="D36" s="233"/>
      <c r="G36" s="15"/>
    </row>
    <row r="37" spans="1:7">
      <c r="A37" s="171" t="s">
        <v>76</v>
      </c>
      <c r="B37" s="34" t="s">
        <v>111</v>
      </c>
      <c r="C37" s="167"/>
      <c r="D37" s="173"/>
      <c r="G37" s="15"/>
    </row>
    <row r="38" spans="1:7">
      <c r="A38" s="171" t="s">
        <v>77</v>
      </c>
      <c r="B38" s="33">
        <f>IF((B24-(B29-B18)*0.1)&lt;0,0,B24-(B29-B18)*0.1)</f>
        <v>83.7</v>
      </c>
      <c r="C38" s="167">
        <f>IF(ISERROR(B38/SUM($B$32,$B$34,$B$35,$B$36,$B$38,$B$39)*100),0,B38/SUM($B$32,$B$34,$B$35,$B$36,$B$38,$B$39)*100)</f>
        <v>3.3859223300970873</v>
      </c>
      <c r="D38" s="234"/>
      <c r="G38" s="15"/>
    </row>
    <row r="39" spans="1:7">
      <c r="A39" s="171" t="s">
        <v>78</v>
      </c>
      <c r="B39" s="33">
        <f>IF((B25-(B29-B18))&lt;0,0,B25-(B29-B18)*0.9)</f>
        <v>980.3</v>
      </c>
      <c r="C39" s="167">
        <f>IF(ISERROR(B39/SUM($B$32,$B$34,$B$35,$B$36,$B$38,$B$39)*100),0,B39/SUM($B$32,$B$34,$B$35,$B$36,$B$38,$B$39)*100)</f>
        <v>39.65614886731391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710</v>
      </c>
      <c r="C44" s="34" t="s">
        <v>111</v>
      </c>
      <c r="D44" s="174"/>
    </row>
    <row r="45" spans="1:7">
      <c r="A45" s="171" t="s">
        <v>72</v>
      </c>
      <c r="B45" s="33" t="str">
        <f t="shared" si="0"/>
        <v>-</v>
      </c>
      <c r="C45" s="34" t="s">
        <v>111</v>
      </c>
      <c r="D45" s="174"/>
    </row>
    <row r="46" spans="1:7">
      <c r="A46" s="171" t="s">
        <v>73</v>
      </c>
      <c r="B46" s="33">
        <f t="shared" si="0"/>
        <v>146.51895043731781</v>
      </c>
      <c r="C46" s="34" t="s">
        <v>111</v>
      </c>
      <c r="D46" s="174"/>
    </row>
    <row r="47" spans="1:7">
      <c r="A47" s="171" t="s">
        <v>74</v>
      </c>
      <c r="B47" s="33">
        <f t="shared" si="0"/>
        <v>441.59183673469391</v>
      </c>
      <c r="C47" s="34" t="s">
        <v>111</v>
      </c>
      <c r="D47" s="174"/>
    </row>
    <row r="48" spans="1:7">
      <c r="A48" s="171" t="s">
        <v>75</v>
      </c>
      <c r="B48" s="33">
        <f t="shared" si="0"/>
        <v>109.88921282798836</v>
      </c>
      <c r="C48" s="33">
        <f>B48*10</f>
        <v>1098.8921282798835</v>
      </c>
      <c r="D48" s="234"/>
    </row>
    <row r="49" spans="1:6">
      <c r="A49" s="171" t="s">
        <v>76</v>
      </c>
      <c r="B49" s="33" t="str">
        <f t="shared" si="0"/>
        <v>-</v>
      </c>
      <c r="C49" s="34" t="s">
        <v>111</v>
      </c>
      <c r="D49" s="234"/>
    </row>
    <row r="50" spans="1:6">
      <c r="A50" s="171" t="s">
        <v>77</v>
      </c>
      <c r="B50" s="33">
        <f t="shared" si="0"/>
        <v>83.7</v>
      </c>
      <c r="C50" s="33">
        <f>B50*2</f>
        <v>167.4</v>
      </c>
      <c r="D50" s="234"/>
    </row>
    <row r="51" spans="1:6">
      <c r="A51" s="171" t="s">
        <v>78</v>
      </c>
      <c r="B51" s="33">
        <f t="shared" si="0"/>
        <v>980.3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6217.4580545299996</v>
      </c>
      <c r="C5" s="17">
        <f>IF(ISERROR('Eigen informatie GS &amp; warmtenet'!B58),0,'Eigen informatie GS &amp; warmtenet'!B58)</f>
        <v>0</v>
      </c>
      <c r="D5" s="30">
        <f>SUM(D6:D12)</f>
        <v>1410.90825623924</v>
      </c>
      <c r="E5" s="17">
        <f>SUM(E6:E12)</f>
        <v>116.30929892716232</v>
      </c>
      <c r="F5" s="17">
        <f>SUM(F6:F12)</f>
        <v>1623.0750818793324</v>
      </c>
      <c r="G5" s="18"/>
      <c r="H5" s="17"/>
      <c r="I5" s="17"/>
      <c r="J5" s="17">
        <f>SUM(J6:J12)</f>
        <v>0</v>
      </c>
      <c r="K5" s="17"/>
      <c r="L5" s="17"/>
      <c r="M5" s="17"/>
      <c r="N5" s="17">
        <f>SUM(N6:N12)</f>
        <v>419.08709675074795</v>
      </c>
      <c r="O5" s="17">
        <f>B38*B39*B40</f>
        <v>0</v>
      </c>
      <c r="P5" s="17">
        <f>B46*B47*B48/1000-B46*B47*B48/1000/B49</f>
        <v>19.066666666666666</v>
      </c>
      <c r="R5" s="32"/>
    </row>
    <row r="6" spans="1:18">
      <c r="A6" s="32" t="s">
        <v>54</v>
      </c>
      <c r="B6" s="37">
        <f>B26</f>
        <v>1648.2030456999998</v>
      </c>
      <c r="C6" s="33"/>
      <c r="D6" s="37">
        <f>IF(ISERROR(TER_kantoor_gas_kWh/1000),0,TER_kantoor_gas_kWh/1000)*0.902</f>
        <v>676.41849121198004</v>
      </c>
      <c r="E6" s="33">
        <f>$C$26*'E Balans VL '!I12/100/3.6*1000000</f>
        <v>21.577008159964826</v>
      </c>
      <c r="F6" s="33">
        <f>$C$26*('E Balans VL '!L12+'E Balans VL '!N12)/100/3.6*1000000</f>
        <v>420.27474475945041</v>
      </c>
      <c r="G6" s="34"/>
      <c r="H6" s="33"/>
      <c r="I6" s="33"/>
      <c r="J6" s="33">
        <f>$C$26*('E Balans VL '!D12+'E Balans VL '!E12)/100/3.6*1000000</f>
        <v>0</v>
      </c>
      <c r="K6" s="33"/>
      <c r="L6" s="33"/>
      <c r="M6" s="33"/>
      <c r="N6" s="33">
        <f>$C$26*'E Balans VL '!Y12/100/3.6*1000000</f>
        <v>1.6537532811740094</v>
      </c>
      <c r="O6" s="33"/>
      <c r="P6" s="33"/>
      <c r="R6" s="32"/>
    </row>
    <row r="7" spans="1:18">
      <c r="A7" s="32" t="s">
        <v>53</v>
      </c>
      <c r="B7" s="37">
        <f t="shared" ref="B7:B12" si="0">B27</f>
        <v>518.98539101999995</v>
      </c>
      <c r="C7" s="33"/>
      <c r="D7" s="37">
        <f>IF(ISERROR(TER_horeca_gas_kWh/1000),0,TER_horeca_gas_kWh/1000)*0.902</f>
        <v>0</v>
      </c>
      <c r="E7" s="33">
        <f>$C$27*'E Balans VL '!I9/100/3.6*1000000</f>
        <v>17.17525956052901</v>
      </c>
      <c r="F7" s="33">
        <f>$C$27*('E Balans VL '!L9+'E Balans VL '!N9)/100/3.6*1000000</f>
        <v>223.16172914565837</v>
      </c>
      <c r="G7" s="34"/>
      <c r="H7" s="33"/>
      <c r="I7" s="33"/>
      <c r="J7" s="33">
        <f>$C$27*('E Balans VL '!D9+'E Balans VL '!E9)/100/3.6*1000000</f>
        <v>0</v>
      </c>
      <c r="K7" s="33"/>
      <c r="L7" s="33"/>
      <c r="M7" s="33"/>
      <c r="N7" s="33">
        <f>$C$27*'E Balans VL '!Y9/100/3.6*1000000</f>
        <v>0.12492732011345317</v>
      </c>
      <c r="O7" s="33"/>
      <c r="P7" s="33"/>
      <c r="R7" s="32"/>
    </row>
    <row r="8" spans="1:18">
      <c r="A8" s="6" t="s">
        <v>52</v>
      </c>
      <c r="B8" s="37">
        <f t="shared" si="0"/>
        <v>824.52839462000009</v>
      </c>
      <c r="C8" s="33"/>
      <c r="D8" s="37">
        <f>IF(ISERROR(TER_handel_gas_kWh/1000),0,TER_handel_gas_kWh/1000)*0.902</f>
        <v>0</v>
      </c>
      <c r="E8" s="33">
        <f>$C$28*'E Balans VL '!I13/100/3.6*1000000</f>
        <v>26.023375976092986</v>
      </c>
      <c r="F8" s="33">
        <f>$C$28*('E Balans VL '!L13+'E Balans VL '!N13)/100/3.6*1000000</f>
        <v>161.70453722858909</v>
      </c>
      <c r="G8" s="34"/>
      <c r="H8" s="33"/>
      <c r="I8" s="33"/>
      <c r="J8" s="33">
        <f>$C$28*('E Balans VL '!D13+'E Balans VL '!E13)/100/3.6*1000000</f>
        <v>0</v>
      </c>
      <c r="K8" s="33"/>
      <c r="L8" s="33"/>
      <c r="M8" s="33"/>
      <c r="N8" s="33">
        <f>$C$28*'E Balans VL '!Y13/100/3.6*1000000</f>
        <v>0.97855512419134383</v>
      </c>
      <c r="O8" s="33"/>
      <c r="P8" s="33"/>
      <c r="R8" s="32"/>
    </row>
    <row r="9" spans="1:18">
      <c r="A9" s="32" t="s">
        <v>51</v>
      </c>
      <c r="B9" s="37">
        <f t="shared" si="0"/>
        <v>115.93267261</v>
      </c>
      <c r="C9" s="33"/>
      <c r="D9" s="37">
        <f>IF(ISERROR(TER_gezond_gas_kWh/1000),0,TER_gezond_gas_kWh/1000)*0.902</f>
        <v>0</v>
      </c>
      <c r="E9" s="33">
        <f>$C$29*'E Balans VL '!I10/100/3.6*1000000</f>
        <v>1.4842773629165402E-2</v>
      </c>
      <c r="F9" s="33">
        <f>$C$29*('E Balans VL '!L10+'E Balans VL '!N10)/100/3.6*1000000</f>
        <v>24.153634888284106</v>
      </c>
      <c r="G9" s="34"/>
      <c r="H9" s="33"/>
      <c r="I9" s="33"/>
      <c r="J9" s="33">
        <f>$C$29*('E Balans VL '!D10+'E Balans VL '!E10)/100/3.6*1000000</f>
        <v>0</v>
      </c>
      <c r="K9" s="33"/>
      <c r="L9" s="33"/>
      <c r="M9" s="33"/>
      <c r="N9" s="33">
        <f>$C$29*'E Balans VL '!Y10/100/3.6*1000000</f>
        <v>1.3616840367894567</v>
      </c>
      <c r="O9" s="33"/>
      <c r="P9" s="33"/>
      <c r="R9" s="32"/>
    </row>
    <row r="10" spans="1:18">
      <c r="A10" s="32" t="s">
        <v>50</v>
      </c>
      <c r="B10" s="37">
        <f t="shared" si="0"/>
        <v>200.83951718</v>
      </c>
      <c r="C10" s="33"/>
      <c r="D10" s="37">
        <f>IF(ISERROR(TER_ander_gas_kWh/1000),0,TER_ander_gas_kWh/1000)*0.902</f>
        <v>0</v>
      </c>
      <c r="E10" s="33">
        <f>$C$30*'E Balans VL '!I14/100/3.6*1000000</f>
        <v>0.30201540329558468</v>
      </c>
      <c r="F10" s="33">
        <f>$C$30*('E Balans VL '!L14+'E Balans VL '!N14)/100/3.6*1000000</f>
        <v>44.33889141244854</v>
      </c>
      <c r="G10" s="34"/>
      <c r="H10" s="33"/>
      <c r="I10" s="33"/>
      <c r="J10" s="33">
        <f>$C$30*('E Balans VL '!D14+'E Balans VL '!E14)/100/3.6*1000000</f>
        <v>0</v>
      </c>
      <c r="K10" s="33"/>
      <c r="L10" s="33"/>
      <c r="M10" s="33"/>
      <c r="N10" s="33">
        <f>$C$30*'E Balans VL '!Y14/100/3.6*1000000</f>
        <v>158.27505552774269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2908.9690334000002</v>
      </c>
      <c r="C12" s="33"/>
      <c r="D12" s="37">
        <f>IF(ISERROR(TER_rest_gas_kWh/1000),0,TER_rest_gas_kWh/1000)*0.902</f>
        <v>734.48976502725998</v>
      </c>
      <c r="E12" s="33">
        <f>$C$32*'E Balans VL '!I8/100/3.6*1000000</f>
        <v>51.216797053650737</v>
      </c>
      <c r="F12" s="33">
        <f>$C$32*('E Balans VL '!L8+'E Balans VL '!N8)/100/3.6*1000000</f>
        <v>749.44154444490187</v>
      </c>
      <c r="G12" s="34"/>
      <c r="H12" s="33"/>
      <c r="I12" s="33"/>
      <c r="J12" s="33">
        <f>$C$32*('E Balans VL '!D8+'E Balans VL '!E8)/100/3.6*1000000</f>
        <v>0</v>
      </c>
      <c r="K12" s="33"/>
      <c r="L12" s="33"/>
      <c r="M12" s="33"/>
      <c r="N12" s="33">
        <f>$C$32*'E Balans VL '!Y8/100/3.6*1000000</f>
        <v>256.69312146073702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6217.4580545299996</v>
      </c>
      <c r="C16" s="21">
        <f t="shared" ca="1" si="1"/>
        <v>0</v>
      </c>
      <c r="D16" s="21">
        <f t="shared" ca="1" si="1"/>
        <v>1410.90825623924</v>
      </c>
      <c r="E16" s="21">
        <f t="shared" si="1"/>
        <v>116.30929892716232</v>
      </c>
      <c r="F16" s="21">
        <f t="shared" ca="1" si="1"/>
        <v>1623.0750818793324</v>
      </c>
      <c r="G16" s="21">
        <f t="shared" si="1"/>
        <v>0</v>
      </c>
      <c r="H16" s="21">
        <f t="shared" si="1"/>
        <v>0</v>
      </c>
      <c r="I16" s="21">
        <f t="shared" si="1"/>
        <v>0</v>
      </c>
      <c r="J16" s="21">
        <f t="shared" si="1"/>
        <v>0</v>
      </c>
      <c r="K16" s="21">
        <f t="shared" si="1"/>
        <v>0</v>
      </c>
      <c r="L16" s="21">
        <f t="shared" ca="1" si="1"/>
        <v>0</v>
      </c>
      <c r="M16" s="21">
        <f t="shared" si="1"/>
        <v>0</v>
      </c>
      <c r="N16" s="21">
        <f t="shared" ca="1" si="1"/>
        <v>419.08709675074795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0.19146437810503336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1190.4217398047169</v>
      </c>
      <c r="C20" s="23">
        <f t="shared" ref="C20:P20" ca="1" si="2">C16*C18</f>
        <v>0</v>
      </c>
      <c r="D20" s="23">
        <f t="shared" ca="1" si="2"/>
        <v>285.00346776032649</v>
      </c>
      <c r="E20" s="23">
        <f t="shared" si="2"/>
        <v>26.402210856465846</v>
      </c>
      <c r="F20" s="23">
        <f t="shared" ca="1" si="2"/>
        <v>433.3610468617818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1648.2030456999998</v>
      </c>
      <c r="C26" s="39">
        <f>IF(ISERROR(B26*3.6/1000000/'E Balans VL '!Z12*100),0,B26*3.6/1000000/'E Balans VL '!Z12*100)</f>
        <v>3.5305789677980509E-2</v>
      </c>
      <c r="D26" s="237" t="s">
        <v>660</v>
      </c>
      <c r="F26" s="6"/>
    </row>
    <row r="27" spans="1:18">
      <c r="A27" s="231" t="s">
        <v>53</v>
      </c>
      <c r="B27" s="33">
        <f>IF(ISERROR(TER_horeca_ele_kWh/1000),0,TER_horeca_ele_kWh/1000)</f>
        <v>518.98539101999995</v>
      </c>
      <c r="C27" s="39">
        <f>IF(ISERROR(B27*3.6/1000000/'E Balans VL '!Z9*100),0,B27*3.6/1000000/'E Balans VL '!Z9*100)</f>
        <v>4.1646773654549281E-2</v>
      </c>
      <c r="D27" s="237" t="s">
        <v>660</v>
      </c>
      <c r="F27" s="6"/>
    </row>
    <row r="28" spans="1:18">
      <c r="A28" s="171" t="s">
        <v>52</v>
      </c>
      <c r="B28" s="33">
        <f>IF(ISERROR(TER_handel_ele_kWh/1000),0,TER_handel_ele_kWh/1000)</f>
        <v>824.52839462000009</v>
      </c>
      <c r="C28" s="39">
        <f>IF(ISERROR(B28*3.6/1000000/'E Balans VL '!Z13*100),0,B28*3.6/1000000/'E Balans VL '!Z13*100)</f>
        <v>2.4318858335055159E-2</v>
      </c>
      <c r="D28" s="237" t="s">
        <v>660</v>
      </c>
      <c r="F28" s="6"/>
    </row>
    <row r="29" spans="1:18">
      <c r="A29" s="231" t="s">
        <v>51</v>
      </c>
      <c r="B29" s="33">
        <f>IF(ISERROR(TER_gezond_ele_kWh/1000),0,TER_gezond_ele_kWh/1000)</f>
        <v>115.93267261</v>
      </c>
      <c r="C29" s="39">
        <f>IF(ISERROR(B29*3.6/1000000/'E Balans VL '!Z10*100),0,B29*3.6/1000000/'E Balans VL '!Z10*100)</f>
        <v>1.2378501163236105E-2</v>
      </c>
      <c r="D29" s="237" t="s">
        <v>660</v>
      </c>
      <c r="F29" s="6"/>
    </row>
    <row r="30" spans="1:18">
      <c r="A30" s="231" t="s">
        <v>50</v>
      </c>
      <c r="B30" s="33">
        <f>IF(ISERROR(TER_ander_ele_kWh/1000),0,TER_ander_ele_kWh/1000)</f>
        <v>200.83951718</v>
      </c>
      <c r="C30" s="39">
        <f>IF(ISERROR(B30*3.6/1000000/'E Balans VL '!Z14*100),0,B30*3.6/1000000/'E Balans VL '!Z14*100)</f>
        <v>1.5170197397577245E-2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2908.9690334000002</v>
      </c>
      <c r="C32" s="39">
        <f>IF(ISERROR(B32*3.6/1000000/'E Balans VL '!Z8*100),0,B32*3.6/1000000/'E Balans VL '!Z8*100)</f>
        <v>2.4119403997042703E-2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4131.6156516999999</v>
      </c>
      <c r="C5" s="17">
        <f>IF(ISERROR('Eigen informatie GS &amp; warmtenet'!B59),0,'Eigen informatie GS &amp; warmtenet'!B59)</f>
        <v>0</v>
      </c>
      <c r="D5" s="30">
        <f>SUM(D6:D15)</f>
        <v>456.57740835410004</v>
      </c>
      <c r="E5" s="17">
        <f>SUM(E6:E15)</f>
        <v>632.23851291599874</v>
      </c>
      <c r="F5" s="17">
        <f>SUM(F6:F15)</f>
        <v>2206.269121864389</v>
      </c>
      <c r="G5" s="18"/>
      <c r="H5" s="17"/>
      <c r="I5" s="17"/>
      <c r="J5" s="17">
        <f>SUM(J6:J15)</f>
        <v>17.031274206634372</v>
      </c>
      <c r="K5" s="17"/>
      <c r="L5" s="17"/>
      <c r="M5" s="17"/>
      <c r="N5" s="17">
        <f>SUM(N6:N15)</f>
        <v>1058.1409684297166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2030.8346650000001</v>
      </c>
      <c r="C9" s="33"/>
      <c r="D9" s="37">
        <f>IF( ISERROR(IND_andere_gas_kWh/1000),0,IND_andere_gas_kWh/1000)*0.902</f>
        <v>117.81890348184001</v>
      </c>
      <c r="E9" s="33">
        <f>C31*'E Balans VL '!I19/100/3.6*1000000</f>
        <v>518.22305758672303</v>
      </c>
      <c r="F9" s="33">
        <f>C31*'E Balans VL '!L19/100/3.6*1000000+C31*'E Balans VL '!N19/100/3.6*1000000</f>
        <v>1748.3960030973108</v>
      </c>
      <c r="G9" s="34"/>
      <c r="H9" s="33"/>
      <c r="I9" s="33"/>
      <c r="J9" s="40">
        <f>C31*'E Balans VL '!D19/100/3.6*1000000+C31*'E Balans VL '!E19/100/3.6*1000000</f>
        <v>0</v>
      </c>
      <c r="K9" s="33"/>
      <c r="L9" s="33"/>
      <c r="M9" s="33"/>
      <c r="N9" s="33">
        <f>C31*'E Balans VL '!Y19/100/3.6*1000000</f>
        <v>635.11154856918222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2100.7809866999996</v>
      </c>
      <c r="C15" s="33"/>
      <c r="D15" s="37">
        <f>IF( ISERROR(IND_rest_gas_kWh/1000),0,IND_rest_gas_kWh/1000)*0.902</f>
        <v>338.75850487226</v>
      </c>
      <c r="E15" s="33">
        <f>C37*'E Balans VL '!I15/100/3.6*1000000</f>
        <v>114.01545532927575</v>
      </c>
      <c r="F15" s="33">
        <f>C37*'E Balans VL '!L15/100/3.6*1000000+C37*'E Balans VL '!N15/100/3.6*1000000</f>
        <v>457.87311876707832</v>
      </c>
      <c r="G15" s="34"/>
      <c r="H15" s="33"/>
      <c r="I15" s="33"/>
      <c r="J15" s="40">
        <f>C37*'E Balans VL '!D15/100/3.6*1000000+C37*'E Balans VL '!E15/100/3.6*1000000</f>
        <v>17.031274206634372</v>
      </c>
      <c r="K15" s="33"/>
      <c r="L15" s="33"/>
      <c r="M15" s="33"/>
      <c r="N15" s="33">
        <f>C37*'E Balans VL '!Y15/100/3.6*1000000</f>
        <v>423.0294198605344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4131.6156516999999</v>
      </c>
      <c r="C18" s="21">
        <f>C5+C16</f>
        <v>0</v>
      </c>
      <c r="D18" s="21">
        <f>MAX((D5+D16),0)</f>
        <v>456.57740835410004</v>
      </c>
      <c r="E18" s="21">
        <f>MAX((E5+E16),0)</f>
        <v>632.23851291599874</v>
      </c>
      <c r="F18" s="21">
        <f>MAX((F5+F16),0)</f>
        <v>2206.269121864389</v>
      </c>
      <c r="G18" s="21"/>
      <c r="H18" s="21"/>
      <c r="I18" s="21"/>
      <c r="J18" s="21">
        <f>MAX((J5+J16),0)</f>
        <v>17.031274206634372</v>
      </c>
      <c r="K18" s="21"/>
      <c r="L18" s="21">
        <f>MAX((L5+L16),0)</f>
        <v>0</v>
      </c>
      <c r="M18" s="21"/>
      <c r="N18" s="21">
        <f>MAX((N5+N16),0)</f>
        <v>1058.1409684297166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0.19146437810503336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791.05722132176265</v>
      </c>
      <c r="C22" s="23">
        <f ca="1">C18*C20</f>
        <v>0</v>
      </c>
      <c r="D22" s="23">
        <f>D18*D20</f>
        <v>92.22863648752822</v>
      </c>
      <c r="E22" s="23">
        <f>E18*E20</f>
        <v>143.51814243193172</v>
      </c>
      <c r="F22" s="23">
        <f>F18*F20</f>
        <v>589.07385553779193</v>
      </c>
      <c r="G22" s="23"/>
      <c r="H22" s="23"/>
      <c r="I22" s="23"/>
      <c r="J22" s="23">
        <f>J18*J20</f>
        <v>6.0290710691485669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2030.8346650000001</v>
      </c>
      <c r="C31" s="39">
        <f>IF(ISERROR(B31*3.6/1000000/'E Balans VL '!Z19*100),0,B31*3.6/1000000/'E Balans VL '!Z19*100)</f>
        <v>8.5482442395321212E-2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2100.7809866999996</v>
      </c>
      <c r="C37" s="39">
        <f>IF(ISERROR(B37*3.6/1000000/'E Balans VL '!Z15*100),0,B37*3.6/1000000/'E Balans VL '!Z15*100)</f>
        <v>1.6960418365311054E-2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1343.6449153800002</v>
      </c>
      <c r="C5" s="17">
        <f>'Eigen informatie GS &amp; warmtenet'!B60</f>
        <v>0</v>
      </c>
      <c r="D5" s="30">
        <f>IF(ISERROR(SUM(LB_lb_gas_kWh,LB_rest_gas_kWh)/1000),0,SUM(LB_lb_gas_kWh,LB_rest_gas_kWh)/1000)*0.902</f>
        <v>79.334671974580004</v>
      </c>
      <c r="E5" s="17">
        <f>B17*'E Balans VL '!I25/3.6*1000000/100</f>
        <v>34.647443367631666</v>
      </c>
      <c r="F5" s="17">
        <f>B17*('E Balans VL '!L25/3.6*1000000+'E Balans VL '!N25/3.6*1000000)/100</f>
        <v>4911.2780504578841</v>
      </c>
      <c r="G5" s="18"/>
      <c r="H5" s="17"/>
      <c r="I5" s="17"/>
      <c r="J5" s="17">
        <f>('E Balans VL '!D25+'E Balans VL '!E25)/3.6*1000000*landbouw!B17/100</f>
        <v>193.43543960998852</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1343.6449153800002</v>
      </c>
      <c r="C8" s="21">
        <f>C5+C6</f>
        <v>62.357142857142847</v>
      </c>
      <c r="D8" s="21">
        <f>MAX((D5+D6),0)</f>
        <v>79.334671974580004</v>
      </c>
      <c r="E8" s="21">
        <f>MAX((E5+E6),0)</f>
        <v>34.647443367631666</v>
      </c>
      <c r="F8" s="21">
        <f>MAX((F5+F6),0)</f>
        <v>4911.2780504578841</v>
      </c>
      <c r="G8" s="21"/>
      <c r="H8" s="21"/>
      <c r="I8" s="21"/>
      <c r="J8" s="21">
        <f>MAX((J5+J6),0)</f>
        <v>193.43543960998852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0.19146437810503336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257.26013811722191</v>
      </c>
      <c r="C12" s="23">
        <f ca="1">C8*C10</f>
        <v>0</v>
      </c>
      <c r="D12" s="23">
        <f>D8*D10</f>
        <v>16.025603738865161</v>
      </c>
      <c r="E12" s="23">
        <f>E8*E10</f>
        <v>7.8649696444523887</v>
      </c>
      <c r="F12" s="23">
        <f>F8*F10</f>
        <v>1311.3112394722552</v>
      </c>
      <c r="G12" s="23"/>
      <c r="H12" s="23"/>
      <c r="I12" s="23"/>
      <c r="J12" s="23">
        <f>J8*J10</f>
        <v>68.476145621935927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0.18946283317293355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369.11030804243597</v>
      </c>
      <c r="C26" s="247">
        <f>B26*'GWP N2O_CH4'!B5</f>
        <v>7751.3164688911556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134.14301339623796</v>
      </c>
      <c r="C27" s="247">
        <f>B27*'GWP N2O_CH4'!B5</f>
        <v>2817.0032813209973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4.86168340695742</v>
      </c>
      <c r="C28" s="247">
        <f>B28*'GWP N2O_CH4'!B4</f>
        <v>1507.1218561568003</v>
      </c>
      <c r="D28" s="50"/>
    </row>
    <row r="29" spans="1:4">
      <c r="A29" s="41" t="s">
        <v>277</v>
      </c>
      <c r="B29" s="247">
        <f>B34*'ha_N2O bodem landbouw'!B4</f>
        <v>19.051972993791978</v>
      </c>
      <c r="C29" s="247">
        <f>B29*'GWP N2O_CH4'!B4</f>
        <v>5906.1116280755132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4.2877292379323454E-3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3.0463821886156923E-5</v>
      </c>
      <c r="C5" s="463" t="s">
        <v>211</v>
      </c>
      <c r="D5" s="448">
        <f>SUM(D6:D11)</f>
        <v>8.8190704251275265E-5</v>
      </c>
      <c r="E5" s="448">
        <f>SUM(E6:E11)</f>
        <v>3.2826120133414103E-4</v>
      </c>
      <c r="F5" s="461" t="s">
        <v>211</v>
      </c>
      <c r="G5" s="448">
        <f>SUM(G6:G11)</f>
        <v>9.2038260450727258E-2</v>
      </c>
      <c r="H5" s="448">
        <f>SUM(H6:H11)</f>
        <v>2.3359326063340957E-2</v>
      </c>
      <c r="I5" s="463" t="s">
        <v>211</v>
      </c>
      <c r="J5" s="463" t="s">
        <v>211</v>
      </c>
      <c r="K5" s="463" t="s">
        <v>211</v>
      </c>
      <c r="L5" s="463" t="s">
        <v>211</v>
      </c>
      <c r="M5" s="448">
        <f>SUM(M6:M11)</f>
        <v>3.5997145334505684E-3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1.2401275813339268E-5</v>
      </c>
      <c r="C6" s="449"/>
      <c r="D6" s="892">
        <f>vkm_2011_GW_PW*SUMIFS(TableVerdeelsleutelVkm[CNG],TableVerdeelsleutelVkm[Voertuigtype],"Lichte voertuigen")*SUMIFS(TableECFTransport[EnergieConsumptieFactor (PJ per km)],TableECFTransport[Index],CONCATENATE($A6,"_CNG_CNG"))</f>
        <v>2.4641552268480276E-5</v>
      </c>
      <c r="E6" s="892">
        <f>vkm_2011_GW_PW*SUMIFS(TableVerdeelsleutelVkm[LPG],TableVerdeelsleutelVkm[Voertuigtype],"Lichte voertuigen")*SUMIFS(TableECFTransport[EnergieConsumptieFactor (PJ per km)],TableECFTransport[Index],CONCATENATE($A6,"_LPG_LPG"))</f>
        <v>9.6973341510771927E-5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2.3056933261890945E-2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6.6712095237884805E-3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9.2635638057018879E-4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8.4285450433179178E-3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2.7227800617159906E-6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2.6557055799990683E-4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1.8062546072817655E-5</v>
      </c>
      <c r="C8" s="449"/>
      <c r="D8" s="451">
        <f>vkm_2011_NGW_PW*SUMIFS(TableVerdeelsleutelVkm[CNG],TableVerdeelsleutelVkm[Voertuigtype],"Lichte voertuigen")*SUMIFS(TableECFTransport[EnergieConsumptieFactor (PJ per km)],TableECFTransport[Index],CONCATENATE($A8,"_CNG_CNG"))</f>
        <v>6.3549151982794985E-5</v>
      </c>
      <c r="E8" s="451">
        <f>vkm_2011_NGW_PW*SUMIFS(TableVerdeelsleutelVkm[LPG],TableVerdeelsleutelVkm[Voertuigtype],"Lichte voertuigen")*SUMIFS(TableECFTransport[EnergieConsumptieFactor (PJ per km)],TableECFTransport[Index],CONCATENATE($A8,"_LPG_LPG"))</f>
        <v>2.3128785982336913E-4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5.1352406619241245E-2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1.668258296675653E-2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2.1179026778752651E-3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9.2003755262771592E-3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2.8107927342310379E-6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2.8988491700520779E-4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8.4621727461547014</v>
      </c>
      <c r="C14" s="21"/>
      <c r="D14" s="21">
        <f t="shared" ref="D14:M14" si="0">((D5)*10^9/3600)+D12</f>
        <v>24.497417847576465</v>
      </c>
      <c r="E14" s="21">
        <f t="shared" si="0"/>
        <v>91.183667037261401</v>
      </c>
      <c r="F14" s="21"/>
      <c r="G14" s="21">
        <f t="shared" si="0"/>
        <v>25566.18345853535</v>
      </c>
      <c r="H14" s="21">
        <f t="shared" si="0"/>
        <v>6488.7016842613775</v>
      </c>
      <c r="I14" s="21"/>
      <c r="J14" s="21"/>
      <c r="K14" s="21"/>
      <c r="L14" s="21"/>
      <c r="M14" s="21">
        <f t="shared" si="0"/>
        <v>999.92070373626905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0.19146437810503336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1.6202046422598722</v>
      </c>
      <c r="C18" s="23"/>
      <c r="D18" s="23">
        <f t="shared" ref="D18:M18" si="1">D14*D16</f>
        <v>4.9484784052104462</v>
      </c>
      <c r="E18" s="23">
        <f t="shared" si="1"/>
        <v>20.698692417458339</v>
      </c>
      <c r="F18" s="23"/>
      <c r="G18" s="23">
        <f t="shared" si="1"/>
        <v>6826.1709834289386</v>
      </c>
      <c r="H18" s="23">
        <f t="shared" si="1"/>
        <v>1615.6867193810831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1.8528612721253523E-3</v>
      </c>
      <c r="H50" s="321">
        <f t="shared" si="2"/>
        <v>0</v>
      </c>
      <c r="I50" s="321">
        <f t="shared" si="2"/>
        <v>0</v>
      </c>
      <c r="J50" s="321">
        <f t="shared" si="2"/>
        <v>0</v>
      </c>
      <c r="K50" s="321">
        <f t="shared" si="2"/>
        <v>0</v>
      </c>
      <c r="L50" s="321">
        <f t="shared" si="2"/>
        <v>0</v>
      </c>
      <c r="M50" s="321">
        <f t="shared" si="2"/>
        <v>5.7471611473278633E-5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1.8528612721253523E-3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5.7471611473278633E-5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514.68368670148675</v>
      </c>
      <c r="H54" s="21">
        <f t="shared" si="3"/>
        <v>0</v>
      </c>
      <c r="I54" s="21">
        <f t="shared" si="3"/>
        <v>0</v>
      </c>
      <c r="J54" s="21">
        <f t="shared" si="3"/>
        <v>0</v>
      </c>
      <c r="K54" s="21">
        <f t="shared" si="3"/>
        <v>0</v>
      </c>
      <c r="L54" s="21">
        <f t="shared" si="3"/>
        <v>0</v>
      </c>
      <c r="M54" s="21">
        <f t="shared" si="3"/>
        <v>15.964336520355175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0.19146437810503336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137.42054434929696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6795.7500545299999</v>
      </c>
      <c r="D10" s="1012">
        <f ca="1">tertiair!C16</f>
        <v>0</v>
      </c>
      <c r="E10" s="1012">
        <f ca="1">tertiair!D16</f>
        <v>1410.90825623924</v>
      </c>
      <c r="F10" s="1012">
        <f>tertiair!E16</f>
        <v>116.30929892716232</v>
      </c>
      <c r="G10" s="1012">
        <f ca="1">tertiair!F16</f>
        <v>1623.0750818793324</v>
      </c>
      <c r="H10" s="1012">
        <f>tertiair!G16</f>
        <v>0</v>
      </c>
      <c r="I10" s="1012">
        <f>tertiair!H16</f>
        <v>0</v>
      </c>
      <c r="J10" s="1012">
        <f>tertiair!I16</f>
        <v>0</v>
      </c>
      <c r="K10" s="1012">
        <f>tertiair!J16</f>
        <v>0</v>
      </c>
      <c r="L10" s="1012">
        <f>tertiair!K16</f>
        <v>0</v>
      </c>
      <c r="M10" s="1012">
        <f ca="1">tertiair!L16</f>
        <v>0</v>
      </c>
      <c r="N10" s="1012">
        <f>tertiair!M16</f>
        <v>0</v>
      </c>
      <c r="O10" s="1012">
        <f ca="1">tertiair!N16</f>
        <v>419.08709675074795</v>
      </c>
      <c r="P10" s="1012">
        <f>tertiair!O16</f>
        <v>0</v>
      </c>
      <c r="Q10" s="1013">
        <f>tertiair!P16</f>
        <v>19.066666666666666</v>
      </c>
      <c r="R10" s="700">
        <f ca="1">SUM(C10:Q10)</f>
        <v>10384.196454993151</v>
      </c>
      <c r="S10" s="67"/>
    </row>
    <row r="11" spans="1:19" s="473" customFormat="1">
      <c r="A11" s="809" t="s">
        <v>225</v>
      </c>
      <c r="B11" s="814"/>
      <c r="C11" s="1012">
        <f>huishoudens!B8</f>
        <v>12224.680434746391</v>
      </c>
      <c r="D11" s="1012">
        <f>huishoudens!C8</f>
        <v>0</v>
      </c>
      <c r="E11" s="1012">
        <f>huishoudens!D8</f>
        <v>9476.8899183860012</v>
      </c>
      <c r="F11" s="1012">
        <f>huishoudens!E8</f>
        <v>3313.9491804201698</v>
      </c>
      <c r="G11" s="1012">
        <f>huishoudens!F8</f>
        <v>23862.613701717568</v>
      </c>
      <c r="H11" s="1012">
        <f>huishoudens!G8</f>
        <v>0</v>
      </c>
      <c r="I11" s="1012">
        <f>huishoudens!H8</f>
        <v>0</v>
      </c>
      <c r="J11" s="1012">
        <f>huishoudens!I8</f>
        <v>0</v>
      </c>
      <c r="K11" s="1012">
        <f>huishoudens!J8</f>
        <v>2590.8983561211853</v>
      </c>
      <c r="L11" s="1012">
        <f>huishoudens!K8</f>
        <v>0</v>
      </c>
      <c r="M11" s="1012">
        <f>huishoudens!L8</f>
        <v>0</v>
      </c>
      <c r="N11" s="1012">
        <f>huishoudens!M8</f>
        <v>0</v>
      </c>
      <c r="O11" s="1012">
        <f>huishoudens!N8</f>
        <v>7058.8756962425459</v>
      </c>
      <c r="P11" s="1012">
        <f>huishoudens!O8</f>
        <v>161.02333333333334</v>
      </c>
      <c r="Q11" s="1013">
        <f>huishoudens!P8</f>
        <v>419.4666666666667</v>
      </c>
      <c r="R11" s="700">
        <f>SUM(C11:Q11)</f>
        <v>59108.397287633859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4131.6156516999999</v>
      </c>
      <c r="D13" s="1012">
        <f>industrie!C18</f>
        <v>0</v>
      </c>
      <c r="E13" s="1012">
        <f>industrie!D18</f>
        <v>456.57740835410004</v>
      </c>
      <c r="F13" s="1012">
        <f>industrie!E18</f>
        <v>632.23851291599874</v>
      </c>
      <c r="G13" s="1012">
        <f>industrie!F18</f>
        <v>2206.269121864389</v>
      </c>
      <c r="H13" s="1012">
        <f>industrie!G18</f>
        <v>0</v>
      </c>
      <c r="I13" s="1012">
        <f>industrie!H18</f>
        <v>0</v>
      </c>
      <c r="J13" s="1012">
        <f>industrie!I18</f>
        <v>0</v>
      </c>
      <c r="K13" s="1012">
        <f>industrie!J18</f>
        <v>17.031274206634372</v>
      </c>
      <c r="L13" s="1012">
        <f>industrie!K18</f>
        <v>0</v>
      </c>
      <c r="M13" s="1012">
        <f>industrie!L18</f>
        <v>0</v>
      </c>
      <c r="N13" s="1012">
        <f>industrie!M18</f>
        <v>0</v>
      </c>
      <c r="O13" s="1012">
        <f>industrie!N18</f>
        <v>1058.1409684297166</v>
      </c>
      <c r="P13" s="1012">
        <f>industrie!O18</f>
        <v>0</v>
      </c>
      <c r="Q13" s="1013">
        <f>industrie!P18</f>
        <v>0</v>
      </c>
      <c r="R13" s="700">
        <f>SUM(C13:Q13)</f>
        <v>8501.8729374708382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23152.046140976388</v>
      </c>
      <c r="D16" s="732">
        <f t="shared" ref="D16:R16" ca="1" si="0">SUM(D9:D15)</f>
        <v>0</v>
      </c>
      <c r="E16" s="732">
        <f t="shared" ca="1" si="0"/>
        <v>11344.375582979341</v>
      </c>
      <c r="F16" s="732">
        <f t="shared" si="0"/>
        <v>4062.4969922633309</v>
      </c>
      <c r="G16" s="732">
        <f t="shared" ca="1" si="0"/>
        <v>27691.957905461288</v>
      </c>
      <c r="H16" s="732">
        <f t="shared" si="0"/>
        <v>0</v>
      </c>
      <c r="I16" s="732">
        <f t="shared" si="0"/>
        <v>0</v>
      </c>
      <c r="J16" s="732">
        <f t="shared" si="0"/>
        <v>0</v>
      </c>
      <c r="K16" s="732">
        <f t="shared" si="0"/>
        <v>2607.9296303278197</v>
      </c>
      <c r="L16" s="732">
        <f t="shared" si="0"/>
        <v>0</v>
      </c>
      <c r="M16" s="732">
        <f t="shared" ca="1" si="0"/>
        <v>0</v>
      </c>
      <c r="N16" s="732">
        <f t="shared" si="0"/>
        <v>0</v>
      </c>
      <c r="O16" s="732">
        <f t="shared" ca="1" si="0"/>
        <v>8536.1037614230099</v>
      </c>
      <c r="P16" s="732">
        <f t="shared" si="0"/>
        <v>161.02333333333334</v>
      </c>
      <c r="Q16" s="732">
        <f t="shared" si="0"/>
        <v>438.53333333333336</v>
      </c>
      <c r="R16" s="732">
        <f t="shared" ca="1" si="0"/>
        <v>77994.466680097845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514.68368670148675</v>
      </c>
      <c r="I19" s="1012">
        <f>transport!H54</f>
        <v>0</v>
      </c>
      <c r="J19" s="1012">
        <f>transport!I54</f>
        <v>0</v>
      </c>
      <c r="K19" s="1012">
        <f>transport!J54</f>
        <v>0</v>
      </c>
      <c r="L19" s="1012">
        <f>transport!K54</f>
        <v>0</v>
      </c>
      <c r="M19" s="1012">
        <f>transport!L54</f>
        <v>0</v>
      </c>
      <c r="N19" s="1012">
        <f>transport!M54</f>
        <v>15.964336520355175</v>
      </c>
      <c r="O19" s="1012">
        <f>transport!N54</f>
        <v>0</v>
      </c>
      <c r="P19" s="1012">
        <f>transport!O54</f>
        <v>0</v>
      </c>
      <c r="Q19" s="1013">
        <f>transport!P54</f>
        <v>0</v>
      </c>
      <c r="R19" s="700">
        <f>SUM(C19:Q19)</f>
        <v>530.64802322184187</v>
      </c>
      <c r="S19" s="67"/>
    </row>
    <row r="20" spans="1:19" s="473" customFormat="1">
      <c r="A20" s="809" t="s">
        <v>307</v>
      </c>
      <c r="B20" s="814"/>
      <c r="C20" s="1012">
        <f>transport!B14</f>
        <v>8.4621727461547014</v>
      </c>
      <c r="D20" s="1012">
        <f>transport!C14</f>
        <v>0</v>
      </c>
      <c r="E20" s="1012">
        <f>transport!D14</f>
        <v>24.497417847576465</v>
      </c>
      <c r="F20" s="1012">
        <f>transport!E14</f>
        <v>91.183667037261401</v>
      </c>
      <c r="G20" s="1012">
        <f>transport!F14</f>
        <v>0</v>
      </c>
      <c r="H20" s="1012">
        <f>transport!G14</f>
        <v>25566.18345853535</v>
      </c>
      <c r="I20" s="1012">
        <f>transport!H14</f>
        <v>6488.7016842613775</v>
      </c>
      <c r="J20" s="1012">
        <f>transport!I14</f>
        <v>0</v>
      </c>
      <c r="K20" s="1012">
        <f>transport!J14</f>
        <v>0</v>
      </c>
      <c r="L20" s="1012">
        <f>transport!K14</f>
        <v>0</v>
      </c>
      <c r="M20" s="1012">
        <f>transport!L14</f>
        <v>0</v>
      </c>
      <c r="N20" s="1012">
        <f>transport!M14</f>
        <v>999.92070373626905</v>
      </c>
      <c r="O20" s="1012">
        <f>transport!N14</f>
        <v>0</v>
      </c>
      <c r="P20" s="1012">
        <f>transport!O14</f>
        <v>0</v>
      </c>
      <c r="Q20" s="1013">
        <f>transport!P14</f>
        <v>0</v>
      </c>
      <c r="R20" s="700">
        <f>SUM(C20:Q20)</f>
        <v>33178.949104163992</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8.4621727461547014</v>
      </c>
      <c r="D22" s="812">
        <f t="shared" ref="D22:R22" si="1">SUM(D18:D21)</f>
        <v>0</v>
      </c>
      <c r="E22" s="812">
        <f t="shared" si="1"/>
        <v>24.497417847576465</v>
      </c>
      <c r="F22" s="812">
        <f t="shared" si="1"/>
        <v>91.183667037261401</v>
      </c>
      <c r="G22" s="812">
        <f t="shared" si="1"/>
        <v>0</v>
      </c>
      <c r="H22" s="812">
        <f t="shared" si="1"/>
        <v>26080.867145236836</v>
      </c>
      <c r="I22" s="812">
        <f t="shared" si="1"/>
        <v>6488.7016842613775</v>
      </c>
      <c r="J22" s="812">
        <f t="shared" si="1"/>
        <v>0</v>
      </c>
      <c r="K22" s="812">
        <f t="shared" si="1"/>
        <v>0</v>
      </c>
      <c r="L22" s="812">
        <f t="shared" si="1"/>
        <v>0</v>
      </c>
      <c r="M22" s="812">
        <f t="shared" si="1"/>
        <v>0</v>
      </c>
      <c r="N22" s="812">
        <f t="shared" si="1"/>
        <v>1015.8850402566243</v>
      </c>
      <c r="O22" s="812">
        <f t="shared" si="1"/>
        <v>0</v>
      </c>
      <c r="P22" s="812">
        <f t="shared" si="1"/>
        <v>0</v>
      </c>
      <c r="Q22" s="812">
        <f t="shared" si="1"/>
        <v>0</v>
      </c>
      <c r="R22" s="812">
        <f t="shared" si="1"/>
        <v>33709.59712738583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1343.6449153800002</v>
      </c>
      <c r="D24" s="1012">
        <f>+landbouw!C8</f>
        <v>62.357142857142847</v>
      </c>
      <c r="E24" s="1012">
        <f>+landbouw!D8</f>
        <v>79.334671974580004</v>
      </c>
      <c r="F24" s="1012">
        <f>+landbouw!E8</f>
        <v>34.647443367631666</v>
      </c>
      <c r="G24" s="1012">
        <f>+landbouw!F8</f>
        <v>4911.2780504578841</v>
      </c>
      <c r="H24" s="1012">
        <f>+landbouw!G8</f>
        <v>0</v>
      </c>
      <c r="I24" s="1012">
        <f>+landbouw!H8</f>
        <v>0</v>
      </c>
      <c r="J24" s="1012">
        <f>+landbouw!I8</f>
        <v>0</v>
      </c>
      <c r="K24" s="1012">
        <f>+landbouw!J8</f>
        <v>193.43543960998852</v>
      </c>
      <c r="L24" s="1012">
        <f>+landbouw!K8</f>
        <v>0</v>
      </c>
      <c r="M24" s="1012">
        <f>+landbouw!L8</f>
        <v>0</v>
      </c>
      <c r="N24" s="1012">
        <f>+landbouw!M8</f>
        <v>0</v>
      </c>
      <c r="O24" s="1012">
        <f>+landbouw!N8</f>
        <v>0</v>
      </c>
      <c r="P24" s="1012">
        <f>+landbouw!O8</f>
        <v>0</v>
      </c>
      <c r="Q24" s="1013">
        <f>+landbouw!P8</f>
        <v>0</v>
      </c>
      <c r="R24" s="700">
        <f>SUM(C24:Q24)</f>
        <v>6624.6976636472273</v>
      </c>
      <c r="S24" s="67"/>
    </row>
    <row r="25" spans="1:19" s="473" customFormat="1" ht="15" thickBot="1">
      <c r="A25" s="831" t="s">
        <v>848</v>
      </c>
      <c r="B25" s="1015"/>
      <c r="C25" s="1016">
        <f>IF(Onbekend_ele_kWh="---",0,Onbekend_ele_kWh)/1000+IF(REST_rest_ele_kWh="---",0,REST_rest_ele_kWh)/1000</f>
        <v>454.26015176999999</v>
      </c>
      <c r="D25" s="1016"/>
      <c r="E25" s="1016">
        <f>IF(onbekend_gas_kWh="---",0,onbekend_gas_kWh)/1000+IF(REST_rest_gas_kWh="---",0,REST_rest_gas_kWh)/1000</f>
        <v>191.33268437000001</v>
      </c>
      <c r="F25" s="1016"/>
      <c r="G25" s="1016"/>
      <c r="H25" s="1016"/>
      <c r="I25" s="1016"/>
      <c r="J25" s="1016"/>
      <c r="K25" s="1016"/>
      <c r="L25" s="1016"/>
      <c r="M25" s="1016"/>
      <c r="N25" s="1016"/>
      <c r="O25" s="1016"/>
      <c r="P25" s="1016"/>
      <c r="Q25" s="1017"/>
      <c r="R25" s="700">
        <f>SUM(C25:Q25)</f>
        <v>645.59283614000003</v>
      </c>
      <c r="S25" s="67"/>
    </row>
    <row r="26" spans="1:19" s="473" customFormat="1" ht="15.75" thickBot="1">
      <c r="A26" s="705" t="s">
        <v>849</v>
      </c>
      <c r="B26" s="817"/>
      <c r="C26" s="812">
        <f>SUM(C24:C25)</f>
        <v>1797.9050671500001</v>
      </c>
      <c r="D26" s="812">
        <f t="shared" ref="D26:R26" si="2">SUM(D24:D25)</f>
        <v>62.357142857142847</v>
      </c>
      <c r="E26" s="812">
        <f t="shared" si="2"/>
        <v>270.66735634458001</v>
      </c>
      <c r="F26" s="812">
        <f t="shared" si="2"/>
        <v>34.647443367631666</v>
      </c>
      <c r="G26" s="812">
        <f t="shared" si="2"/>
        <v>4911.2780504578841</v>
      </c>
      <c r="H26" s="812">
        <f t="shared" si="2"/>
        <v>0</v>
      </c>
      <c r="I26" s="812">
        <f t="shared" si="2"/>
        <v>0</v>
      </c>
      <c r="J26" s="812">
        <f t="shared" si="2"/>
        <v>0</v>
      </c>
      <c r="K26" s="812">
        <f t="shared" si="2"/>
        <v>193.43543960998852</v>
      </c>
      <c r="L26" s="812">
        <f t="shared" si="2"/>
        <v>0</v>
      </c>
      <c r="M26" s="812">
        <f t="shared" si="2"/>
        <v>0</v>
      </c>
      <c r="N26" s="812">
        <f t="shared" si="2"/>
        <v>0</v>
      </c>
      <c r="O26" s="812">
        <f t="shared" si="2"/>
        <v>0</v>
      </c>
      <c r="P26" s="812">
        <f t="shared" si="2"/>
        <v>0</v>
      </c>
      <c r="Q26" s="812">
        <f t="shared" si="2"/>
        <v>0</v>
      </c>
      <c r="R26" s="812">
        <f t="shared" si="2"/>
        <v>7270.2904997872274</v>
      </c>
      <c r="S26" s="67"/>
    </row>
    <row r="27" spans="1:19" s="473" customFormat="1" ht="17.25" thickTop="1" thickBot="1">
      <c r="A27" s="706" t="s">
        <v>116</v>
      </c>
      <c r="B27" s="805"/>
      <c r="C27" s="707">
        <f ca="1">C22+C16+C26</f>
        <v>24958.413380872546</v>
      </c>
      <c r="D27" s="707">
        <f t="shared" ref="D27:R27" ca="1" si="3">D22+D16+D26</f>
        <v>62.357142857142847</v>
      </c>
      <c r="E27" s="707">
        <f t="shared" ca="1" si="3"/>
        <v>11639.540357171498</v>
      </c>
      <c r="F27" s="707">
        <f t="shared" si="3"/>
        <v>4188.3281026682234</v>
      </c>
      <c r="G27" s="707">
        <f t="shared" ca="1" si="3"/>
        <v>32603.235955919172</v>
      </c>
      <c r="H27" s="707">
        <f t="shared" si="3"/>
        <v>26080.867145236836</v>
      </c>
      <c r="I27" s="707">
        <f t="shared" si="3"/>
        <v>6488.7016842613775</v>
      </c>
      <c r="J27" s="707">
        <f t="shared" si="3"/>
        <v>0</v>
      </c>
      <c r="K27" s="707">
        <f t="shared" si="3"/>
        <v>2801.3650699378081</v>
      </c>
      <c r="L27" s="707">
        <f t="shared" si="3"/>
        <v>0</v>
      </c>
      <c r="M27" s="707">
        <f t="shared" ca="1" si="3"/>
        <v>0</v>
      </c>
      <c r="N27" s="707">
        <f t="shared" si="3"/>
        <v>1015.8850402566243</v>
      </c>
      <c r="O27" s="707">
        <f t="shared" ca="1" si="3"/>
        <v>8536.1037614230099</v>
      </c>
      <c r="P27" s="707">
        <f t="shared" si="3"/>
        <v>161.02333333333334</v>
      </c>
      <c r="Q27" s="707">
        <f t="shared" si="3"/>
        <v>438.53333333333336</v>
      </c>
      <c r="R27" s="707">
        <f t="shared" ca="1" si="3"/>
        <v>118974.3543072709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1301.1440579478328</v>
      </c>
      <c r="D40" s="1012">
        <f ca="1">tertiair!C20</f>
        <v>0</v>
      </c>
      <c r="E40" s="1012">
        <f ca="1">tertiair!D20</f>
        <v>285.00346776032649</v>
      </c>
      <c r="F40" s="1012">
        <f>tertiair!E20</f>
        <v>26.402210856465846</v>
      </c>
      <c r="G40" s="1012">
        <f ca="1">tertiair!F20</f>
        <v>433.3610468617818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2045.9107834264069</v>
      </c>
    </row>
    <row r="41" spans="1:18">
      <c r="A41" s="822" t="s">
        <v>225</v>
      </c>
      <c r="B41" s="829"/>
      <c r="C41" s="1012">
        <f ca="1">huishoudens!B12</f>
        <v>2340.5908369714866</v>
      </c>
      <c r="D41" s="1012">
        <f ca="1">huishoudens!C12</f>
        <v>0</v>
      </c>
      <c r="E41" s="1012">
        <f>huishoudens!D12</f>
        <v>1914.3317635139724</v>
      </c>
      <c r="F41" s="1012">
        <f>huishoudens!E12</f>
        <v>752.26646395537853</v>
      </c>
      <c r="G41" s="1012">
        <f>huishoudens!F12</f>
        <v>6371.3178583585914</v>
      </c>
      <c r="H41" s="1012">
        <f>huishoudens!G12</f>
        <v>0</v>
      </c>
      <c r="I41" s="1012">
        <f>huishoudens!H12</f>
        <v>0</v>
      </c>
      <c r="J41" s="1012">
        <f>huishoudens!I12</f>
        <v>0</v>
      </c>
      <c r="K41" s="1012">
        <f>huishoudens!J12</f>
        <v>917.17801806689954</v>
      </c>
      <c r="L41" s="1012">
        <f>huishoudens!K12</f>
        <v>0</v>
      </c>
      <c r="M41" s="1012">
        <f>huishoudens!L12</f>
        <v>0</v>
      </c>
      <c r="N41" s="1012">
        <f>huishoudens!M12</f>
        <v>0</v>
      </c>
      <c r="O41" s="1012">
        <f>huishoudens!N12</f>
        <v>0</v>
      </c>
      <c r="P41" s="1012">
        <f>huishoudens!O12</f>
        <v>0</v>
      </c>
      <c r="Q41" s="774">
        <f>huishoudens!P12</f>
        <v>0</v>
      </c>
      <c r="R41" s="850">
        <f t="shared" ca="1" si="4"/>
        <v>12295.684940866327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791.05722132176265</v>
      </c>
      <c r="D43" s="1012">
        <f ca="1">industrie!C22</f>
        <v>0</v>
      </c>
      <c r="E43" s="1012">
        <f>industrie!D22</f>
        <v>92.22863648752822</v>
      </c>
      <c r="F43" s="1012">
        <f>industrie!E22</f>
        <v>143.51814243193172</v>
      </c>
      <c r="G43" s="1012">
        <f>industrie!F22</f>
        <v>589.07385553779193</v>
      </c>
      <c r="H43" s="1012">
        <f>industrie!G22</f>
        <v>0</v>
      </c>
      <c r="I43" s="1012">
        <f>industrie!H22</f>
        <v>0</v>
      </c>
      <c r="J43" s="1012">
        <f>industrie!I22</f>
        <v>0</v>
      </c>
      <c r="K43" s="1012">
        <f>industrie!J22</f>
        <v>6.0290710691485669</v>
      </c>
      <c r="L43" s="1012">
        <f>industrie!K22</f>
        <v>0</v>
      </c>
      <c r="M43" s="1012">
        <f>industrie!L22</f>
        <v>0</v>
      </c>
      <c r="N43" s="1012">
        <f>industrie!M22</f>
        <v>0</v>
      </c>
      <c r="O43" s="1012">
        <f>industrie!N22</f>
        <v>0</v>
      </c>
      <c r="P43" s="1012">
        <f>industrie!O22</f>
        <v>0</v>
      </c>
      <c r="Q43" s="774">
        <f>industrie!P22</f>
        <v>0</v>
      </c>
      <c r="R43" s="849">
        <f t="shared" ca="1" si="4"/>
        <v>1621.9069268481633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4432.7921162410821</v>
      </c>
      <c r="D46" s="732">
        <f t="shared" ref="D46:Q46" ca="1" si="5">SUM(D39:D45)</f>
        <v>0</v>
      </c>
      <c r="E46" s="732">
        <f t="shared" ca="1" si="5"/>
        <v>2291.5638677618272</v>
      </c>
      <c r="F46" s="732">
        <f t="shared" si="5"/>
        <v>922.1868172437762</v>
      </c>
      <c r="G46" s="732">
        <f t="shared" ca="1" si="5"/>
        <v>7393.7527607581651</v>
      </c>
      <c r="H46" s="732">
        <f t="shared" si="5"/>
        <v>0</v>
      </c>
      <c r="I46" s="732">
        <f t="shared" si="5"/>
        <v>0</v>
      </c>
      <c r="J46" s="732">
        <f t="shared" si="5"/>
        <v>0</v>
      </c>
      <c r="K46" s="732">
        <f t="shared" si="5"/>
        <v>923.20708913604813</v>
      </c>
      <c r="L46" s="732">
        <f t="shared" si="5"/>
        <v>0</v>
      </c>
      <c r="M46" s="732">
        <f t="shared" ca="1" si="5"/>
        <v>0</v>
      </c>
      <c r="N46" s="732">
        <f t="shared" si="5"/>
        <v>0</v>
      </c>
      <c r="O46" s="732">
        <f t="shared" ca="1" si="5"/>
        <v>0</v>
      </c>
      <c r="P46" s="732">
        <f t="shared" si="5"/>
        <v>0</v>
      </c>
      <c r="Q46" s="732">
        <f t="shared" si="5"/>
        <v>0</v>
      </c>
      <c r="R46" s="732">
        <f ca="1">SUM(R39:R45)</f>
        <v>15963.502651140898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137.42054434929696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137.42054434929696</v>
      </c>
    </row>
    <row r="50" spans="1:18">
      <c r="A50" s="825" t="s">
        <v>307</v>
      </c>
      <c r="B50" s="835"/>
      <c r="C50" s="703">
        <f ca="1">transport!B18</f>
        <v>1.6202046422598722</v>
      </c>
      <c r="D50" s="703">
        <f>transport!C18</f>
        <v>0</v>
      </c>
      <c r="E50" s="703">
        <f>transport!D18</f>
        <v>4.9484784052104462</v>
      </c>
      <c r="F50" s="703">
        <f>transport!E18</f>
        <v>20.698692417458339</v>
      </c>
      <c r="G50" s="703">
        <f>transport!F18</f>
        <v>0</v>
      </c>
      <c r="H50" s="703">
        <f>transport!G18</f>
        <v>6826.1709834289386</v>
      </c>
      <c r="I50" s="703">
        <f>transport!H18</f>
        <v>1615.6867193810831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8469.1250782749503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1.6202046422598722</v>
      </c>
      <c r="D52" s="732">
        <f t="shared" ref="D52:Q52" ca="1" si="6">SUM(D48:D51)</f>
        <v>0</v>
      </c>
      <c r="E52" s="732">
        <f t="shared" si="6"/>
        <v>4.9484784052104462</v>
      </c>
      <c r="F52" s="732">
        <f t="shared" si="6"/>
        <v>20.698692417458339</v>
      </c>
      <c r="G52" s="732">
        <f t="shared" si="6"/>
        <v>0</v>
      </c>
      <c r="H52" s="732">
        <f t="shared" si="6"/>
        <v>6963.5915277782351</v>
      </c>
      <c r="I52" s="732">
        <f t="shared" si="6"/>
        <v>1615.6867193810831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8606.5456226242477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257.26013811722191</v>
      </c>
      <c r="D54" s="703">
        <f ca="1">+landbouw!C12</f>
        <v>0</v>
      </c>
      <c r="E54" s="703">
        <f>+landbouw!D12</f>
        <v>16.025603738865161</v>
      </c>
      <c r="F54" s="703">
        <f>+landbouw!E12</f>
        <v>7.8649696444523887</v>
      </c>
      <c r="G54" s="703">
        <f>+landbouw!F12</f>
        <v>1311.3112394722552</v>
      </c>
      <c r="H54" s="703">
        <f>+landbouw!G12</f>
        <v>0</v>
      </c>
      <c r="I54" s="703">
        <f>+landbouw!H12</f>
        <v>0</v>
      </c>
      <c r="J54" s="703">
        <f>+landbouw!I12</f>
        <v>0</v>
      </c>
      <c r="K54" s="703">
        <f>+landbouw!J12</f>
        <v>68.476145621935927</v>
      </c>
      <c r="L54" s="703">
        <f>+landbouw!K12</f>
        <v>0</v>
      </c>
      <c r="M54" s="703">
        <f>+landbouw!L12</f>
        <v>0</v>
      </c>
      <c r="N54" s="703">
        <f>+landbouw!M12</f>
        <v>0</v>
      </c>
      <c r="O54" s="703">
        <f>+landbouw!N12</f>
        <v>0</v>
      </c>
      <c r="P54" s="703">
        <f>+landbouw!O12</f>
        <v>0</v>
      </c>
      <c r="Q54" s="704">
        <f>+landbouw!P12</f>
        <v>0</v>
      </c>
      <c r="R54" s="731">
        <f ca="1">SUM(C54:Q54)</f>
        <v>1660.9380965947307</v>
      </c>
    </row>
    <row r="55" spans="1:18" ht="15" thickBot="1">
      <c r="A55" s="825" t="s">
        <v>848</v>
      </c>
      <c r="B55" s="835"/>
      <c r="C55" s="703">
        <f ca="1">C25*'EF ele_warmte'!B12</f>
        <v>86.974637456541117</v>
      </c>
      <c r="D55" s="703"/>
      <c r="E55" s="703">
        <f>E25*EF_CO2_aardgas</f>
        <v>38.649202242740003</v>
      </c>
      <c r="F55" s="703"/>
      <c r="G55" s="703"/>
      <c r="H55" s="703"/>
      <c r="I55" s="703"/>
      <c r="J55" s="703"/>
      <c r="K55" s="703"/>
      <c r="L55" s="703"/>
      <c r="M55" s="703"/>
      <c r="N55" s="703"/>
      <c r="O55" s="703"/>
      <c r="P55" s="703"/>
      <c r="Q55" s="704"/>
      <c r="R55" s="731">
        <f ca="1">SUM(C55:Q55)</f>
        <v>125.62383969928112</v>
      </c>
    </row>
    <row r="56" spans="1:18" ht="15.75" thickBot="1">
      <c r="A56" s="823" t="s">
        <v>849</v>
      </c>
      <c r="B56" s="836"/>
      <c r="C56" s="732">
        <f ca="1">SUM(C54:C55)</f>
        <v>344.23477557376305</v>
      </c>
      <c r="D56" s="732">
        <f t="shared" ref="D56:Q56" ca="1" si="7">SUM(D54:D55)</f>
        <v>0</v>
      </c>
      <c r="E56" s="732">
        <f t="shared" si="7"/>
        <v>54.674805981605161</v>
      </c>
      <c r="F56" s="732">
        <f t="shared" si="7"/>
        <v>7.8649696444523887</v>
      </c>
      <c r="G56" s="732">
        <f t="shared" si="7"/>
        <v>1311.3112394722552</v>
      </c>
      <c r="H56" s="732">
        <f t="shared" si="7"/>
        <v>0</v>
      </c>
      <c r="I56" s="732">
        <f t="shared" si="7"/>
        <v>0</v>
      </c>
      <c r="J56" s="732">
        <f t="shared" si="7"/>
        <v>0</v>
      </c>
      <c r="K56" s="732">
        <f t="shared" si="7"/>
        <v>68.476145621935927</v>
      </c>
      <c r="L56" s="732">
        <f t="shared" si="7"/>
        <v>0</v>
      </c>
      <c r="M56" s="732">
        <f t="shared" si="7"/>
        <v>0</v>
      </c>
      <c r="N56" s="732">
        <f t="shared" si="7"/>
        <v>0</v>
      </c>
      <c r="O56" s="732">
        <f t="shared" si="7"/>
        <v>0</v>
      </c>
      <c r="P56" s="732">
        <f t="shared" si="7"/>
        <v>0</v>
      </c>
      <c r="Q56" s="733">
        <f t="shared" si="7"/>
        <v>0</v>
      </c>
      <c r="R56" s="734">
        <f ca="1">SUM(R54:R55)</f>
        <v>1786.561936294012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4778.6470964571045</v>
      </c>
      <c r="D61" s="740">
        <f t="shared" ref="D61:Q61" ca="1" si="8">D46+D52+D56</f>
        <v>0</v>
      </c>
      <c r="E61" s="740">
        <f t="shared" ca="1" si="8"/>
        <v>2351.1871521486428</v>
      </c>
      <c r="F61" s="740">
        <f t="shared" si="8"/>
        <v>950.75047930568689</v>
      </c>
      <c r="G61" s="740">
        <f t="shared" ca="1" si="8"/>
        <v>8705.0640002304208</v>
      </c>
      <c r="H61" s="740">
        <f t="shared" si="8"/>
        <v>6963.5915277782351</v>
      </c>
      <c r="I61" s="740">
        <f t="shared" si="8"/>
        <v>1615.6867193810831</v>
      </c>
      <c r="J61" s="740">
        <f t="shared" si="8"/>
        <v>0</v>
      </c>
      <c r="K61" s="740">
        <f t="shared" si="8"/>
        <v>991.68323475798411</v>
      </c>
      <c r="L61" s="740">
        <f t="shared" si="8"/>
        <v>0</v>
      </c>
      <c r="M61" s="740">
        <f t="shared" ca="1" si="8"/>
        <v>0</v>
      </c>
      <c r="N61" s="740">
        <f t="shared" si="8"/>
        <v>0</v>
      </c>
      <c r="O61" s="740">
        <f t="shared" ca="1" si="8"/>
        <v>0</v>
      </c>
      <c r="P61" s="740">
        <f t="shared" si="8"/>
        <v>0</v>
      </c>
      <c r="Q61" s="740">
        <f t="shared" si="8"/>
        <v>0</v>
      </c>
      <c r="R61" s="740">
        <f ca="1">R46+R52+R56</f>
        <v>26356.61021005916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0.19146437810503333</v>
      </c>
      <c r="D63" s="781">
        <f t="shared" ca="1" si="9"/>
        <v>0</v>
      </c>
      <c r="E63" s="1023">
        <f t="shared" ca="1" si="9"/>
        <v>0.20200000000000001</v>
      </c>
      <c r="F63" s="781">
        <f t="shared" si="9"/>
        <v>0.22700000000000004</v>
      </c>
      <c r="G63" s="781">
        <f t="shared" ca="1" si="9"/>
        <v>0.26700000000000007</v>
      </c>
      <c r="H63" s="781">
        <f t="shared" si="9"/>
        <v>0.26700000000000002</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3291.9258403426588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3335.5758403426589</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3291.9258403426588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3335.5758403426589</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45061</v>
      </c>
      <c r="C28" s="796">
        <v>9790</v>
      </c>
      <c r="D28" s="653" t="s">
        <v>890</v>
      </c>
      <c r="E28" s="652" t="s">
        <v>891</v>
      </c>
      <c r="F28" s="652" t="s">
        <v>892</v>
      </c>
      <c r="G28" s="652" t="s">
        <v>893</v>
      </c>
      <c r="H28" s="652" t="s">
        <v>894</v>
      </c>
      <c r="I28" s="652" t="s">
        <v>891</v>
      </c>
      <c r="J28" s="795">
        <v>41117</v>
      </c>
      <c r="K28" s="795">
        <v>41244</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12224.680434746391</v>
      </c>
      <c r="C4" s="477">
        <f>huishoudens!C8</f>
        <v>0</v>
      </c>
      <c r="D4" s="477">
        <f>huishoudens!D8</f>
        <v>9476.8899183860012</v>
      </c>
      <c r="E4" s="477">
        <f>huishoudens!E8</f>
        <v>3313.9491804201698</v>
      </c>
      <c r="F4" s="477">
        <f>huishoudens!F8</f>
        <v>23862.613701717568</v>
      </c>
      <c r="G4" s="477">
        <f>huishoudens!G8</f>
        <v>0</v>
      </c>
      <c r="H4" s="477">
        <f>huishoudens!H8</f>
        <v>0</v>
      </c>
      <c r="I4" s="477">
        <f>huishoudens!I8</f>
        <v>0</v>
      </c>
      <c r="J4" s="477">
        <f>huishoudens!J8</f>
        <v>2590.8983561211853</v>
      </c>
      <c r="K4" s="477">
        <f>huishoudens!K8</f>
        <v>0</v>
      </c>
      <c r="L4" s="477">
        <f>huishoudens!L8</f>
        <v>0</v>
      </c>
      <c r="M4" s="477">
        <f>huishoudens!M8</f>
        <v>0</v>
      </c>
      <c r="N4" s="477">
        <f>huishoudens!N8</f>
        <v>7058.8756962425459</v>
      </c>
      <c r="O4" s="477">
        <f>huishoudens!O8</f>
        <v>161.02333333333334</v>
      </c>
      <c r="P4" s="478">
        <f>huishoudens!P8</f>
        <v>419.4666666666667</v>
      </c>
      <c r="Q4" s="479">
        <f>SUM(B4:P4)</f>
        <v>59108.397287633859</v>
      </c>
    </row>
    <row r="5" spans="1:17">
      <c r="A5" s="476" t="s">
        <v>156</v>
      </c>
      <c r="B5" s="477">
        <f ca="1">tertiair!B16</f>
        <v>6217.4580545299996</v>
      </c>
      <c r="C5" s="477">
        <f ca="1">tertiair!C16</f>
        <v>0</v>
      </c>
      <c r="D5" s="477">
        <f ca="1">tertiair!D16</f>
        <v>1410.90825623924</v>
      </c>
      <c r="E5" s="477">
        <f>tertiair!E16</f>
        <v>116.30929892716232</v>
      </c>
      <c r="F5" s="477">
        <f ca="1">tertiair!F16</f>
        <v>1623.0750818793324</v>
      </c>
      <c r="G5" s="477">
        <f>tertiair!G16</f>
        <v>0</v>
      </c>
      <c r="H5" s="477">
        <f>tertiair!H16</f>
        <v>0</v>
      </c>
      <c r="I5" s="477">
        <f>tertiair!I16</f>
        <v>0</v>
      </c>
      <c r="J5" s="477">
        <f>tertiair!J16</f>
        <v>0</v>
      </c>
      <c r="K5" s="477">
        <f>tertiair!K16</f>
        <v>0</v>
      </c>
      <c r="L5" s="477">
        <f ca="1">tertiair!L16</f>
        <v>0</v>
      </c>
      <c r="M5" s="477">
        <f>tertiair!M16</f>
        <v>0</v>
      </c>
      <c r="N5" s="477">
        <f ca="1">tertiair!N16</f>
        <v>419.08709675074795</v>
      </c>
      <c r="O5" s="477">
        <f>tertiair!O16</f>
        <v>0</v>
      </c>
      <c r="P5" s="478">
        <f>tertiair!P16</f>
        <v>19.066666666666666</v>
      </c>
      <c r="Q5" s="476">
        <f t="shared" ref="Q5:Q14" ca="1" si="0">SUM(B5:P5)</f>
        <v>9805.9044549931496</v>
      </c>
    </row>
    <row r="6" spans="1:17">
      <c r="A6" s="476" t="s">
        <v>194</v>
      </c>
      <c r="B6" s="477">
        <f>'openbare verlichting'!B8</f>
        <v>578.29200000000003</v>
      </c>
      <c r="C6" s="477"/>
      <c r="D6" s="477"/>
      <c r="E6" s="477"/>
      <c r="F6" s="477"/>
      <c r="G6" s="477"/>
      <c r="H6" s="477"/>
      <c r="I6" s="477"/>
      <c r="J6" s="477"/>
      <c r="K6" s="477"/>
      <c r="L6" s="477"/>
      <c r="M6" s="477"/>
      <c r="N6" s="477"/>
      <c r="O6" s="477"/>
      <c r="P6" s="478"/>
      <c r="Q6" s="476">
        <f t="shared" si="0"/>
        <v>578.29200000000003</v>
      </c>
    </row>
    <row r="7" spans="1:17">
      <c r="A7" s="476" t="s">
        <v>112</v>
      </c>
      <c r="B7" s="477">
        <f>landbouw!B8</f>
        <v>1343.6449153800002</v>
      </c>
      <c r="C7" s="477">
        <f>landbouw!C8</f>
        <v>62.357142857142847</v>
      </c>
      <c r="D7" s="477">
        <f>landbouw!D8</f>
        <v>79.334671974580004</v>
      </c>
      <c r="E7" s="477">
        <f>landbouw!E8</f>
        <v>34.647443367631666</v>
      </c>
      <c r="F7" s="477">
        <f>landbouw!F8</f>
        <v>4911.2780504578841</v>
      </c>
      <c r="G7" s="477">
        <f>landbouw!G8</f>
        <v>0</v>
      </c>
      <c r="H7" s="477">
        <f>landbouw!H8</f>
        <v>0</v>
      </c>
      <c r="I7" s="477">
        <f>landbouw!I8</f>
        <v>0</v>
      </c>
      <c r="J7" s="477">
        <f>landbouw!J8</f>
        <v>193.43543960998852</v>
      </c>
      <c r="K7" s="477">
        <f>landbouw!K8</f>
        <v>0</v>
      </c>
      <c r="L7" s="477">
        <f>landbouw!L8</f>
        <v>0</v>
      </c>
      <c r="M7" s="477">
        <f>landbouw!M8</f>
        <v>0</v>
      </c>
      <c r="N7" s="477">
        <f>landbouw!N8</f>
        <v>0</v>
      </c>
      <c r="O7" s="477">
        <f>landbouw!O8</f>
        <v>0</v>
      </c>
      <c r="P7" s="478">
        <f>landbouw!P8</f>
        <v>0</v>
      </c>
      <c r="Q7" s="476">
        <f t="shared" si="0"/>
        <v>6624.6976636472273</v>
      </c>
    </row>
    <row r="8" spans="1:17">
      <c r="A8" s="476" t="s">
        <v>638</v>
      </c>
      <c r="B8" s="477">
        <f>industrie!B18</f>
        <v>4131.6156516999999</v>
      </c>
      <c r="C8" s="477">
        <f>industrie!C18</f>
        <v>0</v>
      </c>
      <c r="D8" s="477">
        <f>industrie!D18</f>
        <v>456.57740835410004</v>
      </c>
      <c r="E8" s="477">
        <f>industrie!E18</f>
        <v>632.23851291599874</v>
      </c>
      <c r="F8" s="477">
        <f>industrie!F18</f>
        <v>2206.269121864389</v>
      </c>
      <c r="G8" s="477">
        <f>industrie!G18</f>
        <v>0</v>
      </c>
      <c r="H8" s="477">
        <f>industrie!H18</f>
        <v>0</v>
      </c>
      <c r="I8" s="477">
        <f>industrie!I18</f>
        <v>0</v>
      </c>
      <c r="J8" s="477">
        <f>industrie!J18</f>
        <v>17.031274206634372</v>
      </c>
      <c r="K8" s="477">
        <f>industrie!K18</f>
        <v>0</v>
      </c>
      <c r="L8" s="477">
        <f>industrie!L18</f>
        <v>0</v>
      </c>
      <c r="M8" s="477">
        <f>industrie!M18</f>
        <v>0</v>
      </c>
      <c r="N8" s="477">
        <f>industrie!N18</f>
        <v>1058.1409684297166</v>
      </c>
      <c r="O8" s="477">
        <f>industrie!O18</f>
        <v>0</v>
      </c>
      <c r="P8" s="478">
        <f>industrie!P18</f>
        <v>0</v>
      </c>
      <c r="Q8" s="476">
        <f t="shared" si="0"/>
        <v>8501.8729374708382</v>
      </c>
    </row>
    <row r="9" spans="1:17" s="482" customFormat="1">
      <c r="A9" s="480" t="s">
        <v>564</v>
      </c>
      <c r="B9" s="481">
        <f>transport!B14</f>
        <v>8.4621727461547014</v>
      </c>
      <c r="C9" s="481">
        <f>transport!C14</f>
        <v>0</v>
      </c>
      <c r="D9" s="481">
        <f>transport!D14</f>
        <v>24.497417847576465</v>
      </c>
      <c r="E9" s="481">
        <f>transport!E14</f>
        <v>91.183667037261401</v>
      </c>
      <c r="F9" s="481">
        <f>transport!F14</f>
        <v>0</v>
      </c>
      <c r="G9" s="481">
        <f>transport!G14</f>
        <v>25566.18345853535</v>
      </c>
      <c r="H9" s="481">
        <f>transport!H14</f>
        <v>6488.7016842613775</v>
      </c>
      <c r="I9" s="481">
        <f>transport!I14</f>
        <v>0</v>
      </c>
      <c r="J9" s="481">
        <f>transport!J14</f>
        <v>0</v>
      </c>
      <c r="K9" s="481">
        <f>transport!K14</f>
        <v>0</v>
      </c>
      <c r="L9" s="481">
        <f>transport!L14</f>
        <v>0</v>
      </c>
      <c r="M9" s="481">
        <f>transport!M14</f>
        <v>999.92070373626905</v>
      </c>
      <c r="N9" s="481">
        <f>transport!N14</f>
        <v>0</v>
      </c>
      <c r="O9" s="481">
        <f>transport!O14</f>
        <v>0</v>
      </c>
      <c r="P9" s="481">
        <f>transport!P14</f>
        <v>0</v>
      </c>
      <c r="Q9" s="480">
        <f>SUM(B9:P9)</f>
        <v>33178.949104163992</v>
      </c>
    </row>
    <row r="10" spans="1:17">
      <c r="A10" s="476" t="s">
        <v>554</v>
      </c>
      <c r="B10" s="477">
        <f>transport!B54</f>
        <v>0</v>
      </c>
      <c r="C10" s="477">
        <f>transport!C54</f>
        <v>0</v>
      </c>
      <c r="D10" s="477">
        <f>transport!D54</f>
        <v>0</v>
      </c>
      <c r="E10" s="477">
        <f>transport!E54</f>
        <v>0</v>
      </c>
      <c r="F10" s="477">
        <f>transport!F54</f>
        <v>0</v>
      </c>
      <c r="G10" s="477">
        <f>transport!G54</f>
        <v>514.68368670148675</v>
      </c>
      <c r="H10" s="477">
        <f>transport!H54</f>
        <v>0</v>
      </c>
      <c r="I10" s="477">
        <f>transport!I54</f>
        <v>0</v>
      </c>
      <c r="J10" s="477">
        <f>transport!J54</f>
        <v>0</v>
      </c>
      <c r="K10" s="477">
        <f>transport!K54</f>
        <v>0</v>
      </c>
      <c r="L10" s="477">
        <f>transport!L54</f>
        <v>0</v>
      </c>
      <c r="M10" s="477">
        <f>transport!M54</f>
        <v>15.964336520355175</v>
      </c>
      <c r="N10" s="477">
        <f>transport!N54</f>
        <v>0</v>
      </c>
      <c r="O10" s="477">
        <f>transport!O54</f>
        <v>0</v>
      </c>
      <c r="P10" s="478">
        <f>transport!P54</f>
        <v>0</v>
      </c>
      <c r="Q10" s="476">
        <f t="shared" si="0"/>
        <v>530.64802322184187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454.26015176999999</v>
      </c>
      <c r="C14" s="484"/>
      <c r="D14" s="484">
        <f>'SEAP template'!E25</f>
        <v>191.33268437000001</v>
      </c>
      <c r="E14" s="484"/>
      <c r="F14" s="484"/>
      <c r="G14" s="484"/>
      <c r="H14" s="484"/>
      <c r="I14" s="484"/>
      <c r="J14" s="484"/>
      <c r="K14" s="484"/>
      <c r="L14" s="484"/>
      <c r="M14" s="484"/>
      <c r="N14" s="484"/>
      <c r="O14" s="484"/>
      <c r="P14" s="485"/>
      <c r="Q14" s="476">
        <f t="shared" si="0"/>
        <v>645.59283614000003</v>
      </c>
    </row>
    <row r="15" spans="1:17" s="486" customFormat="1">
      <c r="A15" s="1038" t="s">
        <v>558</v>
      </c>
      <c r="B15" s="978">
        <f ca="1">SUM(B4:B14)</f>
        <v>24958.413380872542</v>
      </c>
      <c r="C15" s="978">
        <f t="shared" ref="C15:Q15" ca="1" si="1">SUM(C4:C14)</f>
        <v>62.357142857142847</v>
      </c>
      <c r="D15" s="978">
        <f t="shared" ca="1" si="1"/>
        <v>11639.540357171498</v>
      </c>
      <c r="E15" s="978">
        <f t="shared" si="1"/>
        <v>4188.3281026682234</v>
      </c>
      <c r="F15" s="978">
        <f t="shared" ca="1" si="1"/>
        <v>32603.235955919172</v>
      </c>
      <c r="G15" s="978">
        <f t="shared" si="1"/>
        <v>26080.867145236836</v>
      </c>
      <c r="H15" s="978">
        <f t="shared" si="1"/>
        <v>6488.7016842613775</v>
      </c>
      <c r="I15" s="978">
        <f t="shared" si="1"/>
        <v>0</v>
      </c>
      <c r="J15" s="978">
        <f t="shared" si="1"/>
        <v>2801.3650699378081</v>
      </c>
      <c r="K15" s="978">
        <f t="shared" si="1"/>
        <v>0</v>
      </c>
      <c r="L15" s="978">
        <f t="shared" ca="1" si="1"/>
        <v>0</v>
      </c>
      <c r="M15" s="978">
        <f t="shared" si="1"/>
        <v>1015.8850402566243</v>
      </c>
      <c r="N15" s="978">
        <f t="shared" ca="1" si="1"/>
        <v>8536.1037614230099</v>
      </c>
      <c r="O15" s="978">
        <f t="shared" si="1"/>
        <v>161.02333333333334</v>
      </c>
      <c r="P15" s="978">
        <f t="shared" si="1"/>
        <v>438.53333333333336</v>
      </c>
      <c r="Q15" s="978">
        <f t="shared" ca="1" si="1"/>
        <v>118974.35430727091</v>
      </c>
    </row>
    <row r="17" spans="1:17">
      <c r="A17" s="487" t="s">
        <v>559</v>
      </c>
      <c r="B17" s="786">
        <f ca="1">huishoudens!B10</f>
        <v>0.19146437810503336</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2340.5908369714866</v>
      </c>
      <c r="C22" s="477">
        <f t="shared" ref="C22:C32" ca="1" si="3">C4*$C$17</f>
        <v>0</v>
      </c>
      <c r="D22" s="477">
        <f t="shared" ref="D22:D32" si="4">D4*$D$17</f>
        <v>1914.3317635139724</v>
      </c>
      <c r="E22" s="477">
        <f t="shared" ref="E22:E32" si="5">E4*$E$17</f>
        <v>752.26646395537853</v>
      </c>
      <c r="F22" s="477">
        <f t="shared" ref="F22:F32" si="6">F4*$F$17</f>
        <v>6371.3178583585914</v>
      </c>
      <c r="G22" s="477">
        <f t="shared" ref="G22:G32" si="7">G4*$G$17</f>
        <v>0</v>
      </c>
      <c r="H22" s="477">
        <f t="shared" ref="H22:H32" si="8">H4*$H$17</f>
        <v>0</v>
      </c>
      <c r="I22" s="477">
        <f t="shared" ref="I22:I32" si="9">I4*$I$17</f>
        <v>0</v>
      </c>
      <c r="J22" s="477">
        <f t="shared" ref="J22:J32" si="10">J4*$J$17</f>
        <v>917.17801806689954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12295.684940866327</v>
      </c>
    </row>
    <row r="23" spans="1:17">
      <c r="A23" s="476" t="s">
        <v>156</v>
      </c>
      <c r="B23" s="477">
        <f t="shared" ca="1" si="2"/>
        <v>1190.4217398047169</v>
      </c>
      <c r="C23" s="477">
        <f t="shared" ca="1" si="3"/>
        <v>0</v>
      </c>
      <c r="D23" s="477">
        <f t="shared" ca="1" si="4"/>
        <v>285.00346776032649</v>
      </c>
      <c r="E23" s="477">
        <f t="shared" si="5"/>
        <v>26.402210856465846</v>
      </c>
      <c r="F23" s="477">
        <f t="shared" ca="1" si="6"/>
        <v>433.3610468617818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1935.188465283291</v>
      </c>
    </row>
    <row r="24" spans="1:17">
      <c r="A24" s="476" t="s">
        <v>194</v>
      </c>
      <c r="B24" s="477">
        <f t="shared" ca="1" si="2"/>
        <v>110.72231814311596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110.72231814311596</v>
      </c>
    </row>
    <row r="25" spans="1:17">
      <c r="A25" s="476" t="s">
        <v>112</v>
      </c>
      <c r="B25" s="477">
        <f t="shared" ca="1" si="2"/>
        <v>257.26013811722191</v>
      </c>
      <c r="C25" s="477">
        <f t="shared" ca="1" si="3"/>
        <v>0</v>
      </c>
      <c r="D25" s="477">
        <f t="shared" si="4"/>
        <v>16.025603738865161</v>
      </c>
      <c r="E25" s="477">
        <f t="shared" si="5"/>
        <v>7.8649696444523887</v>
      </c>
      <c r="F25" s="477">
        <f t="shared" si="6"/>
        <v>1311.3112394722552</v>
      </c>
      <c r="G25" s="477">
        <f t="shared" si="7"/>
        <v>0</v>
      </c>
      <c r="H25" s="477">
        <f t="shared" si="8"/>
        <v>0</v>
      </c>
      <c r="I25" s="477">
        <f t="shared" si="9"/>
        <v>0</v>
      </c>
      <c r="J25" s="477">
        <f t="shared" si="10"/>
        <v>68.476145621935927</v>
      </c>
      <c r="K25" s="477">
        <f t="shared" si="11"/>
        <v>0</v>
      </c>
      <c r="L25" s="477">
        <f t="shared" si="12"/>
        <v>0</v>
      </c>
      <c r="M25" s="477">
        <f t="shared" si="13"/>
        <v>0</v>
      </c>
      <c r="N25" s="477">
        <f t="shared" si="14"/>
        <v>0</v>
      </c>
      <c r="O25" s="477">
        <f t="shared" si="15"/>
        <v>0</v>
      </c>
      <c r="P25" s="478">
        <f t="shared" si="16"/>
        <v>0</v>
      </c>
      <c r="Q25" s="476">
        <f t="shared" ca="1" si="17"/>
        <v>1660.9380965947307</v>
      </c>
    </row>
    <row r="26" spans="1:17">
      <c r="A26" s="476" t="s">
        <v>638</v>
      </c>
      <c r="B26" s="477">
        <f t="shared" ca="1" si="2"/>
        <v>791.05722132176265</v>
      </c>
      <c r="C26" s="477">
        <f t="shared" ca="1" si="3"/>
        <v>0</v>
      </c>
      <c r="D26" s="477">
        <f t="shared" si="4"/>
        <v>92.22863648752822</v>
      </c>
      <c r="E26" s="477">
        <f t="shared" si="5"/>
        <v>143.51814243193172</v>
      </c>
      <c r="F26" s="477">
        <f t="shared" si="6"/>
        <v>589.07385553779193</v>
      </c>
      <c r="G26" s="477">
        <f t="shared" si="7"/>
        <v>0</v>
      </c>
      <c r="H26" s="477">
        <f t="shared" si="8"/>
        <v>0</v>
      </c>
      <c r="I26" s="477">
        <f t="shared" si="9"/>
        <v>0</v>
      </c>
      <c r="J26" s="477">
        <f t="shared" si="10"/>
        <v>6.0290710691485669</v>
      </c>
      <c r="K26" s="477">
        <f t="shared" si="11"/>
        <v>0</v>
      </c>
      <c r="L26" s="477">
        <f t="shared" si="12"/>
        <v>0</v>
      </c>
      <c r="M26" s="477">
        <f t="shared" si="13"/>
        <v>0</v>
      </c>
      <c r="N26" s="477">
        <f t="shared" si="14"/>
        <v>0</v>
      </c>
      <c r="O26" s="477">
        <f t="shared" si="15"/>
        <v>0</v>
      </c>
      <c r="P26" s="478">
        <f t="shared" si="16"/>
        <v>0</v>
      </c>
      <c r="Q26" s="476">
        <f t="shared" ca="1" si="17"/>
        <v>1621.9069268481633</v>
      </c>
    </row>
    <row r="27" spans="1:17" s="482" customFormat="1">
      <c r="A27" s="480" t="s">
        <v>564</v>
      </c>
      <c r="B27" s="780">
        <f t="shared" ca="1" si="2"/>
        <v>1.6202046422598722</v>
      </c>
      <c r="C27" s="481">
        <f t="shared" ca="1" si="3"/>
        <v>0</v>
      </c>
      <c r="D27" s="481">
        <f t="shared" si="4"/>
        <v>4.9484784052104462</v>
      </c>
      <c r="E27" s="481">
        <f t="shared" si="5"/>
        <v>20.698692417458339</v>
      </c>
      <c r="F27" s="481">
        <f t="shared" si="6"/>
        <v>0</v>
      </c>
      <c r="G27" s="481">
        <f t="shared" si="7"/>
        <v>6826.1709834289386</v>
      </c>
      <c r="H27" s="481">
        <f t="shared" si="8"/>
        <v>1615.6867193810831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8469.1250782749503</v>
      </c>
    </row>
    <row r="28" spans="1:17">
      <c r="A28" s="476" t="s">
        <v>554</v>
      </c>
      <c r="B28" s="477">
        <f t="shared" ca="1" si="2"/>
        <v>0</v>
      </c>
      <c r="C28" s="477">
        <f t="shared" ca="1" si="3"/>
        <v>0</v>
      </c>
      <c r="D28" s="477">
        <f t="shared" si="4"/>
        <v>0</v>
      </c>
      <c r="E28" s="477">
        <f t="shared" si="5"/>
        <v>0</v>
      </c>
      <c r="F28" s="477">
        <f t="shared" si="6"/>
        <v>0</v>
      </c>
      <c r="G28" s="477">
        <f t="shared" si="7"/>
        <v>137.42054434929696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137.42054434929696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86.974637456541117</v>
      </c>
      <c r="C32" s="477">
        <f t="shared" ca="1" si="3"/>
        <v>0</v>
      </c>
      <c r="D32" s="477">
        <f t="shared" si="4"/>
        <v>38.649202242740003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125.62383969928112</v>
      </c>
    </row>
    <row r="33" spans="1:17" s="486" customFormat="1">
      <c r="A33" s="1038" t="s">
        <v>558</v>
      </c>
      <c r="B33" s="978">
        <f ca="1">SUM(B22:B32)</f>
        <v>4778.6470964571054</v>
      </c>
      <c r="C33" s="978">
        <f t="shared" ref="C33:Q33" ca="1" si="18">SUM(C22:C32)</f>
        <v>0</v>
      </c>
      <c r="D33" s="978">
        <f t="shared" ca="1" si="18"/>
        <v>2351.1871521486432</v>
      </c>
      <c r="E33" s="978">
        <f t="shared" si="18"/>
        <v>950.75047930568678</v>
      </c>
      <c r="F33" s="978">
        <f t="shared" ca="1" si="18"/>
        <v>8705.0640002304208</v>
      </c>
      <c r="G33" s="978">
        <f t="shared" si="18"/>
        <v>6963.5915277782351</v>
      </c>
      <c r="H33" s="978">
        <f t="shared" si="18"/>
        <v>1615.6867193810831</v>
      </c>
      <c r="I33" s="978">
        <f t="shared" si="18"/>
        <v>0</v>
      </c>
      <c r="J33" s="978">
        <f t="shared" si="18"/>
        <v>991.68323475798411</v>
      </c>
      <c r="K33" s="978">
        <f t="shared" si="18"/>
        <v>0</v>
      </c>
      <c r="L33" s="978">
        <f t="shared" ca="1" si="18"/>
        <v>0</v>
      </c>
      <c r="M33" s="978">
        <f t="shared" si="18"/>
        <v>0</v>
      </c>
      <c r="N33" s="978">
        <f t="shared" ca="1" si="18"/>
        <v>0</v>
      </c>
      <c r="O33" s="978">
        <f t="shared" si="18"/>
        <v>0</v>
      </c>
      <c r="P33" s="978">
        <f t="shared" si="18"/>
        <v>0</v>
      </c>
      <c r="Q33" s="978">
        <f t="shared" ca="1" si="18"/>
        <v>26356.610210059156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3291.9258403426588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3335.5758403426589</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0.19146437810503336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0.19146437810503336</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2019-08-12T08:25:52Z</dcterms:modified>
</cp:coreProperties>
</file>