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H10" i="59"/>
  <c r="L18"/>
  <c r="L20" s="1"/>
  <c r="L90" i="14"/>
  <c r="K18" i="59"/>
  <c r="K20" s="1"/>
  <c r="K90" i="14"/>
  <c r="L78"/>
  <c r="L8" i="59"/>
  <c r="L10" s="1"/>
  <c r="H90" i="14"/>
  <c r="H18" i="59"/>
  <c r="H20" s="1"/>
  <c r="H78" i="14"/>
  <c r="H8" i="59"/>
  <c r="E20"/>
  <c r="R9" i="14"/>
  <c r="K10" i="59"/>
  <c r="C98" i="18"/>
  <c r="D13" i="15"/>
  <c r="O90" i="14"/>
  <c r="G20" i="18"/>
  <c r="C13" i="15"/>
  <c r="O78" i="14"/>
  <c r="O9" i="59"/>
  <c r="O10" s="1"/>
  <c r="P25" i="48"/>
  <c r="R25" i="14"/>
  <c r="G78"/>
  <c r="N10" i="59"/>
  <c r="B8" i="18"/>
  <c r="B10" s="1"/>
  <c r="O19"/>
  <c r="L13" i="15"/>
  <c r="N13"/>
  <c r="Q77" i="14"/>
  <c r="P9" i="59" s="1"/>
  <c r="O9" i="18"/>
  <c r="O18"/>
  <c r="G88" i="14"/>
  <c r="F89"/>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O17" i="18" l="1"/>
  <c r="O20" s="1"/>
  <c r="I10" i="14"/>
  <c r="I16" s="1"/>
  <c r="H5" i="48"/>
  <c r="G5"/>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I27" i="48"/>
  <c r="I32"/>
  <c r="I24"/>
  <c r="I28"/>
  <c r="I22"/>
  <c r="I30"/>
  <c r="I29"/>
  <c r="I31"/>
  <c r="I25"/>
  <c r="I26"/>
  <c r="D4"/>
  <c r="D22" s="1"/>
  <c r="E11" i="14"/>
  <c r="H32" i="48"/>
  <c r="H25"/>
  <c r="H28"/>
  <c r="H29"/>
  <c r="H26"/>
  <c r="H22"/>
  <c r="H24"/>
  <c r="H30"/>
  <c r="H23"/>
  <c r="J28"/>
  <c r="J27"/>
  <c r="J32"/>
  <c r="J29"/>
  <c r="J30"/>
  <c r="J24"/>
  <c r="J31"/>
  <c r="B4"/>
  <c r="C11" i="14"/>
  <c r="N32" i="48"/>
  <c r="N31"/>
  <c r="N29"/>
  <c r="N27"/>
  <c r="N24"/>
  <c r="N28"/>
  <c r="N30"/>
  <c r="D29"/>
  <c r="D30"/>
  <c r="D28"/>
  <c r="D24"/>
  <c r="D31"/>
  <c r="D32"/>
  <c r="L29"/>
  <c r="L28"/>
  <c r="L32"/>
  <c r="L27"/>
  <c r="L22"/>
  <c r="L30"/>
  <c r="L31"/>
  <c r="L24"/>
  <c r="P5"/>
  <c r="P23" s="1"/>
  <c r="Q10" i="14"/>
  <c r="C4" i="48"/>
  <c r="D11" i="14"/>
  <c r="G32" i="48"/>
  <c r="G29"/>
  <c r="G25"/>
  <c r="G26"/>
  <c r="G24"/>
  <c r="G22"/>
  <c r="G30"/>
  <c r="G23"/>
  <c r="F32"/>
  <c r="F31"/>
  <c r="F27"/>
  <c r="F29"/>
  <c r="F30"/>
  <c r="F28"/>
  <c r="F24"/>
  <c r="B10"/>
  <c r="C19" i="14"/>
  <c r="E31" i="48"/>
  <c r="E29"/>
  <c r="E28"/>
  <c r="E32"/>
  <c r="E24"/>
  <c r="E30"/>
  <c r="M29"/>
  <c r="M32"/>
  <c r="M26"/>
  <c r="M22"/>
  <c r="M25"/>
  <c r="M24"/>
  <c r="M30"/>
  <c r="M23"/>
  <c r="L10" i="14"/>
  <c r="L16" s="1"/>
  <c r="L27" s="1"/>
  <c r="K5" i="48"/>
  <c r="K28"/>
  <c r="K32"/>
  <c r="K25"/>
  <c r="K27"/>
  <c r="K26"/>
  <c r="K24"/>
  <c r="K31"/>
  <c r="K29"/>
  <c r="K30"/>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I5" i="48"/>
  <c r="J10" i="14"/>
  <c r="J16" s="1"/>
  <c r="J27" s="1"/>
  <c r="P15" i="48"/>
  <c r="P22"/>
  <c r="M12" i="22"/>
  <c r="M13" i="48"/>
  <c r="M31" s="1"/>
  <c r="N18" i="14"/>
  <c r="H18"/>
  <c r="G13" i="48"/>
  <c r="H13"/>
  <c r="H31" s="1"/>
  <c r="I18" i="14"/>
  <c r="O22" i="48"/>
  <c r="K24" i="14"/>
  <c r="K26" s="1"/>
  <c r="J7" i="48"/>
  <c r="J25" s="1"/>
  <c r="P8"/>
  <c r="P26" s="1"/>
  <c r="Q13" i="14"/>
  <c r="Q16" s="1"/>
  <c r="Q27" s="1"/>
  <c r="Q63" s="1"/>
  <c r="F20"/>
  <c r="F22" s="1"/>
  <c r="E9" i="48"/>
  <c r="E27" s="1"/>
  <c r="K23"/>
  <c r="K15"/>
  <c r="C22" i="14"/>
  <c r="E20"/>
  <c r="E22" s="1"/>
  <c r="D9" i="48"/>
  <c r="D27" s="1"/>
  <c r="O5"/>
  <c r="O23" s="1"/>
  <c r="P10" i="14"/>
  <c r="C20"/>
  <c r="B9" i="48"/>
  <c r="J46" i="14"/>
  <c r="J61" s="1"/>
  <c r="I20" i="15"/>
  <c r="J40" i="14"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R11" s="1"/>
  <c r="E4" i="48"/>
  <c r="R18" i="14"/>
  <c r="N22"/>
  <c r="N27" s="1"/>
  <c r="N52"/>
  <c r="N61" s="1"/>
  <c r="E7" i="48"/>
  <c r="E25" s="1"/>
  <c r="F24" i="14"/>
  <c r="F26" s="1"/>
  <c r="G31" i="48"/>
  <c r="Q13"/>
  <c r="I23"/>
  <c r="I33" s="1"/>
  <c r="I15"/>
  <c r="I20" i="14"/>
  <c r="I22" s="1"/>
  <c r="I27" s="1"/>
  <c r="H9" i="48"/>
  <c r="O15"/>
  <c r="P33"/>
  <c r="G10"/>
  <c r="H19" i="14"/>
  <c r="K11"/>
  <c r="J4" i="48"/>
  <c r="M9"/>
  <c r="N20" i="14"/>
  <c r="O22" i="16"/>
  <c r="P43" i="14" s="1"/>
  <c r="P46" s="1"/>
  <c r="P61" s="1"/>
  <c r="P63" s="1"/>
  <c r="O8" i="48"/>
  <c r="O26" s="1"/>
  <c r="P13" i="14"/>
  <c r="P16" s="1"/>
  <c r="P27" s="1"/>
  <c r="N19"/>
  <c r="M10" i="48"/>
  <c r="M28" s="1"/>
  <c r="J63" i="14"/>
  <c r="G14" i="22"/>
  <c r="O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J5" i="48"/>
  <c r="J23" s="1"/>
  <c r="K10" i="14"/>
  <c r="G28" i="48"/>
  <c r="Q10"/>
  <c r="H27"/>
  <c r="H33" s="1"/>
  <c r="H15"/>
  <c r="N63" i="14"/>
  <c r="E5" i="48"/>
  <c r="E23" s="1"/>
  <c r="F10" i="14"/>
  <c r="H20"/>
  <c r="R20" s="1"/>
  <c r="G9" i="48"/>
  <c r="M27"/>
  <c r="M33" s="1"/>
  <c r="M15"/>
  <c r="R19" i="14"/>
  <c r="R22"/>
  <c r="E22" i="48"/>
  <c r="Q4"/>
  <c r="J22"/>
  <c r="R24" i="14"/>
  <c r="R26" s="1"/>
  <c r="J20" i="15"/>
  <c r="K40" i="14" s="1"/>
  <c r="Q7" i="48"/>
  <c r="E20" i="15"/>
  <c r="F40" i="14" s="1"/>
  <c r="J18" i="16"/>
  <c r="E18"/>
  <c r="F18"/>
  <c r="F22" s="1"/>
  <c r="G43" i="14" s="1"/>
  <c r="N18" i="16"/>
  <c r="G18" i="22"/>
  <c r="H50" i="14" s="1"/>
  <c r="E22" i="16"/>
  <c r="F43" i="14" s="1"/>
  <c r="H18" i="22"/>
  <c r="I50" i="14" s="1"/>
  <c r="I52" s="1"/>
  <c r="I61" s="1"/>
  <c r="I63" s="1"/>
  <c r="E33" i="48" l="1"/>
  <c r="J22" i="16"/>
  <c r="K43" i="14" s="1"/>
  <c r="K46" s="1"/>
  <c r="K61" s="1"/>
  <c r="K63" s="1"/>
  <c r="J8" i="48"/>
  <c r="J26" s="1"/>
  <c r="K13" i="14"/>
  <c r="K16" s="1"/>
  <c r="K27" s="1"/>
  <c r="E8" i="48"/>
  <c r="E26" s="1"/>
  <c r="F13" i="14"/>
  <c r="F46"/>
  <c r="F61" s="1"/>
  <c r="G27" i="48"/>
  <c r="G33" s="1"/>
  <c r="G15"/>
  <c r="Q9"/>
  <c r="F16" i="14"/>
  <c r="F27" s="1"/>
  <c r="J33" i="48"/>
  <c r="H22" i="14"/>
  <c r="H27" s="1"/>
  <c r="H63" s="1"/>
  <c r="N8" i="48"/>
  <c r="N26" s="1"/>
  <c r="O13" i="14"/>
  <c r="N22" i="16"/>
  <c r="O43" i="14" s="1"/>
  <c r="G13"/>
  <c r="F8" i="48"/>
  <c r="F63" i="14" l="1"/>
  <c r="R13"/>
  <c r="J15" i="48"/>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<sst xmlns="http://schemas.openxmlformats.org/spreadsheetml/2006/main" count="2410" uniqueCount="902">
  <si>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</si>
  <si>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</si>
  <si>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</si>
  <si>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</si>
  <si>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</si>
  <si>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</si>
  <si>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</si>
  <si>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</si>
  <si>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</si>
  <si>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</si>
  <si>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</si>
  <si>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</si>
  <si>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</si>
  <si>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</si>
  <si>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</si>
  <si>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</si>
  <si>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</si>
  <si>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</si>
  <si>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</si>
  <si>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</si>
  <si>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</si>
  <si>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</si>
  <si>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</si>
  <si>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</si>
  <si>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</si>
  <si>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</si>
  <si>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</si>
  <si>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</si>
  <si>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</si>
  <si>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</si>
  <si>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</si>
  <si>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</si>
  <si>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</si>
  <si>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</si>
  <si>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</si>
  <si>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</si>
  <si>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</si>
  <si>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</si>
  <si>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</si>
  <si>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</si>
  <si>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</si>
  <si>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</si>
  <si>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</si>
  <si>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</si>
  <si>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</si>
  <si>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</si>
  <si>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</si>
  <si>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</si>
  <si>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</si>
  <si>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</si>
  <si>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</si>
  <si>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</si>
  <si>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</si>
  <si>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</si>
  <si>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</si>
  <si>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</si>
  <si>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</si>
  <si>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</si>
  <si>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</si>
  <si>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</si>
  <si>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</si>
  <si>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</si>
  <si>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</si>
  <si>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</si>
  <si>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</si>
  <si>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</si>
  <si>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</si>
  <si>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</si>
  <si>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</si>
  <si>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</si>
  <si>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</si>
  <si>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</si>
  <si>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</si>
  <si>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</si>
  <si>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</si>
  <si>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</si>
  <si>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</si>
  <si>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</si>
  <si>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</si>
  <si>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</si>
  <si>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</si>
  <si>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</si>
  <si>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</si>
  <si>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</si>
  <si>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</si>
  <si>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</si>
  <si>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</si>
  <si>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</si>
  <si>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</si>
  <si>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</si>
  <si>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</si>
  <si>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</si>
  <si>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</si>
  <si>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</si>
  <si>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</si>
  <si>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</si>
  <si>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</si>
  <si>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</si>
  <si>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</si>
  <si>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</si>
  <si>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</si>
  <si>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</si>
  <si>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</si>
  <si>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</si>
  <si>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</si>
  <si>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</si>
  <si>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</si>
  <si>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</si>
  <si>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</si>
  <si>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</si>
  <si>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</si>
  <si>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</si>
  <si>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</si>
  <si>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</si>
  <si>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</si>
  <si>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</si>
  <si>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</si>
  <si>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</si>
  <si>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</si>
  <si>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</si>
  <si>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</si>
  <si>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</si>
  <si>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</si>
  <si>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</si>
  <si>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</si>
  <si>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</si>
  <si>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</si>
  <si>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</si>
  <si>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</si>
  <si>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</si>
  <si>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</si>
  <si>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</si>
  <si>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</si>
  <si>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</si>
  <si>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</si>
  <si>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</si>
  <si>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</si>
  <si>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</si>
  <si>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</si>
  <si>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</si>
  <si>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</si>
  <si>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</si>
  <si>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</si>
  <si>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</si>
  <si>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</si>
  <si>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</si>
  <si>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</si>
  <si>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</si>
  <si>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</si>
  <si>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</si>
  <si>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</si>
  <si>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</si>
  <si>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</si>
  <si>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</si>
  <si>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</si>
  <si>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</si>
  <si>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</si>
  <si>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</si>
  <si>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</si>
  <si>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</si>
  <si>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</si>
  <si>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</si>
  <si>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</si>
  <si>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</si>
  <si>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</si>
  <si>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</si>
  <si>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</si>
  <si>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</si>
  <si>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</si>
  <si>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</si>
  <si>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</si>
  <si>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</si>
  <si>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</si>
  <si>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</si>
  <si>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</si>
  <si>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</si>
  <si>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</si>
  <si>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</si>
  <si>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</si>
  <si>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</si>
  <si>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</si>
  <si>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</si>
  <si>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</si>
  <si>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</si>
  <si>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</si>
  <si>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</si>
  <si>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</si>
  <si>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</si>
  <si>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</si>
  <si>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</si>
  <si>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</si>
  <si>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</si>
  <si>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</si>
  <si>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</si>
  <si>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</si>
  <si>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</si>
  <si>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</si>
  <si>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</si>
  <si>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</si>
  <si>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</si>
  <si>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</si>
  <si>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</si>
  <si>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</si>
  <si>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</si>
  <si>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</si>
  <si>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</si>
  <si>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</si>
  <si>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</si>
  <si>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</si>
  <si>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</si>
  <si>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</si>
  <si>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</si>
  <si>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</si>
  <si>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</si>
  <si>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</si>
  <si>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</si>
  <si>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</si>
  <si>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</si>
  <si>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</si>
  <si>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</si>
  <si>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</si>
  <si>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</si>
  <si>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</si>
  <si>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</si>
  <si>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</si>
  <si>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</si>
  <si>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</si>
  <si>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</si>
  <si>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</si>
  <si>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</si>
  <si>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</si>
  <si>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</si>
  <si>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</si>
  <si>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</si>
  <si>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</si>
  <si>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</si>
  <si>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</si>
  <si>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</si>
  <si>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</si>
  <si>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</si>
  <si>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</si>
  <si>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</si>
  <si>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</si>
  <si>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</si>
  <si>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</si>
  <si>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</si>
  <si>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</si>
  <si>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</si>
  <si>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</si>
  <si>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</si>
  <si>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</si>
  <si>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</si>
  <si>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</si>
  <si>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</si>
  <si>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</si>
  <si>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</si>
  <si>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</si>
  <si>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</si>
  <si>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</si>
  <si>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</si>
  <si>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</si>
  <si>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</si>
  <si>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</si>
  <si>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</si>
  <si>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</si>
  <si>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</si>
  <si>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</si>
  <si>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</si>
  <si>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</si>
  <si>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</si>
  <si>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</si>
  <si>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</si>
  <si>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</si>
  <si>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</si>
  <si>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</si>
  <si>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</si>
  <si>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</si>
  <si>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</si>
  <si>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</si>
  <si>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</si>
  <si>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</si>
  <si>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</si>
  <si>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</si>
  <si>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</si>
  <si>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</si>
  <si>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</si>
  <si>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</si>
  <si>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</si>
  <si>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</si>
  <si>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</si>
  <si>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</si>
  <si>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</si>
  <si>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</si>
  <si>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</si>
  <si>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</si>
  <si>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</si>
  <si>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</si>
  <si>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</si>
  <si>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</si>
  <si>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</si>
  <si>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</si>
  <si>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</si>
  <si>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</si>
  <si>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</si>
  <si>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</si>
  <si>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</si>
  <si>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</si>
  <si>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</si>
  <si>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</si>
  <si>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</si>
  <si>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</si>
  <si>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</si>
  <si>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</si>
  <si>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</si>
  <si>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</si>
  <si>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</si>
  <si>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</si>
  <si>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</si>
  <si>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</si>
  <si>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</si>
  <si>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</si>
  <si>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</si>
  <si>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</si>
  <si>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</si>
  <si>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</si>
  <si>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</si>
  <si>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</si>
  <si>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</si>
  <si>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</si>
  <si>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</si>
  <si>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</si>
  <si>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</si>
  <si>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</si>
  <si>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</si>
  <si>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</si>
  <si>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</si>
  <si>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</si>
  <si>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</si>
  <si>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</si>
  <si>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</si>
  <si>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</si>
  <si>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</si>
  <si>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</si>
  <si>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</si>
  <si>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</si>
  <si>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</si>
  <si>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</si>
  <si>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</si>
  <si>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</si>
  <si>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</si>
  <si>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</si>
  <si>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</si>
  <si>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</si>
  <si>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</si>
  <si>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</si>
  <si>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</si>
  <si>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</si>
  <si>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</si>
  <si>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</si>
  <si>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</si>
  <si>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</si>
  <si>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</si>
  <si>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</si>
  <si>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</si>
  <si>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</si>
  <si>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</si>
  <si>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</si>
  <si>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</si>
  <si>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</si>
  <si>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</si>
  <si>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</si>
  <si>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</si>
  <si>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</si>
  <si>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</si>
  <si>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</si>
  <si>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</si>
  <si>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</si>
  <si>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</si>
  <si>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</si>
  <si>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</si>
  <si>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</si>
  <si>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</si>
  <si>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</si>
  <si>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</si>
  <si>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</si>
  <si>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</si>
  <si>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</si>
  <si>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</si>
  <si>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</si>
  <si>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</si>
  <si>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</si>
  <si>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</si>
  <si>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</si>
  <si>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</si>
  <si>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</si>
  <si>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</si>
  <si>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</si>
  <si>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</si>
  <si>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</si>
  <si>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</si>
  <si>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</si>
  <si>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</si>
  <si>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</si>
  <si>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</si>
  <si>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</si>
  <si>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</si>
  <si>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</si>
  <si>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</si>
  <si>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</si>
  <si>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</si>
  <si>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</si>
  <si>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</si>
  <si>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</si>
  <si>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</si>
  <si>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</si>
  <si>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</si>
  <si>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</si>
  <si>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</si>
  <si>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</si>
  <si>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</si>
  <si>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</si>
  <si>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</si>
  <si>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</si>
  <si>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</si>
  <si>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</si>
  <si>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</si>
  <si>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</si>
  <si>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</si>
  <si>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</si>
  <si>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</si>
  <si>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</si>
  <si>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</si>
  <si>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</si>
  <si>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</si>
  <si>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</si>
  <si>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</si>
  <si>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</si>
  <si>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</si>
  <si>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</si>
  <si>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</si>
  <si>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</si>
  <si>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</si>
  <si>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</si>
  <si>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</si>
  <si>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</si>
  <si>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</si>
  <si>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</si>
  <si>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</si>
  <si>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</si>
  <si>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</si>
  <si>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</si>
  <si>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</si>
  <si>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</si>
  <si>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</si>
  <si>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</si>
  <si>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</si>
  <si>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</si>
  <si>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</si>
  <si>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</si>
  <si>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</si>
  <si>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</si>
  <si>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</si>
  <si>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</si>
  <si>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</si>
  <si>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</si>
  <si>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</si>
  <si>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</si>
  <si>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</si>
  <si>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</si>
  <si>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</si>
  <si>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</si>
  <si>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</si>
  <si>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</si>
  <si>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</si>
  <si>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</si>
  <si>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</si>
  <si>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</si>
  <si>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</si>
  <si>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</si>
  <si>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</si>
  <si>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</si>
  <si>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</si>
  <si>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</si>
  <si>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</si>
  <si>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</si>
  <si>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</si>
  <si>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</si>
  <si>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</si>
  <si>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</si>
  <si>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</si>
  <si>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</si>
  <si>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</si>
  <si>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</si>
  <si>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</si>
  <si>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</si>
  <si>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</si>
  <si>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</si>
  <si>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</si>
  <si>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</si>
  <si>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</si>
  <si>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</si>
  <si>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</si>
  <si>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</si>
  <si>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</si>
  <si>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</si>
  <si>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</si>
  <si>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</si>
  <si>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</si>
  <si>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</si>
  <si>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</si>
  <si>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</si>
  <si>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</si>
  <si>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</si>
  <si>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</si>
  <si>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</si>
  <si>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</si>
  <si>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</si>
  <si>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</si>
  <si>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</si>
  <si>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</si>
  <si>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</si>
  <si>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</si>
  <si>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</si>
  <si>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</si>
  <si>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</si>
  <si>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</si>
  <si>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</si>
  <si>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</si>
  <si>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</si>
  <si>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</si>
  <si>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</si>
  <si>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</si>
  <si>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</si>
  <si>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</si>
  <si>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</si>
  <si>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</si>
  <si>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</si>
  <si>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</si>
  <si>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</si>
  <si>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</si>
  <si>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</si>
  <si>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</si>
  <si>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</si>
  <si>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</si>
  <si>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</si>
  <si>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</si>
  <si>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</si>
  <si>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</si>
  <si>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</si>
  <si>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</si>
  <si>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</si>
  <si>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</si>
  <si>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</si>
  <si>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</si>
  <si>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</si>
  <si>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</si>
  <si>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</si>
  <si>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</si>
  <si>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</si>
  <si>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</si>
  <si>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</si>
  <si>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</si>
  <si>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</si>
  <si>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</si>
  <si>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</si>
  <si>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</si>
  <si>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</si>
  <si>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</si>
  <si>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</si>
  <si>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</si>
  <si>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</si>
  <si>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</si>
  <si>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</si>
  <si>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</si>
  <si>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</si>
  <si>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</si>
  <si>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</si>
  <si>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</si>
  <si>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</si>
  <si>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</si>
  <si>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</si>
  <si>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</si>
  <si>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</si>
  <si>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</si>
  <si>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</si>
  <si>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</si>
  <si>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</si>
  <si>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</si>
  <si>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</si>
  <si>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</si>
  <si>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</si>
  <si>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</si>
  <si>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</si>
  <si>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</si>
  <si>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</si>
  <si>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</si>
  <si>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</si>
  <si>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</si>
  <si>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</si>
  <si>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</si>
  <si>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</si>
  <si>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</si>
  <si>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</si>
  <si>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</si>
  <si>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</si>
  <si>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</si>
  <si>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</si>
  <si>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</si>
  <si>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</si>
  <si>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</si>
  <si>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</si>
  <si>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</si>
  <si>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</si>
  <si>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</si>
  <si>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</si>
  <si>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</si>
  <si>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</si>
  <si>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</si>
  <si>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</si>
  <si>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</si>
  <si>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</si>
  <si>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</si>
  <si>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</si>
  <si>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</si>
  <si>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</si>
  <si>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</si>
  <si>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</si>
  <si>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</si>
  <si>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</si>
  <si>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</si>
  <si>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</si>
  <si>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</si>
  <si>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</si>
  <si>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</si>
  <si>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</si>
  <si>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</si>
  <si>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</si>
  <si>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</si>
  <si>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</si>
  <si>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</si>
  <si>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</si>
  <si>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</si>
  <si>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</si>
  <si>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</si>
  <si>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</si>
  <si>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</si>
  <si>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</si>
  <si>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</si>
  <si>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</si>
  <si>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</si>
  <si>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</si>
  <si>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</si>
  <si>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</si>
  <si>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</si>
  <si>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</si>
  <si>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</si>
  <si>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</si>
  <si>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</si>
  <si>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</si>
  <si>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</si>
  <si>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</si>
  <si>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</si>
  <si>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</si>
  <si>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</si>
  <si>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</si>
  <si>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</si>
  <si>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</si>
  <si>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</si>
  <si>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</si>
  <si>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</si>
  <si>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</si>
  <si>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</si>
  <si>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</si>
  <si>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</si>
  <si>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</si>
  <si>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</si>
  <si>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</si>
  <si>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</si>
  <si>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</si>
  <si>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</si>
  <si>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</si>
  <si>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</si>
  <si>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</si>
  <si>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</si>
  <si>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</si>
  <si>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</si>
  <si>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</si>
  <si>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</si>
  <si>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</si>
  <si>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</si>
  <si>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</si>
  <si>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</si>
  <si>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</si>
  <si>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</si>
  <si>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</si>
  <si>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</si>
  <si>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</si>
  <si>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</si>
  <si>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</si>
  <si>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</si>
  <si>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</si>
  <si>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</si>
  <si>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</si>
  <si>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</si>
  <si>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</si>
  <si>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</si>
  <si>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</si>
  <si>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</si>
  <si>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</si>
  <si>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</si>
  <si>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</si>
  <si>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</si>
  <si>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</si>
  <si>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</si>
  <si>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</si>
  <si>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</si>
  <si>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</si>
  <si>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</si>
  <si>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</si>
  <si>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</si>
  <si>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</si>
  <si>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</si>
  <si>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</si>
  <si>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</si>
  <si>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</si>
  <si>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</si>
  <si>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</si>
  <si>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</si>
  <si>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</si>
  <si>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</si>
  <si>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</si>
  <si>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</si>
  <si>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</si>
  <si>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</si>
  <si>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</si>
  <si>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</si>
  <si>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</si>
  <si>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</si>
  <si>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</si>
  <si>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</si>
  <si>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</si>
  <si>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</si>
  <si>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</si>
  <si>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</si>
  <si>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</si>
  <si>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</si>
  <si>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</si>
  <si>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</si>
  <si>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</si>
  <si>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</si>
  <si>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</si>
  <si>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</si>
  <si>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</si>
  <si>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</si>
  <si>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</si>
  <si>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</si>
  <si>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</si>
  <si>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</si>
  <si>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</si>
  <si>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</si>
  <si>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</si>
  <si>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</si>
  <si>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</si>
  <si>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</si>
  <si>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</si>
  <si>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</si>
  <si>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</si>
  <si>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</si>
  <si>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</si>
  <si>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</si>
  <si>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</si>
  <si>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</si>
  <si>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</si>
  <si>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</si>
  <si>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</si>
  <si>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</si>
  <si>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</si>
  <si>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</si>
  <si>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</si>
  <si>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</si>
  <si>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</si>
  <si>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</si>
  <si>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</si>
  <si>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</si>
  <si>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</si>
  <si>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</si>
  <si>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</si>
  <si>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</si>
  <si>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</si>
  <si>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</si>
  <si>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</si>
  <si>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</si>
  <si>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</si>
  <si>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</si>
  <si>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</si>
  <si>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</si>
  <si>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</si>
  <si>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</si>
  <si>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</si>
  <si>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</si>
  <si>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</si>
  <si>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</si>
  <si>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</si>
  <si>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</si>
  <si>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</si>
  <si>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</si>
  <si>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</si>
  <si>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</si>
  <si>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</si>
  <si>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</si>
  <si>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</si>
  <si>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</si>
  <si>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</si>
  <si>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</si>
  <si>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</si>
  <si>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</si>
  <si>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</si>
  <si>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</si>
  <si>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</si>
  <si>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</si>
  <si>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</si>
  <si>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</si>
  <si>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</si>
  <si>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</si>
  <si>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</si>
  <si>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</si>
  <si>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</si>
  <si>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</si>
  <si>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</si>
  <si>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</si>
  <si>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</si>
  <si>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</si>
  <si>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</si>
  <si>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</si>
  <si>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</si>
  <si>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</si>
  <si>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</si>
  <si>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</si>
  <si>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</si>
  <si>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</si>
  <si>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</si>
  <si>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</si>
  <si>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</si>
  <si>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</si>
  <si>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</si>
  <si>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</si>
  <si>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</si>
  <si>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</si>
  <si>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</si>
  <si>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</si>
  <si>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</si>
  <si>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</si>
  <si>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</si>
  <si>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</si>
  <si>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</si>
  <si>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</si>
  <si>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</si>
  <si>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</si>
  <si>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</si>
  <si>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</si>
  <si>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</si>
  <si>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</si>
  <si>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</si>
  <si>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</si>
  <si>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</si>
  <si>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</si>
  <si>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</si>
  <si>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</si>
  <si>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</si>
  <si>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</si>
  <si>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</si>
  <si>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</si>
  <si>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</si>
  <si>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</si>
  <si>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</si>
  <si>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</si>
  <si>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</si>
  <si>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</si>
  <si>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</si>
  <si>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</si>
  <si>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</si>
  <si>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</si>
  <si>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45041</t>
  </si>
  <si>
    <t>RONSE</t>
  </si>
  <si>
    <t>Paarden&amp;pony's 200 - 600 kg</t>
  </si>
  <si>
    <t>Paarden&amp;pony's &lt; 200 kg</t>
  </si>
  <si>
    <t>referentietaak LNE (2017); Jaarverslag De Lijn (2015)</t>
  </si>
  <si>
    <t>op basis van VEA (maart 2018) en Inventaris Hernieuwbare Energiebronnen (juni 2018)</t>
  </si>
  <si>
    <t>VEA (januari 2017)</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</si>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</sst>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182170.25924392269</c:v>
                </c:pt>
                <c:pt idx="1">
                  <c:v>91147.054330934436</c:v>
                </c:pt>
                <c:pt idx="2">
                  <c:v>1816.059</c:v>
                </c:pt>
                <c:pt idx="3">
                  <c:v>1991.8163306641816</c:v>
                </c:pt>
                <c:pt idx="4">
                  <c:v>166537.81088652721</c:v>
                </c:pt>
                <c:pt idx="5">
                  <c:v>112931.09146677375</c:v>
                </c:pt>
                <c:pt idx="6">
                  <c:v>779.83782309719516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182170.25924392269</c:v>
                </c:pt>
                <c:pt idx="1">
                  <c:v>91147.054330934436</c:v>
                </c:pt>
                <c:pt idx="2">
                  <c:v>1816.059</c:v>
                </c:pt>
                <c:pt idx="3">
                  <c:v>1991.8163306641816</c:v>
                </c:pt>
                <c:pt idx="4">
                  <c:v>166537.81088652721</c:v>
                </c:pt>
                <c:pt idx="5">
                  <c:v>112931.09146677375</c:v>
                </c:pt>
                <c:pt idx="6">
                  <c:v>779.83782309719516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33932.301457136804</c:v>
                </c:pt>
                <c:pt idx="2">
                  <c:v>18745.1601123445</c:v>
                </c:pt>
                <c:pt idx="3">
                  <c:v>380.59892514487655</c:v>
                </c:pt>
                <c:pt idx="4">
                  <c:v>508.59488888335204</c:v>
                </c:pt>
                <c:pt idx="5">
                  <c:v>33686.546993404547</c:v>
                </c:pt>
                <c:pt idx="6">
                  <c:v>29021.453060355452</c:v>
                </c:pt>
                <c:pt idx="7">
                  <c:v>201.95258149371406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33932.301457136804</c:v>
                </c:pt>
                <c:pt idx="2">
                  <c:v>18745.1601123445</c:v>
                </c:pt>
                <c:pt idx="3">
                  <c:v>380.59892514487655</c:v>
                </c:pt>
                <c:pt idx="4">
                  <c:v>508.59488888335204</c:v>
                </c:pt>
                <c:pt idx="5">
                  <c:v>33686.546993404547</c:v>
                </c:pt>
                <c:pt idx="6">
                  <c:v>29021.453060355452</c:v>
                </c:pt>
                <c:pt idx="7">
                  <c:v>201.95258149371406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45041</v>
      </c>
      <c r="B6" s="415"/>
      <c r="C6" s="416"/>
    </row>
    <row r="7" spans="1:7" s="413" customFormat="1" ht="15.75" customHeight="1">
      <c r="A7" s="417" t="str">
        <f>txtMunicipality</f>
        <v>RONSE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0.20957409706671234</v>
      </c>
      <c r="C17" s="524">
        <f ca="1">'EF ele_warmte'!B22</f>
        <v>0.23742128121606954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0.20957409706671234</v>
      </c>
      <c r="C29" s="525">
        <f ca="1">'EF ele_warmte'!B22</f>
        <v>0.23742128121606954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10562</v>
      </c>
      <c r="C9" s="342">
        <v>11364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1462.56</v>
      </c>
    </row>
    <row r="15" spans="1:6">
      <c r="A15" s="348" t="s">
        <v>184</v>
      </c>
      <c r="B15" s="334">
        <v>12</v>
      </c>
    </row>
    <row r="16" spans="1:6">
      <c r="A16" s="348" t="s">
        <v>6</v>
      </c>
      <c r="B16" s="334">
        <v>317</v>
      </c>
    </row>
    <row r="17" spans="1:6">
      <c r="A17" s="348" t="s">
        <v>7</v>
      </c>
      <c r="B17" s="334">
        <v>440</v>
      </c>
    </row>
    <row r="18" spans="1:6">
      <c r="A18" s="348" t="s">
        <v>8</v>
      </c>
      <c r="B18" s="334">
        <v>586</v>
      </c>
    </row>
    <row r="19" spans="1:6">
      <c r="A19" s="348" t="s">
        <v>9</v>
      </c>
      <c r="B19" s="334">
        <v>459</v>
      </c>
    </row>
    <row r="20" spans="1:6">
      <c r="A20" s="348" t="s">
        <v>10</v>
      </c>
      <c r="B20" s="334">
        <v>350</v>
      </c>
    </row>
    <row r="21" spans="1:6">
      <c r="A21" s="348" t="s">
        <v>11</v>
      </c>
      <c r="B21" s="334">
        <v>240</v>
      </c>
    </row>
    <row r="22" spans="1:6">
      <c r="A22" s="348" t="s">
        <v>12</v>
      </c>
      <c r="B22" s="334">
        <v>755</v>
      </c>
    </row>
    <row r="23" spans="1:6">
      <c r="A23" s="348" t="s">
        <v>13</v>
      </c>
      <c r="B23" s="334">
        <v>12</v>
      </c>
    </row>
    <row r="24" spans="1:6">
      <c r="A24" s="348" t="s">
        <v>14</v>
      </c>
      <c r="B24" s="334">
        <v>1</v>
      </c>
    </row>
    <row r="25" spans="1:6">
      <c r="A25" s="348" t="s">
        <v>15</v>
      </c>
      <c r="B25" s="334">
        <v>104</v>
      </c>
    </row>
    <row r="26" spans="1:6">
      <c r="A26" s="348" t="s">
        <v>16</v>
      </c>
      <c r="B26" s="334">
        <v>197</v>
      </c>
    </row>
    <row r="27" spans="1:6">
      <c r="A27" s="348" t="s">
        <v>17</v>
      </c>
      <c r="B27" s="334">
        <v>61</v>
      </c>
    </row>
    <row r="28" spans="1:6" s="356" customFormat="1">
      <c r="A28" s="355" t="s">
        <v>18</v>
      </c>
      <c r="B28" s="355">
        <v>10</v>
      </c>
    </row>
    <row r="29" spans="1:6">
      <c r="A29" s="355" t="s">
        <v>884</v>
      </c>
      <c r="B29" s="355">
        <v>44</v>
      </c>
      <c r="C29" s="356"/>
      <c r="D29" s="356"/>
      <c r="E29" s="356"/>
      <c r="F29" s="356"/>
    </row>
    <row r="30" spans="1:6">
      <c r="A30" s="355" t="s">
        <v>885</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784344.41312000004</v>
      </c>
      <c r="E36" s="334">
        <v>4</v>
      </c>
      <c r="F36" s="334">
        <v>11668.650626000001</v>
      </c>
    </row>
    <row r="37" spans="1:6">
      <c r="A37" s="348" t="s">
        <v>25</v>
      </c>
      <c r="B37" s="348" t="s">
        <v>28</v>
      </c>
      <c r="C37" s="334">
        <v>0</v>
      </c>
      <c r="D37" s="334">
        <v>0</v>
      </c>
      <c r="E37" s="334">
        <v>0</v>
      </c>
      <c r="F37" s="334">
        <v>0</v>
      </c>
    </row>
    <row r="38" spans="1:6">
      <c r="A38" s="348" t="s">
        <v>25</v>
      </c>
      <c r="B38" s="348" t="s">
        <v>29</v>
      </c>
      <c r="C38" s="334">
        <v>0</v>
      </c>
      <c r="D38" s="334">
        <v>0</v>
      </c>
      <c r="E38" s="334">
        <v>2</v>
      </c>
      <c r="F38" s="334">
        <v>11491.260703</v>
      </c>
    </row>
    <row r="39" spans="1:6">
      <c r="A39" s="348" t="s">
        <v>30</v>
      </c>
      <c r="B39" s="348" t="s">
        <v>31</v>
      </c>
      <c r="C39" s="334">
        <v>7968</v>
      </c>
      <c r="D39" s="334">
        <v>109149536.08</v>
      </c>
      <c r="E39" s="334">
        <v>10692</v>
      </c>
      <c r="F39" s="334">
        <v>34963606.549999997</v>
      </c>
    </row>
    <row r="40" spans="1:6">
      <c r="A40" s="348" t="s">
        <v>30</v>
      </c>
      <c r="B40" s="348" t="s">
        <v>29</v>
      </c>
      <c r="C40" s="334">
        <v>0</v>
      </c>
      <c r="D40" s="334">
        <v>0</v>
      </c>
      <c r="E40" s="334">
        <v>0</v>
      </c>
      <c r="F40" s="334">
        <v>0</v>
      </c>
    </row>
    <row r="41" spans="1:6">
      <c r="A41" s="348" t="s">
        <v>32</v>
      </c>
      <c r="B41" s="348" t="s">
        <v>33</v>
      </c>
      <c r="C41" s="334">
        <v>76</v>
      </c>
      <c r="D41" s="334">
        <v>1497782.3894</v>
      </c>
      <c r="E41" s="334">
        <v>193</v>
      </c>
      <c r="F41" s="334">
        <v>3961294.4838</v>
      </c>
    </row>
    <row r="42" spans="1:6">
      <c r="A42" s="348" t="s">
        <v>32</v>
      </c>
      <c r="B42" s="348" t="s">
        <v>34</v>
      </c>
      <c r="C42" s="334">
        <v>3</v>
      </c>
      <c r="D42" s="334">
        <v>717775.87225999997</v>
      </c>
      <c r="E42" s="334">
        <v>3</v>
      </c>
      <c r="F42" s="334">
        <v>182806.75335000001</v>
      </c>
    </row>
    <row r="43" spans="1:6">
      <c r="A43" s="348" t="s">
        <v>32</v>
      </c>
      <c r="B43" s="348" t="s">
        <v>35</v>
      </c>
      <c r="C43" s="334">
        <v>0</v>
      </c>
      <c r="D43" s="334">
        <v>0</v>
      </c>
      <c r="E43" s="334">
        <v>0</v>
      </c>
      <c r="F43" s="334">
        <v>0</v>
      </c>
    </row>
    <row r="44" spans="1:6">
      <c r="A44" s="348" t="s">
        <v>32</v>
      </c>
      <c r="B44" s="348" t="s">
        <v>36</v>
      </c>
      <c r="C44" s="334">
        <v>0</v>
      </c>
      <c r="D44" s="334">
        <v>0</v>
      </c>
      <c r="E44" s="334">
        <v>7</v>
      </c>
      <c r="F44" s="334">
        <v>183195.70579000001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141174.39515999999</v>
      </c>
      <c r="E47" s="334">
        <v>11</v>
      </c>
      <c r="F47" s="334">
        <v>107840.13331</v>
      </c>
    </row>
    <row r="48" spans="1:6">
      <c r="A48" s="348" t="s">
        <v>32</v>
      </c>
      <c r="B48" s="348" t="s">
        <v>29</v>
      </c>
      <c r="C48" s="334">
        <v>46</v>
      </c>
      <c r="D48" s="334">
        <v>77893675.957000002</v>
      </c>
      <c r="E48" s="334">
        <v>48</v>
      </c>
      <c r="F48" s="334">
        <v>19016947.373</v>
      </c>
    </row>
    <row r="49" spans="1:6">
      <c r="A49" s="348" t="s">
        <v>32</v>
      </c>
      <c r="B49" s="348" t="s">
        <v>40</v>
      </c>
      <c r="C49" s="334">
        <v>3</v>
      </c>
      <c r="D49" s="334">
        <v>19567206.883000001</v>
      </c>
      <c r="E49" s="334">
        <v>30</v>
      </c>
      <c r="F49" s="334">
        <v>35042911.303999998</v>
      </c>
    </row>
    <row r="50" spans="1:6">
      <c r="A50" s="348" t="s">
        <v>32</v>
      </c>
      <c r="B50" s="348" t="s">
        <v>41</v>
      </c>
      <c r="C50" s="334">
        <v>9</v>
      </c>
      <c r="D50" s="334">
        <v>524659.20160000003</v>
      </c>
      <c r="E50" s="334">
        <v>10</v>
      </c>
      <c r="F50" s="334">
        <v>234179.99788000001</v>
      </c>
    </row>
    <row r="51" spans="1:6">
      <c r="A51" s="348" t="s">
        <v>42</v>
      </c>
      <c r="B51" s="348" t="s">
        <v>43</v>
      </c>
      <c r="C51" s="334">
        <v>3</v>
      </c>
      <c r="D51" s="334">
        <v>49388.741207999999</v>
      </c>
      <c r="E51" s="334">
        <v>34</v>
      </c>
      <c r="F51" s="334">
        <v>380392.27425999998</v>
      </c>
    </row>
    <row r="52" spans="1:6">
      <c r="A52" s="348" t="s">
        <v>42</v>
      </c>
      <c r="B52" s="348" t="s">
        <v>29</v>
      </c>
      <c r="C52" s="334">
        <v>2</v>
      </c>
      <c r="D52" s="334">
        <v>35704.708942999998</v>
      </c>
      <c r="E52" s="334">
        <v>5</v>
      </c>
      <c r="F52" s="334">
        <v>16516.726108999999</v>
      </c>
    </row>
    <row r="53" spans="1:6">
      <c r="A53" s="348" t="s">
        <v>44</v>
      </c>
      <c r="B53" s="348" t="s">
        <v>45</v>
      </c>
      <c r="C53" s="334">
        <v>250</v>
      </c>
      <c r="D53" s="334">
        <v>6534343.8794</v>
      </c>
      <c r="E53" s="334">
        <v>443</v>
      </c>
      <c r="F53" s="334">
        <v>1802571.1158</v>
      </c>
    </row>
    <row r="54" spans="1:6">
      <c r="A54" s="348" t="s">
        <v>46</v>
      </c>
      <c r="B54" s="348" t="s">
        <v>47</v>
      </c>
      <c r="C54" s="334">
        <v>0</v>
      </c>
      <c r="D54" s="334">
        <v>0</v>
      </c>
      <c r="E54" s="334">
        <v>1</v>
      </c>
      <c r="F54" s="334">
        <v>1816059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4110768.7895</v>
      </c>
      <c r="E57" s="334">
        <v>128</v>
      </c>
      <c r="F57" s="334">
        <v>2673532.6943999999</v>
      </c>
    </row>
    <row r="58" spans="1:6">
      <c r="A58" s="348" t="s">
        <v>49</v>
      </c>
      <c r="B58" s="348" t="s">
        <v>51</v>
      </c>
      <c r="C58" s="334">
        <v>50</v>
      </c>
      <c r="D58" s="334">
        <v>8531125.7468999997</v>
      </c>
      <c r="E58" s="334">
        <v>75</v>
      </c>
      <c r="F58" s="334">
        <v>6102079.8598999996</v>
      </c>
    </row>
    <row r="59" spans="1:6">
      <c r="A59" s="348" t="s">
        <v>49</v>
      </c>
      <c r="B59" s="348" t="s">
        <v>52</v>
      </c>
      <c r="C59" s="334">
        <v>200</v>
      </c>
      <c r="D59" s="334">
        <v>6945015.6946</v>
      </c>
      <c r="E59" s="334">
        <v>357</v>
      </c>
      <c r="F59" s="334">
        <v>11749710.318</v>
      </c>
    </row>
    <row r="60" spans="1:6">
      <c r="A60" s="348" t="s">
        <v>49</v>
      </c>
      <c r="B60" s="348" t="s">
        <v>53</v>
      </c>
      <c r="C60" s="334">
        <v>85</v>
      </c>
      <c r="D60" s="334">
        <v>3264719.6973000001</v>
      </c>
      <c r="E60" s="334">
        <v>114</v>
      </c>
      <c r="F60" s="334">
        <v>2362413.8579000002</v>
      </c>
    </row>
    <row r="61" spans="1:6">
      <c r="A61" s="348" t="s">
        <v>49</v>
      </c>
      <c r="B61" s="348" t="s">
        <v>54</v>
      </c>
      <c r="C61" s="334">
        <v>257</v>
      </c>
      <c r="D61" s="334">
        <v>20007991.579999998</v>
      </c>
      <c r="E61" s="334">
        <v>518</v>
      </c>
      <c r="F61" s="334">
        <v>6939545.2615999999</v>
      </c>
    </row>
    <row r="62" spans="1:6">
      <c r="A62" s="348" t="s">
        <v>49</v>
      </c>
      <c r="B62" s="348" t="s">
        <v>55</v>
      </c>
      <c r="C62" s="334">
        <v>15</v>
      </c>
      <c r="D62" s="334">
        <v>2940963.4421000001</v>
      </c>
      <c r="E62" s="334">
        <v>26</v>
      </c>
      <c r="F62" s="334">
        <v>806441.33956999995</v>
      </c>
    </row>
    <row r="63" spans="1:6">
      <c r="A63" s="348" t="s">
        <v>49</v>
      </c>
      <c r="B63" s="348" t="s">
        <v>29</v>
      </c>
      <c r="C63" s="334">
        <v>103</v>
      </c>
      <c r="D63" s="334">
        <v>6405180.0239000004</v>
      </c>
      <c r="E63" s="334">
        <v>90</v>
      </c>
      <c r="F63" s="334">
        <v>2661836.9854000001</v>
      </c>
    </row>
    <row r="64" spans="1:6">
      <c r="A64" s="348" t="s">
        <v>56</v>
      </c>
      <c r="B64" s="348" t="s">
        <v>57</v>
      </c>
      <c r="C64" s="334">
        <v>0</v>
      </c>
      <c r="D64" s="334">
        <v>0</v>
      </c>
      <c r="E64" s="334">
        <v>0</v>
      </c>
      <c r="F64" s="334">
        <v>0</v>
      </c>
    </row>
    <row r="65" spans="1:6">
      <c r="A65" s="348" t="s">
        <v>56</v>
      </c>
      <c r="B65" s="348" t="s">
        <v>29</v>
      </c>
      <c r="C65" s="334">
        <v>5</v>
      </c>
      <c r="D65" s="334">
        <v>160086.99136000001</v>
      </c>
      <c r="E65" s="334">
        <v>2</v>
      </c>
      <c r="F65" s="334">
        <v>8787.9966979000001</v>
      </c>
    </row>
    <row r="66" spans="1:6">
      <c r="A66" s="348" t="s">
        <v>56</v>
      </c>
      <c r="B66" s="348" t="s">
        <v>58</v>
      </c>
      <c r="C66" s="334">
        <v>0</v>
      </c>
      <c r="D66" s="334">
        <v>0</v>
      </c>
      <c r="E66" s="334">
        <v>8</v>
      </c>
      <c r="F66" s="334">
        <v>35727.249881000003</v>
      </c>
    </row>
    <row r="67" spans="1:6">
      <c r="A67" s="355" t="s">
        <v>56</v>
      </c>
      <c r="B67" s="355" t="s">
        <v>59</v>
      </c>
      <c r="C67" s="334">
        <v>0</v>
      </c>
      <c r="D67" s="334">
        <v>0</v>
      </c>
      <c r="E67" s="334">
        <v>0</v>
      </c>
      <c r="F67" s="334">
        <v>0</v>
      </c>
    </row>
    <row r="68" spans="1:6">
      <c r="A68" s="341" t="s">
        <v>56</v>
      </c>
      <c r="B68" s="341" t="s">
        <v>60</v>
      </c>
      <c r="C68" s="334">
        <v>0</v>
      </c>
      <c r="D68" s="334">
        <v>0</v>
      </c>
      <c r="E68" s="334">
        <v>3</v>
      </c>
      <c r="F68" s="334">
        <v>16636.370992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59307627</v>
      </c>
      <c r="E73" s="475">
        <v>63561894.717664666</v>
      </c>
    </row>
    <row r="74" spans="1:6">
      <c r="A74" s="348" t="s">
        <v>64</v>
      </c>
      <c r="B74" s="348" t="s">
        <v>667</v>
      </c>
      <c r="C74" s="1294" t="s">
        <v>669</v>
      </c>
      <c r="D74" s="475">
        <v>19789954.09615685</v>
      </c>
      <c r="E74" s="475">
        <v>20629291.245825086</v>
      </c>
    </row>
    <row r="75" spans="1:6">
      <c r="A75" s="348" t="s">
        <v>65</v>
      </c>
      <c r="B75" s="348" t="s">
        <v>666</v>
      </c>
      <c r="C75" s="1294" t="s">
        <v>670</v>
      </c>
      <c r="D75" s="475">
        <v>18325493</v>
      </c>
      <c r="E75" s="475">
        <v>19662647.3508876</v>
      </c>
    </row>
    <row r="76" spans="1:6">
      <c r="A76" s="348" t="s">
        <v>65</v>
      </c>
      <c r="B76" s="348" t="s">
        <v>667</v>
      </c>
      <c r="C76" s="1294" t="s">
        <v>671</v>
      </c>
      <c r="D76" s="475">
        <v>2088687.0961568509</v>
      </c>
      <c r="E76" s="475">
        <v>2185807.6998851704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209453.80768629795</v>
      </c>
      <c r="C83" s="475">
        <v>209453.80768629795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1679.9086307406121</v>
      </c>
    </row>
    <row r="92" spans="1:6">
      <c r="A92" s="341" t="s">
        <v>69</v>
      </c>
      <c r="B92" s="342">
        <v>5261.9901682025265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133345.48254082692</v>
      </c>
      <c r="C3" s="43" t="s">
        <v>170</v>
      </c>
      <c r="D3" s="43"/>
      <c r="E3" s="154"/>
      <c r="F3" s="43"/>
      <c r="G3" s="43"/>
      <c r="H3" s="43"/>
      <c r="I3" s="43"/>
      <c r="J3" s="43"/>
      <c r="K3" s="96"/>
    </row>
    <row r="4" spans="1:11">
      <c r="A4" s="383" t="s">
        <v>171</v>
      </c>
      <c r="B4" s="49">
        <f>IF(ISERROR('SEAP template'!B78+'SEAP template'!C78),0,'SEAP template'!B78+'SEAP template'!C78)</f>
        <v>7585.3987989431389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152.78059446254071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0.20957409706671234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222.073691251745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935.35714285714266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0.23742128121606954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1816.059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1816.059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0.20957409706671234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380.59892514487655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34963.606549999997</v>
      </c>
      <c r="C5" s="17">
        <f>IF(ISERROR('Eigen informatie GS &amp; warmtenet'!B57),0,'Eigen informatie GS &amp; warmtenet'!B57)</f>
        <v>0</v>
      </c>
      <c r="D5" s="30">
        <f>(SUM(HH_hh_gas_kWh,HH_rest_gas_kWh)/1000)*0.902</f>
        <v>98452.881544160002</v>
      </c>
      <c r="E5" s="17">
        <f>B46*B57</f>
        <v>6461.9459285458706</v>
      </c>
      <c r="F5" s="17">
        <f>B51*B62</f>
        <v>12801.5388613009</v>
      </c>
      <c r="G5" s="18"/>
      <c r="H5" s="17"/>
      <c r="I5" s="17"/>
      <c r="J5" s="17">
        <f>B50*B61+C50*C61</f>
        <v>4181.9637743365847</v>
      </c>
      <c r="K5" s="17"/>
      <c r="L5" s="17"/>
      <c r="M5" s="17"/>
      <c r="N5" s="17">
        <f>B48*B59+C48*C59</f>
        <v>23023.860621505359</v>
      </c>
      <c r="O5" s="17">
        <f>B69*B70*B71</f>
        <v>146.95333333333335</v>
      </c>
      <c r="P5" s="17">
        <f>B77*B78*B79/1000-B77*B78*B79/1000/B80</f>
        <v>457.6</v>
      </c>
    </row>
    <row r="6" spans="1:16">
      <c r="A6" s="16" t="s">
        <v>624</v>
      </c>
      <c r="B6" s="788">
        <f>kWh_PV_kleiner_dan_10kW</f>
        <v>1679.9086307406121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36643.515180740607</v>
      </c>
      <c r="C8" s="21">
        <f>C5</f>
        <v>0</v>
      </c>
      <c r="D8" s="21">
        <f>D5</f>
        <v>98452.881544160002</v>
      </c>
      <c r="E8" s="21">
        <f>E5</f>
        <v>6461.9459285458706</v>
      </c>
      <c r="F8" s="21">
        <f>F5</f>
        <v>12801.5388613009</v>
      </c>
      <c r="G8" s="21"/>
      <c r="H8" s="21"/>
      <c r="I8" s="21"/>
      <c r="J8" s="21">
        <f>J5</f>
        <v>4181.9637743365847</v>
      </c>
      <c r="K8" s="21"/>
      <c r="L8" s="21">
        <f>L5</f>
        <v>0</v>
      </c>
      <c r="M8" s="21">
        <f>M5</f>
        <v>0</v>
      </c>
      <c r="N8" s="21">
        <f>N5</f>
        <v>23023.860621505359</v>
      </c>
      <c r="O8" s="21">
        <f>O5</f>
        <v>146.95333333333335</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0.20957409706671234</v>
      </c>
      <c r="C10" s="25">
        <f ca="1">'EF ele_warmte'!B22</f>
        <v>0.23742128121606954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7679.5316073540798</v>
      </c>
      <c r="C12" s="23">
        <f ca="1">C10*C8</f>
        <v>0</v>
      </c>
      <c r="D12" s="23">
        <f>D8*D10</f>
        <v>19887.48207192032</v>
      </c>
      <c r="E12" s="23">
        <f>E10*E8</f>
        <v>1466.8617257799126</v>
      </c>
      <c r="F12" s="23">
        <f>F10*F8</f>
        <v>3418.0108759673403</v>
      </c>
      <c r="G12" s="23"/>
      <c r="H12" s="23"/>
      <c r="I12" s="23"/>
      <c r="J12" s="23">
        <f>J10*J8</f>
        <v>1480.4151761151509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10562</v>
      </c>
      <c r="C28" s="36"/>
      <c r="D28" s="228"/>
    </row>
    <row r="29" spans="1:7" s="15" customFormat="1">
      <c r="A29" s="230" t="s">
        <v>699</v>
      </c>
      <c r="B29" s="37">
        <f>SUM(HH_hh_gas_aantal,HH_rest_gas_aantal)</f>
        <v>7968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7968</v>
      </c>
      <c r="C32" s="167">
        <f>IF(ISERROR(B32/SUM($B$32,$B$34,$B$35,$B$36,$B$38,$B$39)*100),0,B32/SUM($B$32,$B$34,$B$35,$B$36,$B$38,$B$39)*100)</f>
        <v>75.612070601632198</v>
      </c>
      <c r="D32" s="233"/>
      <c r="G32" s="15"/>
    </row>
    <row r="33" spans="1:7">
      <c r="A33" s="171" t="s">
        <v>72</v>
      </c>
      <c r="B33" s="34" t="s">
        <v>111</v>
      </c>
      <c r="C33" s="167"/>
      <c r="D33" s="233"/>
      <c r="G33" s="15"/>
    </row>
    <row r="34" spans="1:7">
      <c r="A34" s="171" t="s">
        <v>73</v>
      </c>
      <c r="B34" s="33">
        <f>IF((($B$28-$B$32-$B$39-$B$77-$B$38)*C20/100)&lt;0,0,($B$28-$B$32-$B$39-$B$77-$B$38)*C20/100)</f>
        <v>285.70068027210885</v>
      </c>
      <c r="C34" s="167">
        <f>IF(ISERROR(B34/SUM($B$32,$B$34,$B$35,$B$36,$B$38,$B$39)*100),0,B34/SUM($B$32,$B$34,$B$35,$B$36,$B$38,$B$39)*100)</f>
        <v>2.7111470893158938</v>
      </c>
      <c r="D34" s="233"/>
      <c r="G34" s="15"/>
    </row>
    <row r="35" spans="1:7">
      <c r="A35" s="171" t="s">
        <v>74</v>
      </c>
      <c r="B35" s="33">
        <f>IF((($B$28-$B$32-$B$39-$B$77-$B$38)*C21/100)&lt;0,0,($B$28-$B$32-$B$39-$B$77-$B$38)*C21/100)</f>
        <v>1264.8748299319727</v>
      </c>
      <c r="C35" s="167">
        <f>IF(ISERROR(B35/SUM($B$32,$B$34,$B$35,$B$36,$B$38,$B$39)*100),0,B35/SUM($B$32,$B$34,$B$35,$B$36,$B$38,$B$39)*100)</f>
        <v>12.002987568153094</v>
      </c>
      <c r="D35" s="233"/>
      <c r="G35" s="15"/>
    </row>
    <row r="36" spans="1:7">
      <c r="A36" s="171" t="s">
        <v>75</v>
      </c>
      <c r="B36" s="33">
        <f>IF((($B$28-$B$32-$B$39-$B$77-$B$38)*C22/100)&lt;0,0,($B$28-$B$32-$B$39-$B$77-$B$38)*C22/100)</f>
        <v>358.42448979591842</v>
      </c>
      <c r="C36" s="167">
        <f>IF(ISERROR(B36/SUM($B$32,$B$34,$B$35,$B$36,$B$38,$B$39)*100),0,B36/SUM($B$32,$B$34,$B$35,$B$36,$B$38,$B$39)*100)</f>
        <v>3.4012572575053945</v>
      </c>
      <c r="D36" s="233"/>
      <c r="G36" s="15"/>
    </row>
    <row r="37" spans="1:7">
      <c r="A37" s="171" t="s">
        <v>76</v>
      </c>
      <c r="B37" s="34" t="s">
        <v>111</v>
      </c>
      <c r="C37" s="167"/>
      <c r="D37" s="173"/>
      <c r="G37" s="15"/>
    </row>
    <row r="38" spans="1:7">
      <c r="A38" s="171" t="s">
        <v>77</v>
      </c>
      <c r="B38" s="33">
        <f>IF((B24-(B29-B18)*0.1)&lt;0,0,B24-(B29-B18)*0.1)</f>
        <v>135.1</v>
      </c>
      <c r="C38" s="167">
        <f>IF(ISERROR(B38/SUM($B$32,$B$34,$B$35,$B$36,$B$38,$B$39)*100),0,B38/SUM($B$32,$B$34,$B$35,$B$36,$B$38,$B$39)*100)</f>
        <v>1.2820269500854053</v>
      </c>
      <c r="D38" s="234"/>
      <c r="G38" s="15"/>
    </row>
    <row r="39" spans="1:7">
      <c r="A39" s="171" t="s">
        <v>78</v>
      </c>
      <c r="B39" s="33">
        <f>IF((B25-(B29-B18))&lt;0,0,B25-(B29-B18)*0.9)</f>
        <v>525.90000000000009</v>
      </c>
      <c r="C39" s="167">
        <f>IF(ISERROR(B39/SUM($B$32,$B$34,$B$35,$B$36,$B$38,$B$39)*100),0,B39/SUM($B$32,$B$34,$B$35,$B$36,$B$38,$B$39)*100)</f>
        <v>4.9905105333080302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7968</v>
      </c>
      <c r="C44" s="34" t="s">
        <v>111</v>
      </c>
      <c r="D44" s="174"/>
    </row>
    <row r="45" spans="1:7">
      <c r="A45" s="171" t="s">
        <v>72</v>
      </c>
      <c r="B45" s="33" t="str">
        <f t="shared" si="0"/>
        <v>-</v>
      </c>
      <c r="C45" s="34" t="s">
        <v>111</v>
      </c>
      <c r="D45" s="174"/>
    </row>
    <row r="46" spans="1:7">
      <c r="A46" s="171" t="s">
        <v>73</v>
      </c>
      <c r="B46" s="33">
        <f t="shared" si="0"/>
        <v>285.70068027210885</v>
      </c>
      <c r="C46" s="34" t="s">
        <v>111</v>
      </c>
      <c r="D46" s="174"/>
    </row>
    <row r="47" spans="1:7">
      <c r="A47" s="171" t="s">
        <v>74</v>
      </c>
      <c r="B47" s="33">
        <f t="shared" si="0"/>
        <v>1264.8748299319727</v>
      </c>
      <c r="C47" s="34" t="s">
        <v>111</v>
      </c>
      <c r="D47" s="174"/>
    </row>
    <row r="48" spans="1:7">
      <c r="A48" s="171" t="s">
        <v>75</v>
      </c>
      <c r="B48" s="33">
        <f t="shared" si="0"/>
        <v>358.42448979591842</v>
      </c>
      <c r="C48" s="33">
        <f>B48*10</f>
        <v>3584.2448979591841</v>
      </c>
      <c r="D48" s="234"/>
    </row>
    <row r="49" spans="1:6">
      <c r="A49" s="171" t="s">
        <v>76</v>
      </c>
      <c r="B49" s="33" t="str">
        <f t="shared" si="0"/>
        <v>-</v>
      </c>
      <c r="C49" s="34" t="s">
        <v>111</v>
      </c>
      <c r="D49" s="234"/>
    </row>
    <row r="50" spans="1:6">
      <c r="A50" s="171" t="s">
        <v>77</v>
      </c>
      <c r="B50" s="33">
        <f t="shared" si="0"/>
        <v>135.1</v>
      </c>
      <c r="C50" s="33">
        <f>B50*2</f>
        <v>270.2</v>
      </c>
      <c r="D50" s="234"/>
    </row>
    <row r="51" spans="1:6">
      <c r="A51" s="171" t="s">
        <v>78</v>
      </c>
      <c r="B51" s="33">
        <f t="shared" si="0"/>
        <v>525.90000000000009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33295.560316770003</v>
      </c>
      <c r="C5" s="17">
        <f>IF(ISERROR('Eigen informatie GS &amp; warmtenet'!B58),0,'Eigen informatie GS &amp; warmtenet'!B58)</f>
        <v>0</v>
      </c>
      <c r="D5" s="30">
        <f>SUM(D6:D12)</f>
        <v>47089.600006818604</v>
      </c>
      <c r="E5" s="17">
        <f>SUM(E6:E12)</f>
        <v>592.95501877299137</v>
      </c>
      <c r="F5" s="17">
        <f>SUM(F6:F12)</f>
        <v>8009.3363108181657</v>
      </c>
      <c r="G5" s="18"/>
      <c r="H5" s="17"/>
      <c r="I5" s="17"/>
      <c r="J5" s="17">
        <f>SUM(J6:J12)</f>
        <v>0</v>
      </c>
      <c r="K5" s="17"/>
      <c r="L5" s="17"/>
      <c r="M5" s="17"/>
      <c r="N5" s="17">
        <f>SUM(N6:N12)</f>
        <v>2436.4598206118044</v>
      </c>
      <c r="O5" s="17">
        <f>B38*B39*B40</f>
        <v>0</v>
      </c>
      <c r="P5" s="17">
        <f>B46*B47*B48/1000-B46*B47*B48/1000/B49</f>
        <v>0</v>
      </c>
      <c r="R5" s="32"/>
    </row>
    <row r="6" spans="1:18">
      <c r="A6" s="32" t="s">
        <v>54</v>
      </c>
      <c r="B6" s="37">
        <f>B26</f>
        <v>6939.5452616000002</v>
      </c>
      <c r="C6" s="33"/>
      <c r="D6" s="37">
        <f>IF(ISERROR(TER_kantoor_gas_kWh/1000),0,TER_kantoor_gas_kWh/1000)*0.902</f>
        <v>18047.20840516</v>
      </c>
      <c r="E6" s="33">
        <f>$C$26*'E Balans VL '!I12/100/3.6*1000000</f>
        <v>90.847195754571274</v>
      </c>
      <c r="F6" s="33">
        <f>$C$26*('E Balans VL '!L12+'E Balans VL '!N12)/100/3.6*1000000</f>
        <v>1769.5123311260081</v>
      </c>
      <c r="G6" s="34"/>
      <c r="H6" s="33"/>
      <c r="I6" s="33"/>
      <c r="J6" s="33">
        <f>$C$26*('E Balans VL '!D12+'E Balans VL '!E12)/100/3.6*1000000</f>
        <v>0</v>
      </c>
      <c r="K6" s="33"/>
      <c r="L6" s="33"/>
      <c r="M6" s="33"/>
      <c r="N6" s="33">
        <f>$C$26*'E Balans VL '!Y12/100/3.6*1000000</f>
        <v>6.9629138085668991</v>
      </c>
      <c r="O6" s="33"/>
      <c r="P6" s="33"/>
      <c r="R6" s="32"/>
    </row>
    <row r="7" spans="1:18">
      <c r="A7" s="32" t="s">
        <v>53</v>
      </c>
      <c r="B7" s="37">
        <f t="shared" ref="B7:B12" si="0">B27</f>
        <v>2362.4138579</v>
      </c>
      <c r="C7" s="33"/>
      <c r="D7" s="37">
        <f>IF(ISERROR(TER_horeca_gas_kWh/1000),0,TER_horeca_gas_kWh/1000)*0.902</f>
        <v>2944.7771669645999</v>
      </c>
      <c r="E7" s="33">
        <f>$C$27*'E Balans VL '!I9/100/3.6*1000000</f>
        <v>78.181528615050297</v>
      </c>
      <c r="F7" s="33">
        <f>$C$27*('E Balans VL '!L9+'E Balans VL '!N9)/100/3.6*1000000</f>
        <v>1015.8289050304174</v>
      </c>
      <c r="G7" s="34"/>
      <c r="H7" s="33"/>
      <c r="I7" s="33"/>
      <c r="J7" s="33">
        <f>$C$27*('E Balans VL '!D9+'E Balans VL '!E9)/100/3.6*1000000</f>
        <v>0</v>
      </c>
      <c r="K7" s="33"/>
      <c r="L7" s="33"/>
      <c r="M7" s="33"/>
      <c r="N7" s="33">
        <f>$C$27*'E Balans VL '!Y9/100/3.6*1000000</f>
        <v>0.56866732161051881</v>
      </c>
      <c r="O7" s="33"/>
      <c r="P7" s="33"/>
      <c r="R7" s="32"/>
    </row>
    <row r="8" spans="1:18">
      <c r="A8" s="6" t="s">
        <v>52</v>
      </c>
      <c r="B8" s="37">
        <f t="shared" si="0"/>
        <v>11749.710317999999</v>
      </c>
      <c r="C8" s="33"/>
      <c r="D8" s="37">
        <f>IF(ISERROR(TER_handel_gas_kWh/1000),0,TER_handel_gas_kWh/1000)*0.902</f>
        <v>6264.4041565292</v>
      </c>
      <c r="E8" s="33">
        <f>$C$28*'E Balans VL '!I13/100/3.6*1000000</f>
        <v>370.83881065904563</v>
      </c>
      <c r="F8" s="33">
        <f>$C$28*('E Balans VL '!L13+'E Balans VL '!N13)/100/3.6*1000000</f>
        <v>2304.3250929130363</v>
      </c>
      <c r="G8" s="34"/>
      <c r="H8" s="33"/>
      <c r="I8" s="33"/>
      <c r="J8" s="33">
        <f>$C$28*('E Balans VL '!D13+'E Balans VL '!E13)/100/3.6*1000000</f>
        <v>0</v>
      </c>
      <c r="K8" s="33"/>
      <c r="L8" s="33"/>
      <c r="M8" s="33"/>
      <c r="N8" s="33">
        <f>$C$28*'E Balans VL '!Y13/100/3.6*1000000</f>
        <v>13.944624969212565</v>
      </c>
      <c r="O8" s="33"/>
      <c r="P8" s="33"/>
      <c r="R8" s="32"/>
    </row>
    <row r="9" spans="1:18">
      <c r="A9" s="32" t="s">
        <v>51</v>
      </c>
      <c r="B9" s="37">
        <f t="shared" si="0"/>
        <v>6102.0798599</v>
      </c>
      <c r="C9" s="33"/>
      <c r="D9" s="37">
        <f>IF(ISERROR(TER_gezond_gas_kWh/1000),0,TER_gezond_gas_kWh/1000)*0.902</f>
        <v>7695.0754237038</v>
      </c>
      <c r="E9" s="33">
        <f>$C$29*'E Balans VL '!I10/100/3.6*1000000</f>
        <v>0.78124473445264619</v>
      </c>
      <c r="F9" s="33">
        <f>$C$29*('E Balans VL '!L10+'E Balans VL '!N10)/100/3.6*1000000</f>
        <v>1271.3189964229571</v>
      </c>
      <c r="G9" s="34"/>
      <c r="H9" s="33"/>
      <c r="I9" s="33"/>
      <c r="J9" s="33">
        <f>$C$29*('E Balans VL '!D10+'E Balans VL '!E10)/100/3.6*1000000</f>
        <v>0</v>
      </c>
      <c r="K9" s="33"/>
      <c r="L9" s="33"/>
      <c r="M9" s="33"/>
      <c r="N9" s="33">
        <f>$C$29*'E Balans VL '!Y10/100/3.6*1000000</f>
        <v>71.671812176643911</v>
      </c>
      <c r="O9" s="33"/>
      <c r="P9" s="33"/>
      <c r="R9" s="32"/>
    </row>
    <row r="10" spans="1:18">
      <c r="A10" s="32" t="s">
        <v>50</v>
      </c>
      <c r="B10" s="37">
        <f t="shared" si="0"/>
        <v>2673.5326943999999</v>
      </c>
      <c r="C10" s="33"/>
      <c r="D10" s="37">
        <f>IF(ISERROR(TER_ander_gas_kWh/1000),0,TER_ander_gas_kWh/1000)*0.902</f>
        <v>3707.9134481290002</v>
      </c>
      <c r="E10" s="33">
        <f>$C$30*'E Balans VL '!I14/100/3.6*1000000</f>
        <v>4.0203644494896968</v>
      </c>
      <c r="F10" s="33">
        <f>$C$30*('E Balans VL '!L14+'E Balans VL '!N14)/100/3.6*1000000</f>
        <v>590.22983867458299</v>
      </c>
      <c r="G10" s="34"/>
      <c r="H10" s="33"/>
      <c r="I10" s="33"/>
      <c r="J10" s="33">
        <f>$C$30*('E Balans VL '!D14+'E Balans VL '!E14)/100/3.6*1000000</f>
        <v>0</v>
      </c>
      <c r="K10" s="33"/>
      <c r="L10" s="33"/>
      <c r="M10" s="33"/>
      <c r="N10" s="33">
        <f>$C$30*'E Balans VL '!Y14/100/3.6*1000000</f>
        <v>2106.9236851537999</v>
      </c>
      <c r="O10" s="33"/>
      <c r="P10" s="33"/>
      <c r="R10" s="32"/>
    </row>
    <row r="11" spans="1:18">
      <c r="A11" s="32" t="s">
        <v>55</v>
      </c>
      <c r="B11" s="37">
        <f t="shared" si="0"/>
        <v>806.44133956999997</v>
      </c>
      <c r="C11" s="33"/>
      <c r="D11" s="37">
        <f>IF(ISERROR(TER_onderwijs_gas_kWh/1000),0,TER_onderwijs_gas_kWh/1000)*0.902</f>
        <v>2652.7490247742003</v>
      </c>
      <c r="E11" s="33">
        <f>$C$31*'E Balans VL '!I11/100/3.6*1000000</f>
        <v>1.4202107785334277</v>
      </c>
      <c r="F11" s="33">
        <f>$C$31*('E Balans VL '!L11+'E Balans VL '!N11)/100/3.6*1000000</f>
        <v>372.34855901137354</v>
      </c>
      <c r="G11" s="34"/>
      <c r="H11" s="33"/>
      <c r="I11" s="33"/>
      <c r="J11" s="33">
        <f>$C$31*('E Balans VL '!D11+'E Balans VL '!E11)/100/3.6*1000000</f>
        <v>0</v>
      </c>
      <c r="K11" s="33"/>
      <c r="L11" s="33"/>
      <c r="M11" s="33"/>
      <c r="N11" s="33">
        <f>$C$31*'E Balans VL '!Y11/100/3.6*1000000</f>
        <v>1.5024113677177382</v>
      </c>
      <c r="O11" s="33"/>
      <c r="P11" s="33"/>
      <c r="R11" s="32"/>
    </row>
    <row r="12" spans="1:18">
      <c r="A12" s="32" t="s">
        <v>260</v>
      </c>
      <c r="B12" s="37">
        <f t="shared" si="0"/>
        <v>2661.8369854000002</v>
      </c>
      <c r="C12" s="33"/>
      <c r="D12" s="37">
        <f>IF(ISERROR(TER_rest_gas_kWh/1000),0,TER_rest_gas_kWh/1000)*0.902</f>
        <v>5777.4723815578009</v>
      </c>
      <c r="E12" s="33">
        <f>$C$32*'E Balans VL '!I8/100/3.6*1000000</f>
        <v>46.865663781848525</v>
      </c>
      <c r="F12" s="33">
        <f>$C$32*('E Balans VL '!L8+'E Balans VL '!N8)/100/3.6*1000000</f>
        <v>685.77258763979034</v>
      </c>
      <c r="G12" s="34"/>
      <c r="H12" s="33"/>
      <c r="I12" s="33"/>
      <c r="J12" s="33">
        <f>$C$32*('E Balans VL '!D8+'E Balans VL '!E8)/100/3.6*1000000</f>
        <v>0</v>
      </c>
      <c r="K12" s="33"/>
      <c r="L12" s="33"/>
      <c r="M12" s="33"/>
      <c r="N12" s="33">
        <f>$C$32*'E Balans VL '!Y8/100/3.6*1000000</f>
        <v>234.88570581425301</v>
      </c>
      <c r="O12" s="33"/>
      <c r="P12" s="33"/>
      <c r="R12" s="32"/>
    </row>
    <row r="13" spans="1:18">
      <c r="A13" s="16" t="s">
        <v>491</v>
      </c>
      <c r="B13" s="247">
        <f ca="1">'lokale energieproductie'!N91+'lokale energieproductie'!N60</f>
        <v>643.49999999999989</v>
      </c>
      <c r="C13" s="247">
        <f ca="1">'lokale energieproductie'!O91+'lokale energieproductie'!O60</f>
        <v>935.35714285714266</v>
      </c>
      <c r="D13" s="310">
        <f ca="1">('lokale energieproductie'!P60+'lokale energieproductie'!P91)*(-1)</f>
        <v>-1855.7142857142856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33939.060316770003</v>
      </c>
      <c r="C16" s="21">
        <f t="shared" ca="1" si="1"/>
        <v>935.35714285714266</v>
      </c>
      <c r="D16" s="21">
        <f t="shared" ca="1" si="1"/>
        <v>45233.885721104321</v>
      </c>
      <c r="E16" s="21">
        <f t="shared" si="1"/>
        <v>592.95501877299137</v>
      </c>
      <c r="F16" s="21">
        <f t="shared" ca="1" si="1"/>
        <v>8009.3363108181657</v>
      </c>
      <c r="G16" s="21">
        <f t="shared" si="1"/>
        <v>0</v>
      </c>
      <c r="H16" s="21">
        <f t="shared" si="1"/>
        <v>0</v>
      </c>
      <c r="I16" s="21">
        <f t="shared" si="1"/>
        <v>0</v>
      </c>
      <c r="J16" s="21">
        <f t="shared" si="1"/>
        <v>0</v>
      </c>
      <c r="K16" s="21">
        <f t="shared" si="1"/>
        <v>0</v>
      </c>
      <c r="L16" s="21">
        <f t="shared" ca="1" si="1"/>
        <v>0</v>
      </c>
      <c r="M16" s="21">
        <f t="shared" si="1"/>
        <v>0</v>
      </c>
      <c r="N16" s="21">
        <f t="shared" ca="1" si="1"/>
        <v>2436.4598206118044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0.20957409706671234</v>
      </c>
      <c r="C18" s="25">
        <f ca="1">'EF ele_warmte'!B22</f>
        <v>0.23742128121606954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7112.7479211797618</v>
      </c>
      <c r="C20" s="23">
        <f t="shared" ref="C20:P20" ca="1" si="2">C16*C18</f>
        <v>222.073691251745</v>
      </c>
      <c r="D20" s="23">
        <f t="shared" ca="1" si="2"/>
        <v>9137.2449156630737</v>
      </c>
      <c r="E20" s="23">
        <f t="shared" si="2"/>
        <v>134.60078926146903</v>
      </c>
      <c r="F20" s="23">
        <f t="shared" ca="1" si="2"/>
        <v>2138.4927949884504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6939.5452616000002</v>
      </c>
      <c r="C26" s="39">
        <f>IF(ISERROR(B26*3.6/1000000/'E Balans VL '!Z12*100),0,B26*3.6/1000000/'E Balans VL '!Z12*100)</f>
        <v>0.14865045062625795</v>
      </c>
      <c r="D26" s="237" t="s">
        <v>660</v>
      </c>
      <c r="F26" s="6"/>
    </row>
    <row r="27" spans="1:18">
      <c r="A27" s="231" t="s">
        <v>53</v>
      </c>
      <c r="B27" s="33">
        <f>IF(ISERROR(TER_horeca_ele_kWh/1000),0,TER_horeca_ele_kWh/1000)</f>
        <v>2362.4138579</v>
      </c>
      <c r="C27" s="39">
        <f>IF(ISERROR(B27*3.6/1000000/'E Balans VL '!Z9*100),0,B27*3.6/1000000/'E Balans VL '!Z9*100)</f>
        <v>0.18957550042972277</v>
      </c>
      <c r="D27" s="237" t="s">
        <v>660</v>
      </c>
      <c r="F27" s="6"/>
    </row>
    <row r="28" spans="1:18">
      <c r="A28" s="171" t="s">
        <v>52</v>
      </c>
      <c r="B28" s="33">
        <f>IF(ISERROR(TER_handel_ele_kWh/1000),0,TER_handel_ele_kWh/1000)</f>
        <v>11749.710317999999</v>
      </c>
      <c r="C28" s="39">
        <f>IF(ISERROR(B28*3.6/1000000/'E Balans VL '!Z13*100),0,B28*3.6/1000000/'E Balans VL '!Z13*100)</f>
        <v>0.34654906073073022</v>
      </c>
      <c r="D28" s="237" t="s">
        <v>660</v>
      </c>
      <c r="F28" s="6"/>
    </row>
    <row r="29" spans="1:18">
      <c r="A29" s="231" t="s">
        <v>51</v>
      </c>
      <c r="B29" s="33">
        <f>IF(ISERROR(TER_gezond_ele_kWh/1000),0,TER_gezond_ele_kWh/1000)</f>
        <v>6102.0798599</v>
      </c>
      <c r="C29" s="39">
        <f>IF(ISERROR(B29*3.6/1000000/'E Balans VL '!Z10*100),0,B29*3.6/1000000/'E Balans VL '!Z10*100)</f>
        <v>0.65153852614121799</v>
      </c>
      <c r="D29" s="237" t="s">
        <v>660</v>
      </c>
      <c r="F29" s="6"/>
    </row>
    <row r="30" spans="1:18">
      <c r="A30" s="231" t="s">
        <v>50</v>
      </c>
      <c r="B30" s="33">
        <f>IF(ISERROR(TER_ander_ele_kWh/1000),0,TER_ander_ele_kWh/1000)</f>
        <v>2673.5326943999999</v>
      </c>
      <c r="C30" s="39">
        <f>IF(ISERROR(B30*3.6/1000000/'E Balans VL '!Z14*100),0,B30*3.6/1000000/'E Balans VL '!Z14*100)</f>
        <v>0.20194242294744674</v>
      </c>
      <c r="D30" s="237" t="s">
        <v>660</v>
      </c>
      <c r="F30" s="6"/>
    </row>
    <row r="31" spans="1:18">
      <c r="A31" s="231" t="s">
        <v>55</v>
      </c>
      <c r="B31" s="33">
        <f>IF(ISERROR(TER_onderwijs_ele_kWh/1000),0,TER_onderwijs_ele_kWh/1000)</f>
        <v>806.44133956999997</v>
      </c>
      <c r="C31" s="39">
        <f>IF(ISERROR(B31*3.6/1000000/'E Balans VL '!Z11*100),0,B31*3.6/1000000/'E Balans VL '!Z11*100)</f>
        <v>0.16284742755086556</v>
      </c>
      <c r="D31" s="237" t="s">
        <v>660</v>
      </c>
    </row>
    <row r="32" spans="1:18">
      <c r="A32" s="231" t="s">
        <v>260</v>
      </c>
      <c r="B32" s="33">
        <f>IF(ISERROR(TER_rest_ele_kWh/1000),0,TER_rest_ele_kWh/1000)</f>
        <v>2661.8369854000002</v>
      </c>
      <c r="C32" s="39">
        <f>IF(ISERROR(B32*3.6/1000000/'E Balans VL '!Z8*100),0,B32*3.6/1000000/'E Balans VL '!Z8*100)</f>
        <v>2.2070335190228451E-2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58729.175751129995</v>
      </c>
      <c r="C5" s="17">
        <f>IF(ISERROR('Eigen informatie GS &amp; warmtenet'!B59),0,'Eigen informatie GS &amp; warmtenet'!B59)</f>
        <v>0</v>
      </c>
      <c r="D5" s="30">
        <f>SUM(D6:D15)</f>
        <v>90508.731777974841</v>
      </c>
      <c r="E5" s="17">
        <f>SUM(E6:E15)</f>
        <v>2152.5854913760986</v>
      </c>
      <c r="F5" s="17">
        <f>SUM(F6:F15)</f>
        <v>9550.185607810412</v>
      </c>
      <c r="G5" s="18"/>
      <c r="H5" s="17"/>
      <c r="I5" s="17"/>
      <c r="J5" s="17">
        <f>SUM(J6:J15)</f>
        <v>161.39189522753028</v>
      </c>
      <c r="K5" s="17"/>
      <c r="L5" s="17"/>
      <c r="M5" s="17"/>
      <c r="N5" s="17">
        <f>SUM(N6:N15)</f>
        <v>5435.7403630083209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183.19570579000001</v>
      </c>
      <c r="C8" s="33"/>
      <c r="D8" s="37">
        <f>IF( ISERROR(IND_metaal_Gas_kWH/1000),0,IND_metaal_Gas_kWH/1000)*0.902</f>
        <v>0</v>
      </c>
      <c r="E8" s="33">
        <f>C30*'E Balans VL '!I18/100/3.6*1000000</f>
        <v>6.5919356989026392</v>
      </c>
      <c r="F8" s="33">
        <f>C30*'E Balans VL '!L18/100/3.6*1000000+C30*'E Balans VL '!N18/100/3.6*1000000</f>
        <v>79.995626152640824</v>
      </c>
      <c r="G8" s="34"/>
      <c r="H8" s="33"/>
      <c r="I8" s="33"/>
      <c r="J8" s="40">
        <f>C30*'E Balans VL '!D18/100/3.6*1000000+C30*'E Balans VL '!E18/100/3.6*1000000</f>
        <v>0</v>
      </c>
      <c r="K8" s="33"/>
      <c r="L8" s="33"/>
      <c r="M8" s="33"/>
      <c r="N8" s="33">
        <f>C30*'E Balans VL '!Y18/100/3.6*1000000</f>
        <v>9.1816442795213078</v>
      </c>
      <c r="O8" s="33"/>
      <c r="P8" s="33"/>
      <c r="R8" s="32"/>
    </row>
    <row r="9" spans="1:18">
      <c r="A9" s="6" t="s">
        <v>33</v>
      </c>
      <c r="B9" s="37">
        <f t="shared" si="0"/>
        <v>3961.2944837999999</v>
      </c>
      <c r="C9" s="33"/>
      <c r="D9" s="37">
        <f>IF( ISERROR(IND_andere_gas_kWh/1000),0,IND_andere_gas_kWh/1000)*0.902</f>
        <v>1350.9997152388</v>
      </c>
      <c r="E9" s="33">
        <f>C31*'E Balans VL '!I19/100/3.6*1000000</f>
        <v>1010.8327254677108</v>
      </c>
      <c r="F9" s="33">
        <f>C31*'E Balans VL '!L19/100/3.6*1000000+C31*'E Balans VL '!N19/100/3.6*1000000</f>
        <v>3410.3768080831646</v>
      </c>
      <c r="G9" s="34"/>
      <c r="H9" s="33"/>
      <c r="I9" s="33"/>
      <c r="J9" s="40">
        <f>C31*'E Balans VL '!D19/100/3.6*1000000+C31*'E Balans VL '!E19/100/3.6*1000000</f>
        <v>0</v>
      </c>
      <c r="K9" s="33"/>
      <c r="L9" s="33"/>
      <c r="M9" s="33"/>
      <c r="N9" s="33">
        <f>C31*'E Balans VL '!Y19/100/3.6*1000000</f>
        <v>1238.8324452521479</v>
      </c>
      <c r="O9" s="33"/>
      <c r="P9" s="33"/>
      <c r="R9" s="32"/>
    </row>
    <row r="10" spans="1:18">
      <c r="A10" s="6" t="s">
        <v>41</v>
      </c>
      <c r="B10" s="37">
        <f t="shared" si="0"/>
        <v>234.17999788</v>
      </c>
      <c r="C10" s="33"/>
      <c r="D10" s="37">
        <f>IF( ISERROR(IND_voed_gas_kWh/1000),0,IND_voed_gas_kWh/1000)*0.902</f>
        <v>473.24259984320008</v>
      </c>
      <c r="E10" s="33">
        <f>C32*'E Balans VL '!I20/100/3.6*1000000</f>
        <v>5.9531771015976176</v>
      </c>
      <c r="F10" s="33">
        <f>C32*'E Balans VL '!L20/100/3.6*1000000+C32*'E Balans VL '!N20/100/3.6*1000000</f>
        <v>52.991418175312269</v>
      </c>
      <c r="G10" s="34"/>
      <c r="H10" s="33"/>
      <c r="I10" s="33"/>
      <c r="J10" s="40">
        <f>C32*'E Balans VL '!D20/100/3.6*1000000+C32*'E Balans VL '!E20/100/3.6*1000000</f>
        <v>0</v>
      </c>
      <c r="K10" s="33"/>
      <c r="L10" s="33"/>
      <c r="M10" s="33"/>
      <c r="N10" s="33">
        <f>C32*'E Balans VL '!Y20/100/3.6*1000000</f>
        <v>87.823846903520732</v>
      </c>
      <c r="O10" s="33"/>
      <c r="P10" s="33"/>
      <c r="R10" s="32"/>
    </row>
    <row r="11" spans="1:18">
      <c r="A11" s="6" t="s">
        <v>40</v>
      </c>
      <c r="B11" s="37">
        <f t="shared" si="0"/>
        <v>35042.911304000001</v>
      </c>
      <c r="C11" s="33"/>
      <c r="D11" s="37">
        <f>IF( ISERROR(IND_textiel_gas_kWh/1000),0,IND_textiel_gas_kWh/1000)*0.902</f>
        <v>17649.620608466004</v>
      </c>
      <c r="E11" s="33">
        <f>C33*'E Balans VL '!I21/100/3.6*1000000</f>
        <v>96.20221536906665</v>
      </c>
      <c r="F11" s="33">
        <f>C33*'E Balans VL '!L21/100/3.6*1000000+C33*'E Balans VL '!N21/100/3.6*1000000</f>
        <v>1857.8291147085069</v>
      </c>
      <c r="G11" s="34"/>
      <c r="H11" s="33"/>
      <c r="I11" s="33"/>
      <c r="J11" s="40">
        <f>C33*'E Balans VL '!D21/100/3.6*1000000+C33*'E Balans VL '!E21/100/3.6*1000000</f>
        <v>0</v>
      </c>
      <c r="K11" s="33"/>
      <c r="L11" s="33"/>
      <c r="M11" s="33"/>
      <c r="N11" s="33">
        <f>C33*'E Balans VL '!Y21/100/3.6*1000000</f>
        <v>70.430452728746587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107.84013331</v>
      </c>
      <c r="C13" s="33"/>
      <c r="D13" s="37">
        <f>IF( ISERROR(IND_papier_gas_kWh/1000),0,IND_papier_gas_kWh/1000)*0.902</f>
        <v>127.33930443432</v>
      </c>
      <c r="E13" s="33">
        <f>C35*'E Balans VL '!I23/100/3.6*1000000</f>
        <v>0.4624949591540275</v>
      </c>
      <c r="F13" s="33">
        <f>C35*'E Balans VL '!L23/100/3.6*1000000+C35*'E Balans VL '!N23/100/3.6*1000000</f>
        <v>2.7103572645461567</v>
      </c>
      <c r="G13" s="34"/>
      <c r="H13" s="33"/>
      <c r="I13" s="33"/>
      <c r="J13" s="40">
        <f>C35*'E Balans VL '!D23/100/3.6*1000000+C35*'E Balans VL '!E23/100/3.6*1000000</f>
        <v>7.2193054463043422</v>
      </c>
      <c r="K13" s="33"/>
      <c r="L13" s="33"/>
      <c r="M13" s="33"/>
      <c r="N13" s="33">
        <f>C35*'E Balans VL '!Y23/100/3.6*1000000</f>
        <v>196.29468798633238</v>
      </c>
      <c r="O13" s="33"/>
      <c r="P13" s="33"/>
      <c r="R13" s="32"/>
    </row>
    <row r="14" spans="1:18">
      <c r="A14" s="6" t="s">
        <v>34</v>
      </c>
      <c r="B14" s="37">
        <f t="shared" si="0"/>
        <v>182.80675335000001</v>
      </c>
      <c r="C14" s="33"/>
      <c r="D14" s="37">
        <f>IF( ISERROR(IND_chemie_gas_kWh/1000),0,IND_chemie_gas_kWh/1000)*0.902</f>
        <v>647.43383677852</v>
      </c>
      <c r="E14" s="33">
        <f>C36*'E Balans VL '!I24/100/3.6*1000000</f>
        <v>0.43825055688788206</v>
      </c>
      <c r="F14" s="33">
        <f>C36*'E Balans VL '!L24/100/3.6*1000000+C36*'E Balans VL '!N24/100/3.6*1000000</f>
        <v>1.4670655472944494</v>
      </c>
      <c r="G14" s="34"/>
      <c r="H14" s="33"/>
      <c r="I14" s="33"/>
      <c r="J14" s="40">
        <f>C36*'E Balans VL '!D24/100/3.6*1000000+C36*'E Balans VL '!E24/100/3.6*1000000</f>
        <v>0</v>
      </c>
      <c r="K14" s="33"/>
      <c r="L14" s="33"/>
      <c r="M14" s="33"/>
      <c r="N14" s="33">
        <f>C36*'E Balans VL '!Y24/100/3.6*1000000</f>
        <v>3.7784738688387365</v>
      </c>
      <c r="O14" s="33"/>
      <c r="P14" s="33"/>
      <c r="R14" s="32"/>
    </row>
    <row r="15" spans="1:18">
      <c r="A15" s="6" t="s">
        <v>270</v>
      </c>
      <c r="B15" s="37">
        <f t="shared" si="0"/>
        <v>19016.947372999999</v>
      </c>
      <c r="C15" s="33"/>
      <c r="D15" s="37">
        <f>IF( ISERROR(IND_rest_gas_kWh/1000),0,IND_rest_gas_kWh/1000)*0.902</f>
        <v>70260.095713214003</v>
      </c>
      <c r="E15" s="33">
        <f>C37*'E Balans VL '!I15/100/3.6*1000000</f>
        <v>1032.104692222779</v>
      </c>
      <c r="F15" s="33">
        <f>C37*'E Balans VL '!L15/100/3.6*1000000+C37*'E Balans VL '!N15/100/3.6*1000000</f>
        <v>4144.815217878946</v>
      </c>
      <c r="G15" s="34"/>
      <c r="H15" s="33"/>
      <c r="I15" s="33"/>
      <c r="J15" s="40">
        <f>C37*'E Balans VL '!D15/100/3.6*1000000+C37*'E Balans VL '!E15/100/3.6*1000000</f>
        <v>154.17258978122595</v>
      </c>
      <c r="K15" s="33"/>
      <c r="L15" s="33"/>
      <c r="M15" s="33"/>
      <c r="N15" s="33">
        <f>C37*'E Balans VL '!Y15/100/3.6*1000000</f>
        <v>3829.3988119892128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58729.175751129995</v>
      </c>
      <c r="C18" s="21">
        <f>C5+C16</f>
        <v>0</v>
      </c>
      <c r="D18" s="21">
        <f>MAX((D5+D16),0)</f>
        <v>90508.731777974841</v>
      </c>
      <c r="E18" s="21">
        <f>MAX((E5+E16),0)</f>
        <v>2152.5854913760986</v>
      </c>
      <c r="F18" s="21">
        <f>MAX((F5+F16),0)</f>
        <v>9550.185607810412</v>
      </c>
      <c r="G18" s="21"/>
      <c r="H18" s="21"/>
      <c r="I18" s="21"/>
      <c r="J18" s="21">
        <f>MAX((J5+J16),0)</f>
        <v>161.39189522753028</v>
      </c>
      <c r="K18" s="21"/>
      <c r="L18" s="21">
        <f>MAX((L5+L16),0)</f>
        <v>0</v>
      </c>
      <c r="M18" s="21"/>
      <c r="N18" s="21">
        <f>MAX((N5+N16),0)</f>
        <v>5435.7403630083209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0.20957409706671234</v>
      </c>
      <c r="C20" s="25">
        <f ca="1">'EF ele_warmte'!B22</f>
        <v>0.23742128121606954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12308.113979515327</v>
      </c>
      <c r="C22" s="23">
        <f ca="1">C18*C20</f>
        <v>0</v>
      </c>
      <c r="D22" s="23">
        <f>D18*D20</f>
        <v>18282.763819150918</v>
      </c>
      <c r="E22" s="23">
        <f>E18*E20</f>
        <v>488.63690654237439</v>
      </c>
      <c r="F22" s="23">
        <f>F18*F20</f>
        <v>2549.8995572853801</v>
      </c>
      <c r="G22" s="23"/>
      <c r="H22" s="23"/>
      <c r="I22" s="23"/>
      <c r="J22" s="23">
        <f>J18*J20</f>
        <v>57.132730910545718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183.19570579000001</v>
      </c>
      <c r="C30" s="39">
        <f>IF(ISERROR(B30*3.6/1000000/'E Balans VL '!Z18*100),0,B30*3.6/1000000/'E Balans VL '!Z18*100)</f>
        <v>3.8815242444483221E-2</v>
      </c>
      <c r="D30" s="237" t="s">
        <v>660</v>
      </c>
    </row>
    <row r="31" spans="1:18">
      <c r="A31" s="6" t="s">
        <v>33</v>
      </c>
      <c r="B31" s="37">
        <f>IF( ISERROR(IND_ander_ele_kWh/1000),0,IND_ander_ele_kWh/1000)</f>
        <v>3961.2944837999999</v>
      </c>
      <c r="C31" s="39">
        <f>IF(ISERROR(B31*3.6/1000000/'E Balans VL '!Z19*100),0,B31*3.6/1000000/'E Balans VL '!Z19*100)</f>
        <v>0.16673987959642059</v>
      </c>
      <c r="D31" s="237" t="s">
        <v>660</v>
      </c>
    </row>
    <row r="32" spans="1:18">
      <c r="A32" s="171" t="s">
        <v>41</v>
      </c>
      <c r="B32" s="37">
        <f>IF( ISERROR(IND_voed_ele_kWh/1000),0,IND_voed_ele_kWh/1000)</f>
        <v>234.17999788</v>
      </c>
      <c r="C32" s="39">
        <f>IF(ISERROR(B32*3.6/1000000/'E Balans VL '!Z20*100),0,B32*3.6/1000000/'E Balans VL '!Z20*100)</f>
        <v>3.9122418210301782E-2</v>
      </c>
      <c r="D32" s="237" t="s">
        <v>660</v>
      </c>
    </row>
    <row r="33" spans="1:5">
      <c r="A33" s="171" t="s">
        <v>40</v>
      </c>
      <c r="B33" s="37">
        <f>IF( ISERROR(IND_textiel_ele_kWh/1000),0,IND_textiel_ele_kWh/1000)</f>
        <v>35042.911304000001</v>
      </c>
      <c r="C33" s="39">
        <f>IF(ISERROR(B33*3.6/1000000/'E Balans VL '!Z21*100),0,B33*3.6/1000000/'E Balans VL '!Z21*100)</f>
        <v>2.045910028431273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107.84013331</v>
      </c>
      <c r="C35" s="39">
        <f>IF(ISERROR(B35*3.6/1000000/'E Balans VL '!Z22*100),0,B35*3.6/1000000/'E Balans VL '!Z22*100)</f>
        <v>1.3669318477163765E-2</v>
      </c>
      <c r="D35" s="237" t="s">
        <v>660</v>
      </c>
    </row>
    <row r="36" spans="1:5">
      <c r="A36" s="171" t="s">
        <v>34</v>
      </c>
      <c r="B36" s="37">
        <f>IF( ISERROR(IND_chemie_ele_kWh/1000),0,IND_chemie_ele_kWh/1000)</f>
        <v>182.80675335000001</v>
      </c>
      <c r="C36" s="39">
        <f>IF(ISERROR(B36*3.6/1000000/'E Balans VL '!Z24*100),0,B36*3.6/1000000/'E Balans VL '!Z24*100)</f>
        <v>5.9375692439086556E-3</v>
      </c>
      <c r="D36" s="237" t="s">
        <v>660</v>
      </c>
    </row>
    <row r="37" spans="1:5">
      <c r="A37" s="171" t="s">
        <v>270</v>
      </c>
      <c r="B37" s="37">
        <f>IF( ISERROR(IND_rest_ele_kWh/1000),0,IND_rest_ele_kWh/1000)</f>
        <v>19016.947372999999</v>
      </c>
      <c r="C37" s="39">
        <f>IF(ISERROR(B37*3.6/1000000/'E Balans VL '!Z15*100),0,B37*3.6/1000000/'E Balans VL '!Z15*100)</f>
        <v>0.15353117984175776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396.90900036899995</v>
      </c>
      <c r="C5" s="17">
        <f>'Eigen informatie GS &amp; warmtenet'!B60</f>
        <v>0</v>
      </c>
      <c r="D5" s="30">
        <f>IF(ISERROR(SUM(LB_lb_gas_kWh,LB_rest_gas_kWh)/1000),0,SUM(LB_lb_gas_kWh,LB_rest_gas_kWh)/1000)*0.902</f>
        <v>76.754292036202003</v>
      </c>
      <c r="E5" s="17">
        <f>B17*'E Balans VL '!I25/3.6*1000000/100</f>
        <v>10.234759165146706</v>
      </c>
      <c r="F5" s="17">
        <f>B17*('E Balans VL '!L25/3.6*1000000+'E Balans VL '!N25/3.6*1000000)/100</f>
        <v>1450.7779839959833</v>
      </c>
      <c r="G5" s="18"/>
      <c r="H5" s="17"/>
      <c r="I5" s="17"/>
      <c r="J5" s="17">
        <f>('E Balans VL '!D25+'E Balans VL '!E25)/3.6*1000000*landbouw!B17/100</f>
        <v>57.140295097849794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396.90900036899995</v>
      </c>
      <c r="C8" s="21">
        <f>C5+C6</f>
        <v>0</v>
      </c>
      <c r="D8" s="21">
        <f>MAX((D5+D6),0)</f>
        <v>76.754292036202003</v>
      </c>
      <c r="E8" s="21">
        <f>MAX((E5+E6),0)</f>
        <v>10.234759165146706</v>
      </c>
      <c r="F8" s="21">
        <f>MAX((F5+F6),0)</f>
        <v>1450.7779839959833</v>
      </c>
      <c r="G8" s="21"/>
      <c r="H8" s="21"/>
      <c r="I8" s="21"/>
      <c r="J8" s="21">
        <f>MAX((J5+J6),0)</f>
        <v>57.140295097849794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0.20957409706671234</v>
      </c>
      <c r="C10" s="31">
        <f ca="1">'EF ele_warmte'!B22</f>
        <v>0.23742128121606954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83.181845369984558</v>
      </c>
      <c r="C12" s="23">
        <f ca="1">C8*C10</f>
        <v>0</v>
      </c>
      <c r="D12" s="23">
        <f>D8*D10</f>
        <v>15.504366991312805</v>
      </c>
      <c r="E12" s="23">
        <f>E8*E10</f>
        <v>2.3232903304883021</v>
      </c>
      <c r="F12" s="23">
        <f>F8*F10</f>
        <v>387.35772172692754</v>
      </c>
      <c r="G12" s="23"/>
      <c r="H12" s="23"/>
      <c r="I12" s="23"/>
      <c r="J12" s="23">
        <f>J8*J10</f>
        <v>20.227664464638828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5.5966798118296218E-2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150.7320879965234</v>
      </c>
      <c r="C26" s="247">
        <f>B26*'GWP N2O_CH4'!B5</f>
        <v>3165.3738479269914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22.858342447486542</v>
      </c>
      <c r="C27" s="247">
        <f>B27*'GWP N2O_CH4'!B5</f>
        <v>480.02519139721738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1.9954762155995389</v>
      </c>
      <c r="C28" s="247">
        <f>B28*'GWP N2O_CH4'!B4</f>
        <v>618.59762683585711</v>
      </c>
      <c r="D28" s="50"/>
    </row>
    <row r="29" spans="1:4">
      <c r="A29" s="41" t="s">
        <v>277</v>
      </c>
      <c r="B29" s="247">
        <f>B34*'ha_N2O bodem landbouw'!B4</f>
        <v>9.6486262255449873</v>
      </c>
      <c r="C29" s="247">
        <f>B29*'GWP N2O_CH4'!B4</f>
        <v>2991.0741299189463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2.1714652223489166E-3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6.5491833662333258E-5</v>
      </c>
      <c r="C5" s="463" t="s">
        <v>211</v>
      </c>
      <c r="D5" s="448">
        <f>SUM(D6:D11)</f>
        <v>1.5380604031602036E-4</v>
      </c>
      <c r="E5" s="448">
        <f>SUM(E6:E11)</f>
        <v>5.8919050061802887E-4</v>
      </c>
      <c r="F5" s="461" t="s">
        <v>211</v>
      </c>
      <c r="G5" s="448">
        <f>SUM(G6:G11)</f>
        <v>0.35215137690162768</v>
      </c>
      <c r="H5" s="448">
        <f>SUM(H6:H11)</f>
        <v>4.1262140276529601E-2</v>
      </c>
      <c r="I5" s="463" t="s">
        <v>211</v>
      </c>
      <c r="J5" s="463" t="s">
        <v>211</v>
      </c>
      <c r="K5" s="463" t="s">
        <v>211</v>
      </c>
      <c r="L5" s="463" t="s">
        <v>211</v>
      </c>
      <c r="M5" s="448">
        <f>SUM(M6:M11)</f>
        <v>1.2329923727631847E-2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5.0032321802752548E-5</v>
      </c>
      <c r="C6" s="449"/>
      <c r="D6" s="892">
        <f>vkm_2011_GW_PW*SUMIFS(TableVerdeelsleutelVkm[CNG],TableVerdeelsleutelVkm[Voertuigtype],"Lichte voertuigen")*SUMIFS(TableECFTransport[EnergieConsumptieFactor (PJ per km)],TableECFTransport[Index],CONCATENATE($A6,"_CNG_CNG"))</f>
        <v>9.9415099814958351E-5</v>
      </c>
      <c r="E6" s="892">
        <f>vkm_2011_GW_PW*SUMIFS(TableVerdeelsleutelVkm[LPG],TableVerdeelsleutelVkm[Voertuigtype],"Lichte voertuigen")*SUMIFS(TableECFTransport[EnergieConsumptieFactor (PJ per km)],TableECFTransport[Index],CONCATENATE($A6,"_LPG_LPG"))</f>
        <v>3.9123405541358801E-4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9.3022034354132421E-2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2.6914658357066051E-2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3.7373380960422998E-3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0.18963125231882136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6.1258994314951029E-5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5.97499061032555E-3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1.545951185958071E-5</v>
      </c>
      <c r="C8" s="449"/>
      <c r="D8" s="451">
        <f>vkm_2011_NGW_PW*SUMIFS(TableVerdeelsleutelVkm[CNG],TableVerdeelsleutelVkm[Voertuigtype],"Lichte voertuigen")*SUMIFS(TableECFTransport[EnergieConsumptieFactor (PJ per km)],TableECFTransport[Index],CONCATENATE($A8,"_CNG_CNG"))</f>
        <v>5.4390940501061998E-5</v>
      </c>
      <c r="E8" s="451">
        <f>vkm_2011_NGW_PW*SUMIFS(TableVerdeelsleutelVkm[LPG],TableVerdeelsleutelVkm[Voertuigtype],"Lichte voertuigen")*SUMIFS(TableECFTransport[EnergieConsumptieFactor (PJ per km)],TableECFTransport[Index],CONCATENATE($A8,"_LPG_LPG"))</f>
        <v>1.9795644520444086E-4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4.3951895593660889E-2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1.4278418346078721E-2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1.8126869508902454E-3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2.5546194635013043E-2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7.8045790698721398E-6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8.0490807037375187E-4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18.192176017314793</v>
      </c>
      <c r="C14" s="21"/>
      <c r="D14" s="21">
        <f t="shared" ref="D14:M14" si="0">((D5)*10^9/3600)+D12</f>
        <v>42.723900087783434</v>
      </c>
      <c r="E14" s="21">
        <f t="shared" si="0"/>
        <v>163.66402794945247</v>
      </c>
      <c r="F14" s="21"/>
      <c r="G14" s="21">
        <f t="shared" si="0"/>
        <v>97819.8269171188</v>
      </c>
      <c r="H14" s="21">
        <f t="shared" si="0"/>
        <v>11461.705632369334</v>
      </c>
      <c r="I14" s="21"/>
      <c r="J14" s="21"/>
      <c r="K14" s="21"/>
      <c r="L14" s="21"/>
      <c r="M14" s="21">
        <f t="shared" si="0"/>
        <v>3424.9788132310687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0.20957409706671234</v>
      </c>
      <c r="C16" s="56">
        <f ca="1">'EF ele_warmte'!B22</f>
        <v>0.23742128121606954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3.8126088625074468</v>
      </c>
      <c r="C18" s="23"/>
      <c r="D18" s="23">
        <f t="shared" ref="D18:M18" si="1">D14*D16</f>
        <v>8.6302278177322549</v>
      </c>
      <c r="E18" s="23">
        <f t="shared" si="1"/>
        <v>37.151734344525714</v>
      </c>
      <c r="F18" s="23"/>
      <c r="G18" s="23">
        <f t="shared" si="1"/>
        <v>26117.893786870722</v>
      </c>
      <c r="H18" s="23">
        <f t="shared" si="1"/>
        <v>2853.964702459964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2.7229561549714254E-3</v>
      </c>
      <c r="H50" s="321">
        <f t="shared" si="2"/>
        <v>0</v>
      </c>
      <c r="I50" s="321">
        <f t="shared" si="2"/>
        <v>0</v>
      </c>
      <c r="J50" s="321">
        <f t="shared" si="2"/>
        <v>0</v>
      </c>
      <c r="K50" s="321">
        <f t="shared" si="2"/>
        <v>0</v>
      </c>
      <c r="L50" s="321">
        <f t="shared" si="2"/>
        <v>0</v>
      </c>
      <c r="M50" s="321">
        <f t="shared" si="2"/>
        <v>8.4460008178476953E-5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2.7229561549714254E-3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8.4460008178476953E-5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756.37670971428486</v>
      </c>
      <c r="H54" s="21">
        <f t="shared" si="3"/>
        <v>0</v>
      </c>
      <c r="I54" s="21">
        <f t="shared" si="3"/>
        <v>0</v>
      </c>
      <c r="J54" s="21">
        <f t="shared" si="3"/>
        <v>0</v>
      </c>
      <c r="K54" s="21">
        <f t="shared" si="3"/>
        <v>0</v>
      </c>
      <c r="L54" s="21">
        <f t="shared" si="3"/>
        <v>0</v>
      </c>
      <c r="M54" s="21">
        <f t="shared" si="3"/>
        <v>23.461113382910266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0.20957409706671234</v>
      </c>
      <c r="C56" s="56">
        <f ca="1">'EF ele_warmte'!B22</f>
        <v>0.23742128121606954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201.95258149371406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35755.119316770004</v>
      </c>
      <c r="D10" s="1012">
        <f ca="1">tertiair!C16</f>
        <v>935.35714285714266</v>
      </c>
      <c r="E10" s="1012">
        <f ca="1">tertiair!D16</f>
        <v>45233.885721104321</v>
      </c>
      <c r="F10" s="1012">
        <f>tertiair!E16</f>
        <v>592.95501877299137</v>
      </c>
      <c r="G10" s="1012">
        <f ca="1">tertiair!F16</f>
        <v>8009.3363108181657</v>
      </c>
      <c r="H10" s="1012">
        <f>tertiair!G16</f>
        <v>0</v>
      </c>
      <c r="I10" s="1012">
        <f>tertiair!H16</f>
        <v>0</v>
      </c>
      <c r="J10" s="1012">
        <f>tertiair!I16</f>
        <v>0</v>
      </c>
      <c r="K10" s="1012">
        <f>tertiair!J16</f>
        <v>0</v>
      </c>
      <c r="L10" s="1012">
        <f>tertiair!K16</f>
        <v>0</v>
      </c>
      <c r="M10" s="1012">
        <f ca="1">tertiair!L16</f>
        <v>0</v>
      </c>
      <c r="N10" s="1012">
        <f>tertiair!M16</f>
        <v>0</v>
      </c>
      <c r="O10" s="1012">
        <f ca="1">tertiair!N16</f>
        <v>2436.4598206118044</v>
      </c>
      <c r="P10" s="1012">
        <f>tertiair!O16</f>
        <v>0</v>
      </c>
      <c r="Q10" s="1013">
        <f>tertiair!P16</f>
        <v>0</v>
      </c>
      <c r="R10" s="700">
        <f ca="1">SUM(C10:Q10)</f>
        <v>92963.11333093443</v>
      </c>
      <c r="S10" s="67"/>
    </row>
    <row r="11" spans="1:19" s="473" customFormat="1">
      <c r="A11" s="809" t="s">
        <v>225</v>
      </c>
      <c r="B11" s="814"/>
      <c r="C11" s="1012">
        <f>huishoudens!B8</f>
        <v>36643.515180740607</v>
      </c>
      <c r="D11" s="1012">
        <f>huishoudens!C8</f>
        <v>0</v>
      </c>
      <c r="E11" s="1012">
        <f>huishoudens!D8</f>
        <v>98452.881544160002</v>
      </c>
      <c r="F11" s="1012">
        <f>huishoudens!E8</f>
        <v>6461.9459285458706</v>
      </c>
      <c r="G11" s="1012">
        <f>huishoudens!F8</f>
        <v>12801.5388613009</v>
      </c>
      <c r="H11" s="1012">
        <f>huishoudens!G8</f>
        <v>0</v>
      </c>
      <c r="I11" s="1012">
        <f>huishoudens!H8</f>
        <v>0</v>
      </c>
      <c r="J11" s="1012">
        <f>huishoudens!I8</f>
        <v>0</v>
      </c>
      <c r="K11" s="1012">
        <f>huishoudens!J8</f>
        <v>4181.9637743365847</v>
      </c>
      <c r="L11" s="1012">
        <f>huishoudens!K8</f>
        <v>0</v>
      </c>
      <c r="M11" s="1012">
        <f>huishoudens!L8</f>
        <v>0</v>
      </c>
      <c r="N11" s="1012">
        <f>huishoudens!M8</f>
        <v>0</v>
      </c>
      <c r="O11" s="1012">
        <f>huishoudens!N8</f>
        <v>23023.860621505359</v>
      </c>
      <c r="P11" s="1012">
        <f>huishoudens!O8</f>
        <v>146.95333333333335</v>
      </c>
      <c r="Q11" s="1013">
        <f>huishoudens!P8</f>
        <v>457.6</v>
      </c>
      <c r="R11" s="700">
        <f>SUM(C11:Q11)</f>
        <v>182170.25924392269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58729.175751129995</v>
      </c>
      <c r="D13" s="1012">
        <f>industrie!C18</f>
        <v>0</v>
      </c>
      <c r="E13" s="1012">
        <f>industrie!D18</f>
        <v>90508.731777974841</v>
      </c>
      <c r="F13" s="1012">
        <f>industrie!E18</f>
        <v>2152.5854913760986</v>
      </c>
      <c r="G13" s="1012">
        <f>industrie!F18</f>
        <v>9550.185607810412</v>
      </c>
      <c r="H13" s="1012">
        <f>industrie!G18</f>
        <v>0</v>
      </c>
      <c r="I13" s="1012">
        <f>industrie!H18</f>
        <v>0</v>
      </c>
      <c r="J13" s="1012">
        <f>industrie!I18</f>
        <v>0</v>
      </c>
      <c r="K13" s="1012">
        <f>industrie!J18</f>
        <v>161.39189522753028</v>
      </c>
      <c r="L13" s="1012">
        <f>industrie!K18</f>
        <v>0</v>
      </c>
      <c r="M13" s="1012">
        <f>industrie!L18</f>
        <v>0</v>
      </c>
      <c r="N13" s="1012">
        <f>industrie!M18</f>
        <v>0</v>
      </c>
      <c r="O13" s="1012">
        <f>industrie!N18</f>
        <v>5435.7403630083209</v>
      </c>
      <c r="P13" s="1012">
        <f>industrie!O18</f>
        <v>0</v>
      </c>
      <c r="Q13" s="1013">
        <f>industrie!P18</f>
        <v>0</v>
      </c>
      <c r="R13" s="700">
        <f>SUM(C13:Q13)</f>
        <v>166537.81088652721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131127.8102486406</v>
      </c>
      <c r="D16" s="732">
        <f t="shared" ref="D16:R16" ca="1" si="0">SUM(D9:D15)</f>
        <v>935.35714285714266</v>
      </c>
      <c r="E16" s="732">
        <f t="shared" ca="1" si="0"/>
        <v>234195.49904323916</v>
      </c>
      <c r="F16" s="732">
        <f t="shared" si="0"/>
        <v>9207.4864386949594</v>
      </c>
      <c r="G16" s="732">
        <f t="shared" ca="1" si="0"/>
        <v>30361.060779929474</v>
      </c>
      <c r="H16" s="732">
        <f t="shared" si="0"/>
        <v>0</v>
      </c>
      <c r="I16" s="732">
        <f t="shared" si="0"/>
        <v>0</v>
      </c>
      <c r="J16" s="732">
        <f t="shared" si="0"/>
        <v>0</v>
      </c>
      <c r="K16" s="732">
        <f t="shared" si="0"/>
        <v>4343.3556695641146</v>
      </c>
      <c r="L16" s="732">
        <f t="shared" si="0"/>
        <v>0</v>
      </c>
      <c r="M16" s="732">
        <f t="shared" ca="1" si="0"/>
        <v>0</v>
      </c>
      <c r="N16" s="732">
        <f t="shared" si="0"/>
        <v>0</v>
      </c>
      <c r="O16" s="732">
        <f t="shared" ca="1" si="0"/>
        <v>30896.060805125482</v>
      </c>
      <c r="P16" s="732">
        <f t="shared" si="0"/>
        <v>146.95333333333335</v>
      </c>
      <c r="Q16" s="732">
        <f t="shared" si="0"/>
        <v>457.6</v>
      </c>
      <c r="R16" s="732">
        <f t="shared" ca="1" si="0"/>
        <v>441671.18346138427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756.37670971428486</v>
      </c>
      <c r="I19" s="1012">
        <f>transport!H54</f>
        <v>0</v>
      </c>
      <c r="J19" s="1012">
        <f>transport!I54</f>
        <v>0</v>
      </c>
      <c r="K19" s="1012">
        <f>transport!J54</f>
        <v>0</v>
      </c>
      <c r="L19" s="1012">
        <f>transport!K54</f>
        <v>0</v>
      </c>
      <c r="M19" s="1012">
        <f>transport!L54</f>
        <v>0</v>
      </c>
      <c r="N19" s="1012">
        <f>transport!M54</f>
        <v>23.461113382910266</v>
      </c>
      <c r="O19" s="1012">
        <f>transport!N54</f>
        <v>0</v>
      </c>
      <c r="P19" s="1012">
        <f>transport!O54</f>
        <v>0</v>
      </c>
      <c r="Q19" s="1013">
        <f>transport!P54</f>
        <v>0</v>
      </c>
      <c r="R19" s="700">
        <f>SUM(C19:Q19)</f>
        <v>779.83782309719516</v>
      </c>
      <c r="S19" s="67"/>
    </row>
    <row r="20" spans="1:19" s="473" customFormat="1">
      <c r="A20" s="809" t="s">
        <v>307</v>
      </c>
      <c r="B20" s="814"/>
      <c r="C20" s="1012">
        <f>transport!B14</f>
        <v>18.192176017314793</v>
      </c>
      <c r="D20" s="1012">
        <f>transport!C14</f>
        <v>0</v>
      </c>
      <c r="E20" s="1012">
        <f>transport!D14</f>
        <v>42.723900087783434</v>
      </c>
      <c r="F20" s="1012">
        <f>transport!E14</f>
        <v>163.66402794945247</v>
      </c>
      <c r="G20" s="1012">
        <f>transport!F14</f>
        <v>0</v>
      </c>
      <c r="H20" s="1012">
        <f>transport!G14</f>
        <v>97819.8269171188</v>
      </c>
      <c r="I20" s="1012">
        <f>transport!H14</f>
        <v>11461.705632369334</v>
      </c>
      <c r="J20" s="1012">
        <f>transport!I14</f>
        <v>0</v>
      </c>
      <c r="K20" s="1012">
        <f>transport!J14</f>
        <v>0</v>
      </c>
      <c r="L20" s="1012">
        <f>transport!K14</f>
        <v>0</v>
      </c>
      <c r="M20" s="1012">
        <f>transport!L14</f>
        <v>0</v>
      </c>
      <c r="N20" s="1012">
        <f>transport!M14</f>
        <v>3424.9788132310687</v>
      </c>
      <c r="O20" s="1012">
        <f>transport!N14</f>
        <v>0</v>
      </c>
      <c r="P20" s="1012">
        <f>transport!O14</f>
        <v>0</v>
      </c>
      <c r="Q20" s="1013">
        <f>transport!P14</f>
        <v>0</v>
      </c>
      <c r="R20" s="700">
        <f>SUM(C20:Q20)</f>
        <v>112931.09146677375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18.192176017314793</v>
      </c>
      <c r="D22" s="812">
        <f t="shared" ref="D22:R22" si="1">SUM(D18:D21)</f>
        <v>0</v>
      </c>
      <c r="E22" s="812">
        <f t="shared" si="1"/>
        <v>42.723900087783434</v>
      </c>
      <c r="F22" s="812">
        <f t="shared" si="1"/>
        <v>163.66402794945247</v>
      </c>
      <c r="G22" s="812">
        <f t="shared" si="1"/>
        <v>0</v>
      </c>
      <c r="H22" s="812">
        <f t="shared" si="1"/>
        <v>98576.203626833085</v>
      </c>
      <c r="I22" s="812">
        <f t="shared" si="1"/>
        <v>11461.705632369334</v>
      </c>
      <c r="J22" s="812">
        <f t="shared" si="1"/>
        <v>0</v>
      </c>
      <c r="K22" s="812">
        <f t="shared" si="1"/>
        <v>0</v>
      </c>
      <c r="L22" s="812">
        <f t="shared" si="1"/>
        <v>0</v>
      </c>
      <c r="M22" s="812">
        <f t="shared" si="1"/>
        <v>0</v>
      </c>
      <c r="N22" s="812">
        <f t="shared" si="1"/>
        <v>3448.439926613979</v>
      </c>
      <c r="O22" s="812">
        <f t="shared" si="1"/>
        <v>0</v>
      </c>
      <c r="P22" s="812">
        <f t="shared" si="1"/>
        <v>0</v>
      </c>
      <c r="Q22" s="812">
        <f t="shared" si="1"/>
        <v>0</v>
      </c>
      <c r="R22" s="812">
        <f t="shared" si="1"/>
        <v>113710.92928987095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396.90900036899995</v>
      </c>
      <c r="D24" s="1012">
        <f>+landbouw!C8</f>
        <v>0</v>
      </c>
      <c r="E24" s="1012">
        <f>+landbouw!D8</f>
        <v>76.754292036202003</v>
      </c>
      <c r="F24" s="1012">
        <f>+landbouw!E8</f>
        <v>10.234759165146706</v>
      </c>
      <c r="G24" s="1012">
        <f>+landbouw!F8</f>
        <v>1450.7779839959833</v>
      </c>
      <c r="H24" s="1012">
        <f>+landbouw!G8</f>
        <v>0</v>
      </c>
      <c r="I24" s="1012">
        <f>+landbouw!H8</f>
        <v>0</v>
      </c>
      <c r="J24" s="1012">
        <f>+landbouw!I8</f>
        <v>0</v>
      </c>
      <c r="K24" s="1012">
        <f>+landbouw!J8</f>
        <v>57.140295097849794</v>
      </c>
      <c r="L24" s="1012">
        <f>+landbouw!K8</f>
        <v>0</v>
      </c>
      <c r="M24" s="1012">
        <f>+landbouw!L8</f>
        <v>0</v>
      </c>
      <c r="N24" s="1012">
        <f>+landbouw!M8</f>
        <v>0</v>
      </c>
      <c r="O24" s="1012">
        <f>+landbouw!N8</f>
        <v>0</v>
      </c>
      <c r="P24" s="1012">
        <f>+landbouw!O8</f>
        <v>0</v>
      </c>
      <c r="Q24" s="1013">
        <f>+landbouw!P8</f>
        <v>0</v>
      </c>
      <c r="R24" s="700">
        <f>SUM(C24:Q24)</f>
        <v>1991.8163306641816</v>
      </c>
      <c r="S24" s="67"/>
    </row>
    <row r="25" spans="1:19" s="473" customFormat="1" ht="15" thickBot="1">
      <c r="A25" s="831" t="s">
        <v>848</v>
      </c>
      <c r="B25" s="1015"/>
      <c r="C25" s="1016">
        <f>IF(Onbekend_ele_kWh="---",0,Onbekend_ele_kWh)/1000+IF(REST_rest_ele_kWh="---",0,REST_rest_ele_kWh)/1000</f>
        <v>1802.5711157999999</v>
      </c>
      <c r="D25" s="1016"/>
      <c r="E25" s="1016">
        <f>IF(onbekend_gas_kWh="---",0,onbekend_gas_kWh)/1000+IF(REST_rest_gas_kWh="---",0,REST_rest_gas_kWh)/1000</f>
        <v>6534.3438794000003</v>
      </c>
      <c r="F25" s="1016"/>
      <c r="G25" s="1016"/>
      <c r="H25" s="1016"/>
      <c r="I25" s="1016"/>
      <c r="J25" s="1016"/>
      <c r="K25" s="1016"/>
      <c r="L25" s="1016"/>
      <c r="M25" s="1016"/>
      <c r="N25" s="1016"/>
      <c r="O25" s="1016"/>
      <c r="P25" s="1016"/>
      <c r="Q25" s="1017"/>
      <c r="R25" s="700">
        <f>SUM(C25:Q25)</f>
        <v>8336.9149952000007</v>
      </c>
      <c r="S25" s="67"/>
    </row>
    <row r="26" spans="1:19" s="473" customFormat="1" ht="15.75" thickBot="1">
      <c r="A26" s="705" t="s">
        <v>849</v>
      </c>
      <c r="B26" s="817"/>
      <c r="C26" s="812">
        <f>SUM(C24:C25)</f>
        <v>2199.4801161689998</v>
      </c>
      <c r="D26" s="812">
        <f t="shared" ref="D26:R26" si="2">SUM(D24:D25)</f>
        <v>0</v>
      </c>
      <c r="E26" s="812">
        <f t="shared" si="2"/>
        <v>6611.0981714362024</v>
      </c>
      <c r="F26" s="812">
        <f t="shared" si="2"/>
        <v>10.234759165146706</v>
      </c>
      <c r="G26" s="812">
        <f t="shared" si="2"/>
        <v>1450.7779839959833</v>
      </c>
      <c r="H26" s="812">
        <f t="shared" si="2"/>
        <v>0</v>
      </c>
      <c r="I26" s="812">
        <f t="shared" si="2"/>
        <v>0</v>
      </c>
      <c r="J26" s="812">
        <f t="shared" si="2"/>
        <v>0</v>
      </c>
      <c r="K26" s="812">
        <f t="shared" si="2"/>
        <v>57.140295097849794</v>
      </c>
      <c r="L26" s="812">
        <f t="shared" si="2"/>
        <v>0</v>
      </c>
      <c r="M26" s="812">
        <f t="shared" si="2"/>
        <v>0</v>
      </c>
      <c r="N26" s="812">
        <f t="shared" si="2"/>
        <v>0</v>
      </c>
      <c r="O26" s="812">
        <f t="shared" si="2"/>
        <v>0</v>
      </c>
      <c r="P26" s="812">
        <f t="shared" si="2"/>
        <v>0</v>
      </c>
      <c r="Q26" s="812">
        <f t="shared" si="2"/>
        <v>0</v>
      </c>
      <c r="R26" s="812">
        <f t="shared" si="2"/>
        <v>10328.731325864183</v>
      </c>
      <c r="S26" s="67"/>
    </row>
    <row r="27" spans="1:19" s="473" customFormat="1" ht="17.25" thickTop="1" thickBot="1">
      <c r="A27" s="706" t="s">
        <v>116</v>
      </c>
      <c r="B27" s="805"/>
      <c r="C27" s="707">
        <f ca="1">C22+C16+C26</f>
        <v>133345.48254082692</v>
      </c>
      <c r="D27" s="707">
        <f t="shared" ref="D27:R27" ca="1" si="3">D22+D16+D26</f>
        <v>935.35714285714266</v>
      </c>
      <c r="E27" s="707">
        <f t="shared" ca="1" si="3"/>
        <v>240849.32111476315</v>
      </c>
      <c r="F27" s="707">
        <f t="shared" si="3"/>
        <v>9381.3852258095594</v>
      </c>
      <c r="G27" s="707">
        <f t="shared" ca="1" si="3"/>
        <v>31811.838763925458</v>
      </c>
      <c r="H27" s="707">
        <f t="shared" si="3"/>
        <v>98576.203626833085</v>
      </c>
      <c r="I27" s="707">
        <f t="shared" si="3"/>
        <v>11461.705632369334</v>
      </c>
      <c r="J27" s="707">
        <f t="shared" si="3"/>
        <v>0</v>
      </c>
      <c r="K27" s="707">
        <f t="shared" si="3"/>
        <v>4400.4959646619645</v>
      </c>
      <c r="L27" s="707">
        <f t="shared" si="3"/>
        <v>0</v>
      </c>
      <c r="M27" s="707">
        <f t="shared" ca="1" si="3"/>
        <v>0</v>
      </c>
      <c r="N27" s="707">
        <f t="shared" si="3"/>
        <v>3448.439926613979</v>
      </c>
      <c r="O27" s="707">
        <f t="shared" ca="1" si="3"/>
        <v>30896.060805125482</v>
      </c>
      <c r="P27" s="707">
        <f t="shared" si="3"/>
        <v>146.95333333333335</v>
      </c>
      <c r="Q27" s="707">
        <f t="shared" si="3"/>
        <v>457.6</v>
      </c>
      <c r="R27" s="707">
        <f t="shared" ca="1" si="3"/>
        <v>565710.84407711949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7493.3468463246381</v>
      </c>
      <c r="D40" s="1012">
        <f ca="1">tertiair!C20</f>
        <v>222.073691251745</v>
      </c>
      <c r="E40" s="1012">
        <f ca="1">tertiair!D20</f>
        <v>9137.2449156630737</v>
      </c>
      <c r="F40" s="1012">
        <f>tertiair!E20</f>
        <v>134.60078926146903</v>
      </c>
      <c r="G40" s="1012">
        <f ca="1">tertiair!F20</f>
        <v>2138.4927949884504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19125.759037489377</v>
      </c>
    </row>
    <row r="41" spans="1:18">
      <c r="A41" s="822" t="s">
        <v>225</v>
      </c>
      <c r="B41" s="829"/>
      <c r="C41" s="1012">
        <f ca="1">huishoudens!B12</f>
        <v>7679.5316073540798</v>
      </c>
      <c r="D41" s="1012">
        <f ca="1">huishoudens!C12</f>
        <v>0</v>
      </c>
      <c r="E41" s="1012">
        <f>huishoudens!D12</f>
        <v>19887.48207192032</v>
      </c>
      <c r="F41" s="1012">
        <f>huishoudens!E12</f>
        <v>1466.8617257799126</v>
      </c>
      <c r="G41" s="1012">
        <f>huishoudens!F12</f>
        <v>3418.0108759673403</v>
      </c>
      <c r="H41" s="1012">
        <f>huishoudens!G12</f>
        <v>0</v>
      </c>
      <c r="I41" s="1012">
        <f>huishoudens!H12</f>
        <v>0</v>
      </c>
      <c r="J41" s="1012">
        <f>huishoudens!I12</f>
        <v>0</v>
      </c>
      <c r="K41" s="1012">
        <f>huishoudens!J12</f>
        <v>1480.4151761151509</v>
      </c>
      <c r="L41" s="1012">
        <f>huishoudens!K12</f>
        <v>0</v>
      </c>
      <c r="M41" s="1012">
        <f>huishoudens!L12</f>
        <v>0</v>
      </c>
      <c r="N41" s="1012">
        <f>huishoudens!M12</f>
        <v>0</v>
      </c>
      <c r="O41" s="1012">
        <f>huishoudens!N12</f>
        <v>0</v>
      </c>
      <c r="P41" s="1012">
        <f>huishoudens!O12</f>
        <v>0</v>
      </c>
      <c r="Q41" s="774">
        <f>huishoudens!P12</f>
        <v>0</v>
      </c>
      <c r="R41" s="850">
        <f t="shared" ca="1" si="4"/>
        <v>33932.301457136804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12308.113979515327</v>
      </c>
      <c r="D43" s="1012">
        <f ca="1">industrie!C22</f>
        <v>0</v>
      </c>
      <c r="E43" s="1012">
        <f>industrie!D22</f>
        <v>18282.763819150918</v>
      </c>
      <c r="F43" s="1012">
        <f>industrie!E22</f>
        <v>488.63690654237439</v>
      </c>
      <c r="G43" s="1012">
        <f>industrie!F22</f>
        <v>2549.8995572853801</v>
      </c>
      <c r="H43" s="1012">
        <f>industrie!G22</f>
        <v>0</v>
      </c>
      <c r="I43" s="1012">
        <f>industrie!H22</f>
        <v>0</v>
      </c>
      <c r="J43" s="1012">
        <f>industrie!I22</f>
        <v>0</v>
      </c>
      <c r="K43" s="1012">
        <f>industrie!J22</f>
        <v>57.132730910545718</v>
      </c>
      <c r="L43" s="1012">
        <f>industrie!K22</f>
        <v>0</v>
      </c>
      <c r="M43" s="1012">
        <f>industrie!L22</f>
        <v>0</v>
      </c>
      <c r="N43" s="1012">
        <f>industrie!M22</f>
        <v>0</v>
      </c>
      <c r="O43" s="1012">
        <f>industrie!N22</f>
        <v>0</v>
      </c>
      <c r="P43" s="1012">
        <f>industrie!O22</f>
        <v>0</v>
      </c>
      <c r="Q43" s="774">
        <f>industrie!P22</f>
        <v>0</v>
      </c>
      <c r="R43" s="849">
        <f t="shared" ca="1" si="4"/>
        <v>33686.546993404547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27480.992433194042</v>
      </c>
      <c r="D46" s="732">
        <f t="shared" ref="D46:Q46" ca="1" si="5">SUM(D39:D45)</f>
        <v>222.073691251745</v>
      </c>
      <c r="E46" s="732">
        <f t="shared" ca="1" si="5"/>
        <v>47307.490806734313</v>
      </c>
      <c r="F46" s="732">
        <f t="shared" si="5"/>
        <v>2090.0994215837563</v>
      </c>
      <c r="G46" s="732">
        <f t="shared" ca="1" si="5"/>
        <v>8106.4032282411708</v>
      </c>
      <c r="H46" s="732">
        <f t="shared" si="5"/>
        <v>0</v>
      </c>
      <c r="I46" s="732">
        <f t="shared" si="5"/>
        <v>0</v>
      </c>
      <c r="J46" s="732">
        <f t="shared" si="5"/>
        <v>0</v>
      </c>
      <c r="K46" s="732">
        <f t="shared" si="5"/>
        <v>1537.5479070256965</v>
      </c>
      <c r="L46" s="732">
        <f t="shared" si="5"/>
        <v>0</v>
      </c>
      <c r="M46" s="732">
        <f t="shared" ca="1" si="5"/>
        <v>0</v>
      </c>
      <c r="N46" s="732">
        <f t="shared" si="5"/>
        <v>0</v>
      </c>
      <c r="O46" s="732">
        <f t="shared" ca="1" si="5"/>
        <v>0</v>
      </c>
      <c r="P46" s="732">
        <f t="shared" si="5"/>
        <v>0</v>
      </c>
      <c r="Q46" s="732">
        <f t="shared" si="5"/>
        <v>0</v>
      </c>
      <c r="R46" s="732">
        <f ca="1">SUM(R39:R45)</f>
        <v>86744.607488030728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201.95258149371406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201.95258149371406</v>
      </c>
    </row>
    <row r="50" spans="1:18">
      <c r="A50" s="825" t="s">
        <v>307</v>
      </c>
      <c r="B50" s="835"/>
      <c r="C50" s="703">
        <f ca="1">transport!B18</f>
        <v>3.8126088625074468</v>
      </c>
      <c r="D50" s="703">
        <f>transport!C18</f>
        <v>0</v>
      </c>
      <c r="E50" s="703">
        <f>transport!D18</f>
        <v>8.6302278177322549</v>
      </c>
      <c r="F50" s="703">
        <f>transport!E18</f>
        <v>37.151734344525714</v>
      </c>
      <c r="G50" s="703">
        <f>transport!F18</f>
        <v>0</v>
      </c>
      <c r="H50" s="703">
        <f>transport!G18</f>
        <v>26117.893786870722</v>
      </c>
      <c r="I50" s="703">
        <f>transport!H18</f>
        <v>2853.964702459964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29021.453060355452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3.8126088625074468</v>
      </c>
      <c r="D52" s="732">
        <f t="shared" ref="D52:Q52" ca="1" si="6">SUM(D48:D51)</f>
        <v>0</v>
      </c>
      <c r="E52" s="732">
        <f t="shared" si="6"/>
        <v>8.6302278177322549</v>
      </c>
      <c r="F52" s="732">
        <f t="shared" si="6"/>
        <v>37.151734344525714</v>
      </c>
      <c r="G52" s="732">
        <f t="shared" si="6"/>
        <v>0</v>
      </c>
      <c r="H52" s="732">
        <f t="shared" si="6"/>
        <v>26319.846368364437</v>
      </c>
      <c r="I52" s="732">
        <f t="shared" si="6"/>
        <v>2853.964702459964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29223.405641849167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83.181845369984558</v>
      </c>
      <c r="D54" s="703">
        <f ca="1">+landbouw!C12</f>
        <v>0</v>
      </c>
      <c r="E54" s="703">
        <f>+landbouw!D12</f>
        <v>15.504366991312805</v>
      </c>
      <c r="F54" s="703">
        <f>+landbouw!E12</f>
        <v>2.3232903304883021</v>
      </c>
      <c r="G54" s="703">
        <f>+landbouw!F12</f>
        <v>387.35772172692754</v>
      </c>
      <c r="H54" s="703">
        <f>+landbouw!G12</f>
        <v>0</v>
      </c>
      <c r="I54" s="703">
        <f>+landbouw!H12</f>
        <v>0</v>
      </c>
      <c r="J54" s="703">
        <f>+landbouw!I12</f>
        <v>0</v>
      </c>
      <c r="K54" s="703">
        <f>+landbouw!J12</f>
        <v>20.227664464638828</v>
      </c>
      <c r="L54" s="703">
        <f>+landbouw!K12</f>
        <v>0</v>
      </c>
      <c r="M54" s="703">
        <f>+landbouw!L12</f>
        <v>0</v>
      </c>
      <c r="N54" s="703">
        <f>+landbouw!M12</f>
        <v>0</v>
      </c>
      <c r="O54" s="703">
        <f>+landbouw!N12</f>
        <v>0</v>
      </c>
      <c r="P54" s="703">
        <f>+landbouw!O12</f>
        <v>0</v>
      </c>
      <c r="Q54" s="704">
        <f>+landbouw!P12</f>
        <v>0</v>
      </c>
      <c r="R54" s="731">
        <f ca="1">SUM(C54:Q54)</f>
        <v>508.59488888335204</v>
      </c>
    </row>
    <row r="55" spans="1:18" ht="15" thickBot="1">
      <c r="A55" s="825" t="s">
        <v>848</v>
      </c>
      <c r="B55" s="835"/>
      <c r="C55" s="703">
        <f ca="1">C25*'EF ele_warmte'!B12</f>
        <v>377.77221399232116</v>
      </c>
      <c r="D55" s="703"/>
      <c r="E55" s="703">
        <f>E25*EF_CO2_aardgas</f>
        <v>1319.9374636388002</v>
      </c>
      <c r="F55" s="703"/>
      <c r="G55" s="703"/>
      <c r="H55" s="703"/>
      <c r="I55" s="703"/>
      <c r="J55" s="703"/>
      <c r="K55" s="703"/>
      <c r="L55" s="703"/>
      <c r="M55" s="703"/>
      <c r="N55" s="703"/>
      <c r="O55" s="703"/>
      <c r="P55" s="703"/>
      <c r="Q55" s="704"/>
      <c r="R55" s="731">
        <f ca="1">SUM(C55:Q55)</f>
        <v>1697.7096776311214</v>
      </c>
    </row>
    <row r="56" spans="1:18" ht="15.75" thickBot="1">
      <c r="A56" s="823" t="s">
        <v>849</v>
      </c>
      <c r="B56" s="836"/>
      <c r="C56" s="732">
        <f ca="1">SUM(C54:C55)</f>
        <v>460.95405936230571</v>
      </c>
      <c r="D56" s="732">
        <f t="shared" ref="D56:Q56" ca="1" si="7">SUM(D54:D55)</f>
        <v>0</v>
      </c>
      <c r="E56" s="732">
        <f t="shared" si="7"/>
        <v>1335.4418306301129</v>
      </c>
      <c r="F56" s="732">
        <f t="shared" si="7"/>
        <v>2.3232903304883021</v>
      </c>
      <c r="G56" s="732">
        <f t="shared" si="7"/>
        <v>387.35772172692754</v>
      </c>
      <c r="H56" s="732">
        <f t="shared" si="7"/>
        <v>0</v>
      </c>
      <c r="I56" s="732">
        <f t="shared" si="7"/>
        <v>0</v>
      </c>
      <c r="J56" s="732">
        <f t="shared" si="7"/>
        <v>0</v>
      </c>
      <c r="K56" s="732">
        <f t="shared" si="7"/>
        <v>20.227664464638828</v>
      </c>
      <c r="L56" s="732">
        <f t="shared" si="7"/>
        <v>0</v>
      </c>
      <c r="M56" s="732">
        <f t="shared" si="7"/>
        <v>0</v>
      </c>
      <c r="N56" s="732">
        <f t="shared" si="7"/>
        <v>0</v>
      </c>
      <c r="O56" s="732">
        <f t="shared" si="7"/>
        <v>0</v>
      </c>
      <c r="P56" s="732">
        <f t="shared" si="7"/>
        <v>0</v>
      </c>
      <c r="Q56" s="733">
        <f t="shared" si="7"/>
        <v>0</v>
      </c>
      <c r="R56" s="734">
        <f ca="1">SUM(R54:R55)</f>
        <v>2206.3045665144737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27945.759101418855</v>
      </c>
      <c r="D61" s="740">
        <f t="shared" ref="D61:Q61" ca="1" si="8">D46+D52+D56</f>
        <v>222.073691251745</v>
      </c>
      <c r="E61" s="740">
        <f t="shared" ca="1" si="8"/>
        <v>48651.562865182161</v>
      </c>
      <c r="F61" s="740">
        <f t="shared" si="8"/>
        <v>2129.5744462587704</v>
      </c>
      <c r="G61" s="740">
        <f t="shared" ca="1" si="8"/>
        <v>8493.7609499680984</v>
      </c>
      <c r="H61" s="740">
        <f t="shared" si="8"/>
        <v>26319.846368364437</v>
      </c>
      <c r="I61" s="740">
        <f t="shared" si="8"/>
        <v>2853.964702459964</v>
      </c>
      <c r="J61" s="740">
        <f t="shared" si="8"/>
        <v>0</v>
      </c>
      <c r="K61" s="740">
        <f t="shared" si="8"/>
        <v>1557.7755714903353</v>
      </c>
      <c r="L61" s="740">
        <f t="shared" si="8"/>
        <v>0</v>
      </c>
      <c r="M61" s="740">
        <f t="shared" ca="1" si="8"/>
        <v>0</v>
      </c>
      <c r="N61" s="740">
        <f t="shared" si="8"/>
        <v>0</v>
      </c>
      <c r="O61" s="740">
        <f t="shared" ca="1" si="8"/>
        <v>0</v>
      </c>
      <c r="P61" s="740">
        <f t="shared" si="8"/>
        <v>0</v>
      </c>
      <c r="Q61" s="740">
        <f t="shared" si="8"/>
        <v>0</v>
      </c>
      <c r="R61" s="740">
        <f ca="1">R46+R52+R56</f>
        <v>118174.31769639437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0.20957409706671232</v>
      </c>
      <c r="D63" s="781">
        <f t="shared" ca="1" si="9"/>
        <v>0.23742128121606954</v>
      </c>
      <c r="E63" s="1023">
        <f t="shared" ca="1" si="9"/>
        <v>0.20200000000000001</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6941.8987989431389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643.49999999999989</v>
      </c>
      <c r="D76" s="1033">
        <f>'lokale energieproductie'!C8</f>
        <v>756.3395765472311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152.78059446254071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6941.8987989431389</v>
      </c>
      <c r="C78" s="755">
        <f>SUM(C72:C77)</f>
        <v>643.49999999999989</v>
      </c>
      <c r="D78" s="756">
        <f t="shared" ref="D78:H78" si="10">SUM(D76:D77)</f>
        <v>756.3395765472311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152.78059446254071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935.35714285714266</v>
      </c>
      <c r="D87" s="777">
        <f>'lokale energieproductie'!C17</f>
        <v>1099.3747091670543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222.073691251745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935.35714285714266</v>
      </c>
      <c r="D90" s="755">
        <f t="shared" ref="D90:H90" si="12">SUM(D87:D89)</f>
        <v>1099.3747091670543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222.073691251745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6941.8987989431389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643.49999999999989</v>
      </c>
      <c r="C8" s="570">
        <f>B101</f>
        <v>756.3395765472311</v>
      </c>
      <c r="D8" s="1043"/>
      <c r="E8" s="1043">
        <f>E101</f>
        <v>0</v>
      </c>
      <c r="F8" s="1044"/>
      <c r="G8" s="571"/>
      <c r="H8" s="1043">
        <f>I101</f>
        <v>0</v>
      </c>
      <c r="I8" s="1043">
        <f>G101+F101</f>
        <v>0</v>
      </c>
      <c r="J8" s="1043">
        <f>H101+D101+C101</f>
        <v>0</v>
      </c>
      <c r="K8" s="1043"/>
      <c r="L8" s="1043"/>
      <c r="M8" s="1043"/>
      <c r="N8" s="572"/>
      <c r="O8" s="573">
        <f>C8*$C$12+D8*$D$12+E8*$E$12+F8*$F$12+G8*$G$12+H8*$H$12+I8*$I$12+J8*$J$12</f>
        <v>152.78059446254071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7585.3987989431389</v>
      </c>
      <c r="C10" s="583">
        <f t="shared" ref="C10:L10" si="0">SUM(C8:C9)</f>
        <v>756.3395765472311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152.78059446254071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935.35714285714266</v>
      </c>
      <c r="C17" s="595">
        <f>B102</f>
        <v>1099.3747091670543</v>
      </c>
      <c r="D17" s="596"/>
      <c r="E17" s="596">
        <f>E102</f>
        <v>0</v>
      </c>
      <c r="F17" s="1049"/>
      <c r="G17" s="597"/>
      <c r="H17" s="595">
        <f>I102</f>
        <v>0</v>
      </c>
      <c r="I17" s="596">
        <f>G102+F102</f>
        <v>0</v>
      </c>
      <c r="J17" s="596">
        <f>H102+D102+C102</f>
        <v>0</v>
      </c>
      <c r="K17" s="596"/>
      <c r="L17" s="596"/>
      <c r="M17" s="596"/>
      <c r="N17" s="1050"/>
      <c r="O17" s="598">
        <f>C17*$C$22+E17*$E$22+H17*$H$22+I17*$I$22+J17*$J$22+D17*$D$22+F17*$F$22+G17*$G$22+K17*$K$22+L17*$L$22</f>
        <v>222.073691251745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935.35714285714266</v>
      </c>
      <c r="C20" s="582">
        <f>SUM(C17:C19)</f>
        <v>1099.3747091670543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222.073691251745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45041</v>
      </c>
      <c r="C28" s="796">
        <v>9600</v>
      </c>
      <c r="D28" s="653" t="s">
        <v>890</v>
      </c>
      <c r="E28" s="652" t="s">
        <v>891</v>
      </c>
      <c r="F28" s="652" t="s">
        <v>892</v>
      </c>
      <c r="G28" s="652" t="s">
        <v>893</v>
      </c>
      <c r="H28" s="652" t="s">
        <v>893</v>
      </c>
      <c r="I28" s="652" t="s">
        <v>894</v>
      </c>
      <c r="J28" s="795">
        <v>41031</v>
      </c>
      <c r="K28" s="795">
        <v>41091</v>
      </c>
      <c r="L28" s="652" t="s">
        <v>895</v>
      </c>
      <c r="M28" s="652">
        <v>1</v>
      </c>
      <c r="N28" s="652">
        <v>4.5</v>
      </c>
      <c r="O28" s="652">
        <v>22.5</v>
      </c>
      <c r="P28" s="652">
        <v>30</v>
      </c>
      <c r="Q28" s="652">
        <v>0</v>
      </c>
      <c r="R28" s="652">
        <v>0</v>
      </c>
      <c r="S28" s="652">
        <v>0</v>
      </c>
      <c r="T28" s="652">
        <v>0</v>
      </c>
      <c r="U28" s="652">
        <v>0</v>
      </c>
      <c r="V28" s="652">
        <v>0</v>
      </c>
      <c r="W28" s="652">
        <v>0</v>
      </c>
      <c r="X28" s="652">
        <v>1300</v>
      </c>
      <c r="Y28" s="652" t="s">
        <v>54</v>
      </c>
      <c r="Z28" s="654" t="s">
        <v>156</v>
      </c>
    </row>
    <row r="29" spans="1:26" s="606" customFormat="1" ht="51">
      <c r="A29" s="605"/>
      <c r="B29" s="796">
        <v>45041</v>
      </c>
      <c r="C29" s="796">
        <v>9600</v>
      </c>
      <c r="D29" s="653" t="s">
        <v>896</v>
      </c>
      <c r="E29" s="652" t="s">
        <v>897</v>
      </c>
      <c r="F29" s="652" t="s">
        <v>898</v>
      </c>
      <c r="G29" s="652" t="s">
        <v>899</v>
      </c>
      <c r="H29" s="652" t="s">
        <v>900</v>
      </c>
      <c r="I29" s="652" t="s">
        <v>901</v>
      </c>
      <c r="J29" s="795">
        <v>41151</v>
      </c>
      <c r="K29" s="795">
        <v>41585</v>
      </c>
      <c r="L29" s="652" t="s">
        <v>895</v>
      </c>
      <c r="M29" s="652">
        <v>142</v>
      </c>
      <c r="N29" s="652">
        <v>638.99999999999989</v>
      </c>
      <c r="O29" s="652">
        <v>912.85714285714266</v>
      </c>
      <c r="P29" s="652">
        <v>1825.7142857142856</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143</v>
      </c>
      <c r="N58" s="610">
        <f>SUM(N28:N57)</f>
        <v>643.49999999999989</v>
      </c>
      <c r="O58" s="610">
        <f t="shared" ref="O58:W58" si="2">SUM(O28:O57)</f>
        <v>935.35714285714266</v>
      </c>
      <c r="P58" s="610">
        <f t="shared" si="2"/>
        <v>1855.7142857142856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143</v>
      </c>
      <c r="N60" s="610">
        <f ca="1">SUMIF($Z$28:AD57,"tertiair",N28:N57)</f>
        <v>643.49999999999989</v>
      </c>
      <c r="O60" s="610">
        <f ca="1">SUMIF($Z$28:AE57,"tertiair",O28:O57)</f>
        <v>935.35714285714266</v>
      </c>
      <c r="P60" s="610">
        <f ca="1">SUMIF($Z$28:AF57,"tertiair",P28:P57)</f>
        <v>1855.7142857142856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0.59242671009771986</v>
      </c>
      <c r="C98" s="635">
        <f>IF(ISERROR(N58/(O58+N58)),0,N58/(N58+O58))</f>
        <v>0.40757328990228009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756.3395765472311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1099.3747091670543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36643.515180740607</v>
      </c>
      <c r="C4" s="477">
        <f>huishoudens!C8</f>
        <v>0</v>
      </c>
      <c r="D4" s="477">
        <f>huishoudens!D8</f>
        <v>98452.881544160002</v>
      </c>
      <c r="E4" s="477">
        <f>huishoudens!E8</f>
        <v>6461.9459285458706</v>
      </c>
      <c r="F4" s="477">
        <f>huishoudens!F8</f>
        <v>12801.5388613009</v>
      </c>
      <c r="G4" s="477">
        <f>huishoudens!G8</f>
        <v>0</v>
      </c>
      <c r="H4" s="477">
        <f>huishoudens!H8</f>
        <v>0</v>
      </c>
      <c r="I4" s="477">
        <f>huishoudens!I8</f>
        <v>0</v>
      </c>
      <c r="J4" s="477">
        <f>huishoudens!J8</f>
        <v>4181.9637743365847</v>
      </c>
      <c r="K4" s="477">
        <f>huishoudens!K8</f>
        <v>0</v>
      </c>
      <c r="L4" s="477">
        <f>huishoudens!L8</f>
        <v>0</v>
      </c>
      <c r="M4" s="477">
        <f>huishoudens!M8</f>
        <v>0</v>
      </c>
      <c r="N4" s="477">
        <f>huishoudens!N8</f>
        <v>23023.860621505359</v>
      </c>
      <c r="O4" s="477">
        <f>huishoudens!O8</f>
        <v>146.95333333333335</v>
      </c>
      <c r="P4" s="478">
        <f>huishoudens!P8</f>
        <v>457.6</v>
      </c>
      <c r="Q4" s="479">
        <f>SUM(B4:P4)</f>
        <v>182170.25924392269</v>
      </c>
    </row>
    <row r="5" spans="1:17">
      <c r="A5" s="476" t="s">
        <v>156</v>
      </c>
      <c r="B5" s="477">
        <f ca="1">tertiair!B16</f>
        <v>33939.060316770003</v>
      </c>
      <c r="C5" s="477">
        <f ca="1">tertiair!C16</f>
        <v>935.35714285714266</v>
      </c>
      <c r="D5" s="477">
        <f ca="1">tertiair!D16</f>
        <v>45233.885721104321</v>
      </c>
      <c r="E5" s="477">
        <f>tertiair!E16</f>
        <v>592.95501877299137</v>
      </c>
      <c r="F5" s="477">
        <f ca="1">tertiair!F16</f>
        <v>8009.3363108181657</v>
      </c>
      <c r="G5" s="477">
        <f>tertiair!G16</f>
        <v>0</v>
      </c>
      <c r="H5" s="477">
        <f>tertiair!H16</f>
        <v>0</v>
      </c>
      <c r="I5" s="477">
        <f>tertiair!I16</f>
        <v>0</v>
      </c>
      <c r="J5" s="477">
        <f>tertiair!J16</f>
        <v>0</v>
      </c>
      <c r="K5" s="477">
        <f>tertiair!K16</f>
        <v>0</v>
      </c>
      <c r="L5" s="477">
        <f ca="1">tertiair!L16</f>
        <v>0</v>
      </c>
      <c r="M5" s="477">
        <f>tertiair!M16</f>
        <v>0</v>
      </c>
      <c r="N5" s="477">
        <f ca="1">tertiair!N16</f>
        <v>2436.4598206118044</v>
      </c>
      <c r="O5" s="477">
        <f>tertiair!O16</f>
        <v>0</v>
      </c>
      <c r="P5" s="478">
        <f>tertiair!P16</f>
        <v>0</v>
      </c>
      <c r="Q5" s="476">
        <f t="shared" ref="Q5:Q14" ca="1" si="0">SUM(B5:P5)</f>
        <v>91147.054330934436</v>
      </c>
    </row>
    <row r="6" spans="1:17">
      <c r="A6" s="476" t="s">
        <v>194</v>
      </c>
      <c r="B6" s="477">
        <f>'openbare verlichting'!B8</f>
        <v>1816.059</v>
      </c>
      <c r="C6" s="477"/>
      <c r="D6" s="477"/>
      <c r="E6" s="477"/>
      <c r="F6" s="477"/>
      <c r="G6" s="477"/>
      <c r="H6" s="477"/>
      <c r="I6" s="477"/>
      <c r="J6" s="477"/>
      <c r="K6" s="477"/>
      <c r="L6" s="477"/>
      <c r="M6" s="477"/>
      <c r="N6" s="477"/>
      <c r="O6" s="477"/>
      <c r="P6" s="478"/>
      <c r="Q6" s="476">
        <f t="shared" si="0"/>
        <v>1816.059</v>
      </c>
    </row>
    <row r="7" spans="1:17">
      <c r="A7" s="476" t="s">
        <v>112</v>
      </c>
      <c r="B7" s="477">
        <f>landbouw!B8</f>
        <v>396.90900036899995</v>
      </c>
      <c r="C7" s="477">
        <f>landbouw!C8</f>
        <v>0</v>
      </c>
      <c r="D7" s="477">
        <f>landbouw!D8</f>
        <v>76.754292036202003</v>
      </c>
      <c r="E7" s="477">
        <f>landbouw!E8</f>
        <v>10.234759165146706</v>
      </c>
      <c r="F7" s="477">
        <f>landbouw!F8</f>
        <v>1450.7779839959833</v>
      </c>
      <c r="G7" s="477">
        <f>landbouw!G8</f>
        <v>0</v>
      </c>
      <c r="H7" s="477">
        <f>landbouw!H8</f>
        <v>0</v>
      </c>
      <c r="I7" s="477">
        <f>landbouw!I8</f>
        <v>0</v>
      </c>
      <c r="J7" s="477">
        <f>landbouw!J8</f>
        <v>57.140295097849794</v>
      </c>
      <c r="K7" s="477">
        <f>landbouw!K8</f>
        <v>0</v>
      </c>
      <c r="L7" s="477">
        <f>landbouw!L8</f>
        <v>0</v>
      </c>
      <c r="M7" s="477">
        <f>landbouw!M8</f>
        <v>0</v>
      </c>
      <c r="N7" s="477">
        <f>landbouw!N8</f>
        <v>0</v>
      </c>
      <c r="O7" s="477">
        <f>landbouw!O8</f>
        <v>0</v>
      </c>
      <c r="P7" s="478">
        <f>landbouw!P8</f>
        <v>0</v>
      </c>
      <c r="Q7" s="476">
        <f t="shared" si="0"/>
        <v>1991.8163306641816</v>
      </c>
    </row>
    <row r="8" spans="1:17">
      <c r="A8" s="476" t="s">
        <v>638</v>
      </c>
      <c r="B8" s="477">
        <f>industrie!B18</f>
        <v>58729.175751129995</v>
      </c>
      <c r="C8" s="477">
        <f>industrie!C18</f>
        <v>0</v>
      </c>
      <c r="D8" s="477">
        <f>industrie!D18</f>
        <v>90508.731777974841</v>
      </c>
      <c r="E8" s="477">
        <f>industrie!E18</f>
        <v>2152.5854913760986</v>
      </c>
      <c r="F8" s="477">
        <f>industrie!F18</f>
        <v>9550.185607810412</v>
      </c>
      <c r="G8" s="477">
        <f>industrie!G18</f>
        <v>0</v>
      </c>
      <c r="H8" s="477">
        <f>industrie!H18</f>
        <v>0</v>
      </c>
      <c r="I8" s="477">
        <f>industrie!I18</f>
        <v>0</v>
      </c>
      <c r="J8" s="477">
        <f>industrie!J18</f>
        <v>161.39189522753028</v>
      </c>
      <c r="K8" s="477">
        <f>industrie!K18</f>
        <v>0</v>
      </c>
      <c r="L8" s="477">
        <f>industrie!L18</f>
        <v>0</v>
      </c>
      <c r="M8" s="477">
        <f>industrie!M18</f>
        <v>0</v>
      </c>
      <c r="N8" s="477">
        <f>industrie!N18</f>
        <v>5435.7403630083209</v>
      </c>
      <c r="O8" s="477">
        <f>industrie!O18</f>
        <v>0</v>
      </c>
      <c r="P8" s="478">
        <f>industrie!P18</f>
        <v>0</v>
      </c>
      <c r="Q8" s="476">
        <f t="shared" si="0"/>
        <v>166537.81088652721</v>
      </c>
    </row>
    <row r="9" spans="1:17" s="482" customFormat="1">
      <c r="A9" s="480" t="s">
        <v>564</v>
      </c>
      <c r="B9" s="481">
        <f>transport!B14</f>
        <v>18.192176017314793</v>
      </c>
      <c r="C9" s="481">
        <f>transport!C14</f>
        <v>0</v>
      </c>
      <c r="D9" s="481">
        <f>transport!D14</f>
        <v>42.723900087783434</v>
      </c>
      <c r="E9" s="481">
        <f>transport!E14</f>
        <v>163.66402794945247</v>
      </c>
      <c r="F9" s="481">
        <f>transport!F14</f>
        <v>0</v>
      </c>
      <c r="G9" s="481">
        <f>transport!G14</f>
        <v>97819.8269171188</v>
      </c>
      <c r="H9" s="481">
        <f>transport!H14</f>
        <v>11461.705632369334</v>
      </c>
      <c r="I9" s="481">
        <f>transport!I14</f>
        <v>0</v>
      </c>
      <c r="J9" s="481">
        <f>transport!J14</f>
        <v>0</v>
      </c>
      <c r="K9" s="481">
        <f>transport!K14</f>
        <v>0</v>
      </c>
      <c r="L9" s="481">
        <f>transport!L14</f>
        <v>0</v>
      </c>
      <c r="M9" s="481">
        <f>transport!M14</f>
        <v>3424.9788132310687</v>
      </c>
      <c r="N9" s="481">
        <f>transport!N14</f>
        <v>0</v>
      </c>
      <c r="O9" s="481">
        <f>transport!O14</f>
        <v>0</v>
      </c>
      <c r="P9" s="481">
        <f>transport!P14</f>
        <v>0</v>
      </c>
      <c r="Q9" s="480">
        <f>SUM(B9:P9)</f>
        <v>112931.09146677375</v>
      </c>
    </row>
    <row r="10" spans="1:17">
      <c r="A10" s="476" t="s">
        <v>554</v>
      </c>
      <c r="B10" s="477">
        <f>transport!B54</f>
        <v>0</v>
      </c>
      <c r="C10" s="477">
        <f>transport!C54</f>
        <v>0</v>
      </c>
      <c r="D10" s="477">
        <f>transport!D54</f>
        <v>0</v>
      </c>
      <c r="E10" s="477">
        <f>transport!E54</f>
        <v>0</v>
      </c>
      <c r="F10" s="477">
        <f>transport!F54</f>
        <v>0</v>
      </c>
      <c r="G10" s="477">
        <f>transport!G54</f>
        <v>756.37670971428486</v>
      </c>
      <c r="H10" s="477">
        <f>transport!H54</f>
        <v>0</v>
      </c>
      <c r="I10" s="477">
        <f>transport!I54</f>
        <v>0</v>
      </c>
      <c r="J10" s="477">
        <f>transport!J54</f>
        <v>0</v>
      </c>
      <c r="K10" s="477">
        <f>transport!K54</f>
        <v>0</v>
      </c>
      <c r="L10" s="477">
        <f>transport!L54</f>
        <v>0</v>
      </c>
      <c r="M10" s="477">
        <f>transport!M54</f>
        <v>23.461113382910266</v>
      </c>
      <c r="N10" s="477">
        <f>transport!N54</f>
        <v>0</v>
      </c>
      <c r="O10" s="477">
        <f>transport!O54</f>
        <v>0</v>
      </c>
      <c r="P10" s="478">
        <f>transport!P54</f>
        <v>0</v>
      </c>
      <c r="Q10" s="476">
        <f t="shared" si="0"/>
        <v>779.83782309719516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1802.5711157999999</v>
      </c>
      <c r="C14" s="484"/>
      <c r="D14" s="484">
        <f>'SEAP template'!E25</f>
        <v>6534.3438794000003</v>
      </c>
      <c r="E14" s="484"/>
      <c r="F14" s="484"/>
      <c r="G14" s="484"/>
      <c r="H14" s="484"/>
      <c r="I14" s="484"/>
      <c r="J14" s="484"/>
      <c r="K14" s="484"/>
      <c r="L14" s="484"/>
      <c r="M14" s="484"/>
      <c r="N14" s="484"/>
      <c r="O14" s="484"/>
      <c r="P14" s="485"/>
      <c r="Q14" s="476">
        <f t="shared" si="0"/>
        <v>8336.9149952000007</v>
      </c>
    </row>
    <row r="15" spans="1:17" s="486" customFormat="1">
      <c r="A15" s="1038" t="s">
        <v>558</v>
      </c>
      <c r="B15" s="978">
        <f ca="1">SUM(B4:B14)</f>
        <v>133345.48254082695</v>
      </c>
      <c r="C15" s="978">
        <f t="shared" ref="C15:Q15" ca="1" si="1">SUM(C4:C14)</f>
        <v>935.35714285714266</v>
      </c>
      <c r="D15" s="978">
        <f t="shared" ca="1" si="1"/>
        <v>240849.32111476315</v>
      </c>
      <c r="E15" s="978">
        <f t="shared" si="1"/>
        <v>9381.3852258095612</v>
      </c>
      <c r="F15" s="978">
        <f t="shared" ca="1" si="1"/>
        <v>31811.838763925458</v>
      </c>
      <c r="G15" s="978">
        <f t="shared" si="1"/>
        <v>98576.203626833085</v>
      </c>
      <c r="H15" s="978">
        <f t="shared" si="1"/>
        <v>11461.705632369334</v>
      </c>
      <c r="I15" s="978">
        <f t="shared" si="1"/>
        <v>0</v>
      </c>
      <c r="J15" s="978">
        <f t="shared" si="1"/>
        <v>4400.4959646619645</v>
      </c>
      <c r="K15" s="978">
        <f t="shared" si="1"/>
        <v>0</v>
      </c>
      <c r="L15" s="978">
        <f t="shared" ca="1" si="1"/>
        <v>0</v>
      </c>
      <c r="M15" s="978">
        <f t="shared" si="1"/>
        <v>3448.439926613979</v>
      </c>
      <c r="N15" s="978">
        <f t="shared" ca="1" si="1"/>
        <v>30896.060805125482</v>
      </c>
      <c r="O15" s="978">
        <f t="shared" si="1"/>
        <v>146.95333333333335</v>
      </c>
      <c r="P15" s="978">
        <f t="shared" si="1"/>
        <v>457.6</v>
      </c>
      <c r="Q15" s="978">
        <f t="shared" ca="1" si="1"/>
        <v>565710.8440771196</v>
      </c>
    </row>
    <row r="17" spans="1:17">
      <c r="A17" s="487" t="s">
        <v>559</v>
      </c>
      <c r="B17" s="786">
        <f ca="1">huishoudens!B10</f>
        <v>0.20957409706671234</v>
      </c>
      <c r="C17" s="786">
        <f ca="1">huishoudens!C10</f>
        <v>0.23742128121606954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7679.5316073540798</v>
      </c>
      <c r="C22" s="477">
        <f t="shared" ref="C22:C32" ca="1" si="3">C4*$C$17</f>
        <v>0</v>
      </c>
      <c r="D22" s="477">
        <f t="shared" ref="D22:D32" si="4">D4*$D$17</f>
        <v>19887.48207192032</v>
      </c>
      <c r="E22" s="477">
        <f t="shared" ref="E22:E32" si="5">E4*$E$17</f>
        <v>1466.8617257799126</v>
      </c>
      <c r="F22" s="477">
        <f t="shared" ref="F22:F32" si="6">F4*$F$17</f>
        <v>3418.0108759673403</v>
      </c>
      <c r="G22" s="477">
        <f t="shared" ref="G22:G32" si="7">G4*$G$17</f>
        <v>0</v>
      </c>
      <c r="H22" s="477">
        <f t="shared" ref="H22:H32" si="8">H4*$H$17</f>
        <v>0</v>
      </c>
      <c r="I22" s="477">
        <f t="shared" ref="I22:I32" si="9">I4*$I$17</f>
        <v>0</v>
      </c>
      <c r="J22" s="477">
        <f t="shared" ref="J22:J32" si="10">J4*$J$17</f>
        <v>1480.4151761151509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33932.301457136804</v>
      </c>
    </row>
    <row r="23" spans="1:17">
      <c r="A23" s="476" t="s">
        <v>156</v>
      </c>
      <c r="B23" s="477">
        <f t="shared" ca="1" si="2"/>
        <v>7112.7479211797618</v>
      </c>
      <c r="C23" s="477">
        <f t="shared" ca="1" si="3"/>
        <v>222.073691251745</v>
      </c>
      <c r="D23" s="477">
        <f t="shared" ca="1" si="4"/>
        <v>9137.2449156630737</v>
      </c>
      <c r="E23" s="477">
        <f t="shared" si="5"/>
        <v>134.60078926146903</v>
      </c>
      <c r="F23" s="477">
        <f t="shared" ca="1" si="6"/>
        <v>2138.4927949884504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18745.1601123445</v>
      </c>
    </row>
    <row r="24" spans="1:17">
      <c r="A24" s="476" t="s">
        <v>194</v>
      </c>
      <c r="B24" s="477">
        <f t="shared" ca="1" si="2"/>
        <v>380.59892514487655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380.59892514487655</v>
      </c>
    </row>
    <row r="25" spans="1:17">
      <c r="A25" s="476" t="s">
        <v>112</v>
      </c>
      <c r="B25" s="477">
        <f t="shared" ca="1" si="2"/>
        <v>83.181845369984558</v>
      </c>
      <c r="C25" s="477">
        <f t="shared" ca="1" si="3"/>
        <v>0</v>
      </c>
      <c r="D25" s="477">
        <f t="shared" si="4"/>
        <v>15.504366991312805</v>
      </c>
      <c r="E25" s="477">
        <f t="shared" si="5"/>
        <v>2.3232903304883021</v>
      </c>
      <c r="F25" s="477">
        <f t="shared" si="6"/>
        <v>387.35772172692754</v>
      </c>
      <c r="G25" s="477">
        <f t="shared" si="7"/>
        <v>0</v>
      </c>
      <c r="H25" s="477">
        <f t="shared" si="8"/>
        <v>0</v>
      </c>
      <c r="I25" s="477">
        <f t="shared" si="9"/>
        <v>0</v>
      </c>
      <c r="J25" s="477">
        <f t="shared" si="10"/>
        <v>20.227664464638828</v>
      </c>
      <c r="K25" s="477">
        <f t="shared" si="11"/>
        <v>0</v>
      </c>
      <c r="L25" s="477">
        <f t="shared" si="12"/>
        <v>0</v>
      </c>
      <c r="M25" s="477">
        <f t="shared" si="13"/>
        <v>0</v>
      </c>
      <c r="N25" s="477">
        <f t="shared" si="14"/>
        <v>0</v>
      </c>
      <c r="O25" s="477">
        <f t="shared" si="15"/>
        <v>0</v>
      </c>
      <c r="P25" s="478">
        <f t="shared" si="16"/>
        <v>0</v>
      </c>
      <c r="Q25" s="476">
        <f t="shared" ca="1" si="17"/>
        <v>508.59488888335204</v>
      </c>
    </row>
    <row r="26" spans="1:17">
      <c r="A26" s="476" t="s">
        <v>638</v>
      </c>
      <c r="B26" s="477">
        <f t="shared" ca="1" si="2"/>
        <v>12308.113979515327</v>
      </c>
      <c r="C26" s="477">
        <f t="shared" ca="1" si="3"/>
        <v>0</v>
      </c>
      <c r="D26" s="477">
        <f t="shared" si="4"/>
        <v>18282.763819150918</v>
      </c>
      <c r="E26" s="477">
        <f t="shared" si="5"/>
        <v>488.63690654237439</v>
      </c>
      <c r="F26" s="477">
        <f t="shared" si="6"/>
        <v>2549.8995572853801</v>
      </c>
      <c r="G26" s="477">
        <f t="shared" si="7"/>
        <v>0</v>
      </c>
      <c r="H26" s="477">
        <f t="shared" si="8"/>
        <v>0</v>
      </c>
      <c r="I26" s="477">
        <f t="shared" si="9"/>
        <v>0</v>
      </c>
      <c r="J26" s="477">
        <f t="shared" si="10"/>
        <v>57.132730910545718</v>
      </c>
      <c r="K26" s="477">
        <f t="shared" si="11"/>
        <v>0</v>
      </c>
      <c r="L26" s="477">
        <f t="shared" si="12"/>
        <v>0</v>
      </c>
      <c r="M26" s="477">
        <f t="shared" si="13"/>
        <v>0</v>
      </c>
      <c r="N26" s="477">
        <f t="shared" si="14"/>
        <v>0</v>
      </c>
      <c r="O26" s="477">
        <f t="shared" si="15"/>
        <v>0</v>
      </c>
      <c r="P26" s="478">
        <f t="shared" si="16"/>
        <v>0</v>
      </c>
      <c r="Q26" s="476">
        <f t="shared" ca="1" si="17"/>
        <v>33686.546993404547</v>
      </c>
    </row>
    <row r="27" spans="1:17" s="482" customFormat="1">
      <c r="A27" s="480" t="s">
        <v>564</v>
      </c>
      <c r="B27" s="780">
        <f t="shared" ca="1" si="2"/>
        <v>3.8126088625074468</v>
      </c>
      <c r="C27" s="481">
        <f t="shared" ca="1" si="3"/>
        <v>0</v>
      </c>
      <c r="D27" s="481">
        <f t="shared" si="4"/>
        <v>8.6302278177322549</v>
      </c>
      <c r="E27" s="481">
        <f t="shared" si="5"/>
        <v>37.151734344525714</v>
      </c>
      <c r="F27" s="481">
        <f t="shared" si="6"/>
        <v>0</v>
      </c>
      <c r="G27" s="481">
        <f t="shared" si="7"/>
        <v>26117.893786870722</v>
      </c>
      <c r="H27" s="481">
        <f t="shared" si="8"/>
        <v>2853.964702459964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29021.453060355452</v>
      </c>
    </row>
    <row r="28" spans="1:17">
      <c r="A28" s="476" t="s">
        <v>554</v>
      </c>
      <c r="B28" s="477">
        <f t="shared" ca="1" si="2"/>
        <v>0</v>
      </c>
      <c r="C28" s="477">
        <f t="shared" ca="1" si="3"/>
        <v>0</v>
      </c>
      <c r="D28" s="477">
        <f t="shared" si="4"/>
        <v>0</v>
      </c>
      <c r="E28" s="477">
        <f t="shared" si="5"/>
        <v>0</v>
      </c>
      <c r="F28" s="477">
        <f t="shared" si="6"/>
        <v>0</v>
      </c>
      <c r="G28" s="477">
        <f t="shared" si="7"/>
        <v>201.95258149371406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201.95258149371406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377.77221399232116</v>
      </c>
      <c r="C32" s="477">
        <f t="shared" ca="1" si="3"/>
        <v>0</v>
      </c>
      <c r="D32" s="477">
        <f t="shared" si="4"/>
        <v>1319.9374636388002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1697.7096776311214</v>
      </c>
    </row>
    <row r="33" spans="1:17" s="486" customFormat="1">
      <c r="A33" s="1038" t="s">
        <v>558</v>
      </c>
      <c r="B33" s="978">
        <f ca="1">SUM(B22:B32)</f>
        <v>27945.759101418858</v>
      </c>
      <c r="C33" s="978">
        <f t="shared" ref="C33:Q33" ca="1" si="18">SUM(C22:C32)</f>
        <v>222.073691251745</v>
      </c>
      <c r="D33" s="978">
        <f t="shared" ca="1" si="18"/>
        <v>48651.562865182161</v>
      </c>
      <c r="E33" s="978">
        <f t="shared" si="18"/>
        <v>2129.57444625877</v>
      </c>
      <c r="F33" s="978">
        <f t="shared" ca="1" si="18"/>
        <v>8493.7609499680984</v>
      </c>
      <c r="G33" s="978">
        <f t="shared" si="18"/>
        <v>26319.846368364437</v>
      </c>
      <c r="H33" s="978">
        <f t="shared" si="18"/>
        <v>2853.964702459964</v>
      </c>
      <c r="I33" s="978">
        <f t="shared" si="18"/>
        <v>0</v>
      </c>
      <c r="J33" s="978">
        <f t="shared" si="18"/>
        <v>1557.7755714903353</v>
      </c>
      <c r="K33" s="978">
        <f t="shared" si="18"/>
        <v>0</v>
      </c>
      <c r="L33" s="978">
        <f t="shared" ca="1" si="18"/>
        <v>0</v>
      </c>
      <c r="M33" s="978">
        <f t="shared" si="18"/>
        <v>0</v>
      </c>
      <c r="N33" s="978">
        <f t="shared" ca="1" si="18"/>
        <v>0</v>
      </c>
      <c r="O33" s="978">
        <f t="shared" si="18"/>
        <v>0</v>
      </c>
      <c r="P33" s="978">
        <f t="shared" si="18"/>
        <v>0</v>
      </c>
      <c r="Q33" s="978">
        <f t="shared" ca="1" si="18"/>
        <v>118174.31769639437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6941.8987989431389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643.49999999999989</v>
      </c>
      <c r="D8" s="1055">
        <f>'SEAP template'!D76</f>
        <v>756.3395765472311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152.78059446254071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6941.8987989431389</v>
      </c>
      <c r="C10" s="1059">
        <f>SUM(C4:C9)</f>
        <v>643.49999999999989</v>
      </c>
      <c r="D10" s="1059">
        <f t="shared" ref="D10:H10" si="0">SUM(D8:D9)</f>
        <v>756.3395765472311</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152.78059446254071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0.20957409706671234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935.35714285714266</v>
      </c>
      <c r="D17" s="1056">
        <f>'SEAP template'!D87</f>
        <v>1099.3747091670543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222.073691251745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935.35714285714266</v>
      </c>
      <c r="D20" s="1059">
        <f t="shared" ref="D20:H20" si="2">SUM(D17:D19)</f>
        <v>1099.3747091670543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222.073691251745</v>
      </c>
    </row>
    <row r="22" spans="1:16">
      <c r="A22" s="487" t="s">
        <v>871</v>
      </c>
      <c r="B22" s="786" t="s">
        <v>865</v>
      </c>
      <c r="C22" s="786">
        <f ca="1">'EF ele_warmte'!B22</f>
        <v>0.23742128121606954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0.20957409706671234</v>
      </c>
      <c r="C17" s="524">
        <f ca="1">'EF ele_warmte'!B22</f>
        <v>0.23742128121606954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4.6900000000000004</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2019-08-12T08:25:49Z</dcterms:modified>
</cp:coreProperties>
</file>