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P26"/>
  <c r="N26"/>
  <c r="L26"/>
  <c r="L22"/>
  <c r="P22"/>
  <c r="O22"/>
  <c r="R12"/>
  <c r="O18" i="59" l="1"/>
  <c r="O20" s="1"/>
  <c r="O90" i="14"/>
  <c r="O78"/>
  <c r="O9" i="59"/>
  <c r="N20"/>
  <c r="L78" i="14"/>
  <c r="L8" i="59"/>
  <c r="L10" s="1"/>
  <c r="H90" i="14"/>
  <c r="H18" i="59"/>
  <c r="H20" s="1"/>
  <c r="H78" i="14"/>
  <c r="H8" i="59"/>
  <c r="K10"/>
  <c r="C98" i="18"/>
  <c r="H10" i="59"/>
  <c r="P29" i="48"/>
  <c r="L10" i="18"/>
  <c r="K90" i="14"/>
  <c r="E20" i="59"/>
  <c r="E88" i="14"/>
  <c r="E18" i="59" s="1"/>
  <c r="O29" i="48"/>
  <c r="P31"/>
  <c r="K10" i="18"/>
  <c r="F20"/>
  <c r="N90" i="14"/>
  <c r="E10" i="59"/>
  <c r="E77" i="14"/>
  <c r="E9" i="59" s="1"/>
  <c r="B17" i="18"/>
  <c r="B20" s="1"/>
  <c r="K20" i="59"/>
  <c r="P25" i="48"/>
  <c r="R25" i="14"/>
  <c r="O10" i="59"/>
  <c r="F13" i="15"/>
  <c r="G78" i="14"/>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B77" i="14"/>
  <c r="B9" i="59" s="1"/>
  <c r="Q14" i="48"/>
  <c r="O24"/>
  <c r="O30"/>
  <c r="P24"/>
  <c r="P30"/>
  <c r="E78" i="14"/>
  <c r="E90"/>
  <c r="N78"/>
  <c r="G90" l="1"/>
  <c r="G18" i="59"/>
  <c r="G20" s="1"/>
  <c r="C89" i="14"/>
  <c r="C19" i="59" s="1"/>
  <c r="F19"/>
  <c r="Q88" i="14"/>
  <c r="P18" i="59" s="1"/>
  <c r="B88" i="14"/>
  <c r="B18" i="59" s="1"/>
  <c r="C77" i="14"/>
  <c r="C9" i="59" s="1"/>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31"/>
  <c r="J29"/>
  <c r="J24"/>
  <c r="J27"/>
  <c r="J30"/>
  <c r="P4"/>
  <c r="Q11" i="14"/>
  <c r="O4" i="48"/>
  <c r="P11" i="14"/>
  <c r="I27" i="48"/>
  <c r="I22"/>
  <c r="I26"/>
  <c r="I32"/>
  <c r="I31"/>
  <c r="I25"/>
  <c r="I29"/>
  <c r="I28"/>
  <c r="I30"/>
  <c r="I24"/>
  <c r="D4"/>
  <c r="D22" s="1"/>
  <c r="E11" i="14"/>
  <c r="H32" i="48"/>
  <c r="H29"/>
  <c r="H26"/>
  <c r="H28"/>
  <c r="H22"/>
  <c r="H25"/>
  <c r="H30"/>
  <c r="H24"/>
  <c r="H23"/>
  <c r="C4"/>
  <c r="D11" i="14"/>
  <c r="G32" i="48"/>
  <c r="G29"/>
  <c r="G26"/>
  <c r="G24"/>
  <c r="G22"/>
  <c r="G30"/>
  <c r="G25"/>
  <c r="G23"/>
  <c r="C11" i="14"/>
  <c r="B4" i="48"/>
  <c r="F32"/>
  <c r="F28"/>
  <c r="F27"/>
  <c r="F29"/>
  <c r="F31"/>
  <c r="F24"/>
  <c r="F30"/>
  <c r="N32"/>
  <c r="N28"/>
  <c r="N27"/>
  <c r="N31"/>
  <c r="N29"/>
  <c r="N24"/>
  <c r="N30"/>
  <c r="B10"/>
  <c r="C19" i="14"/>
  <c r="E28" i="48"/>
  <c r="E32"/>
  <c r="E29"/>
  <c r="E30"/>
  <c r="E31"/>
  <c r="E24"/>
  <c r="M32"/>
  <c r="M29"/>
  <c r="M30"/>
  <c r="M25"/>
  <c r="M24"/>
  <c r="M26"/>
  <c r="M22"/>
  <c r="M23"/>
  <c r="L10" i="14"/>
  <c r="L16" s="1"/>
  <c r="L27" s="1"/>
  <c r="K5" i="48"/>
  <c r="D30"/>
  <c r="D32"/>
  <c r="D28"/>
  <c r="D31"/>
  <c r="D24"/>
  <c r="D29"/>
  <c r="L27"/>
  <c r="L32"/>
  <c r="L22"/>
  <c r="L30"/>
  <c r="L31"/>
  <c r="L28"/>
  <c r="L24"/>
  <c r="L29"/>
  <c r="P5"/>
  <c r="P23" s="1"/>
  <c r="Q10" i="14"/>
  <c r="K28" i="48"/>
  <c r="K32"/>
  <c r="K31"/>
  <c r="K25"/>
  <c r="K26"/>
  <c r="K22"/>
  <c r="K29"/>
  <c r="K27"/>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G9" i="48"/>
  <c r="H20" i="14"/>
  <c r="R20" s="1"/>
  <c r="M27" i="48"/>
  <c r="M33" s="1"/>
  <c r="M15"/>
  <c r="E22"/>
  <c r="Q4"/>
  <c r="H27"/>
  <c r="H33" s="1"/>
  <c r="H15"/>
  <c r="J22"/>
  <c r="E5"/>
  <c r="E23" s="1"/>
  <c r="F10" i="14"/>
  <c r="J5" i="48"/>
  <c r="J23" s="1"/>
  <c r="K10" i="14"/>
  <c r="G28" i="48"/>
  <c r="Q10"/>
  <c r="R22" i="14"/>
  <c r="R2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G27" i="48"/>
  <c r="G33" s="1"/>
  <c r="G15"/>
  <c r="Q9"/>
  <c r="E8"/>
  <c r="E26" s="1"/>
  <c r="F13" i="14"/>
  <c r="H63"/>
  <c r="F16"/>
  <c r="F27" s="1"/>
  <c r="E33" i="48"/>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<sst xmlns="http://schemas.openxmlformats.org/spreadsheetml/2006/main" count="2428" uniqueCount="903">
  <si>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</si>
  <si>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</si>
  <si>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</si>
  <si>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</si>
  <si>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</si>
  <si>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</si>
  <si>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</si>
  <si>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</si>
  <si>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</si>
  <si>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</si>
  <si>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</si>
  <si>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</si>
  <si>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</si>
  <si>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</si>
  <si>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</si>
  <si>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</si>
  <si>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</si>
  <si>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</si>
  <si>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</si>
  <si>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</si>
  <si>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</si>
  <si>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</si>
  <si>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</si>
  <si>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</si>
  <si>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</si>
  <si>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</si>
  <si>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</si>
  <si>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</si>
  <si>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</si>
  <si>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</si>
  <si>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</si>
  <si>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</si>
  <si>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</si>
  <si>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</si>
  <si>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</si>
  <si>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</si>
  <si>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</si>
  <si>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</si>
  <si>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</si>
  <si>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</si>
  <si>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</si>
  <si>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</si>
  <si>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</si>
  <si>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</si>
  <si>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</si>
  <si>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</si>
  <si>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</si>
  <si>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</si>
  <si>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</si>
  <si>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</si>
  <si>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</si>
  <si>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</si>
  <si>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</si>
  <si>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</si>
  <si>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</si>
  <si>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</si>
  <si>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</si>
  <si>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</si>
  <si>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</si>
  <si>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</si>
  <si>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</si>
  <si>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</si>
  <si>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</si>
  <si>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</si>
  <si>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</si>
  <si>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</si>
  <si>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</si>
  <si>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</si>
  <si>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</si>
  <si>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</si>
  <si>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</si>
  <si>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</si>
  <si>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</si>
  <si>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</si>
  <si>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</si>
  <si>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</si>
  <si>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</si>
  <si>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</si>
  <si>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</si>
  <si>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</si>
  <si>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</si>
  <si>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</si>
  <si>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</si>
  <si>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</si>
  <si>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</si>
  <si>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</si>
  <si>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</si>
  <si>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</si>
  <si>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</si>
  <si>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</si>
  <si>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</si>
  <si>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</si>
  <si>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</si>
  <si>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</si>
  <si>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</si>
  <si>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</si>
  <si>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</si>
  <si>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</si>
  <si>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</si>
  <si>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</si>
  <si>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</si>
  <si>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</si>
  <si>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</si>
  <si>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</si>
  <si>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</si>
  <si>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</si>
  <si>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</si>
  <si>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</si>
  <si>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</si>
  <si>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</si>
  <si>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</si>
  <si>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</si>
  <si>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</si>
  <si>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</si>
  <si>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</si>
  <si>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</si>
  <si>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</si>
  <si>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</si>
  <si>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</si>
  <si>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</si>
  <si>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</si>
  <si>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</si>
  <si>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</si>
  <si>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</si>
  <si>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</si>
  <si>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</si>
  <si>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</si>
  <si>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</si>
  <si>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</si>
  <si>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</si>
  <si>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</si>
  <si>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</si>
  <si>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</si>
  <si>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</si>
  <si>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</si>
  <si>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</si>
  <si>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</si>
  <si>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</si>
  <si>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</si>
  <si>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</si>
  <si>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</si>
  <si>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</si>
  <si>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</si>
  <si>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</si>
  <si>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</si>
  <si>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</si>
  <si>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</si>
  <si>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</si>
  <si>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</si>
  <si>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</si>
  <si>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</si>
  <si>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</si>
  <si>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</si>
  <si>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</si>
  <si>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</si>
  <si>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</si>
  <si>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</si>
  <si>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</si>
  <si>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</si>
  <si>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</si>
  <si>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</si>
  <si>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</si>
  <si>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</si>
  <si>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</si>
  <si>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</si>
  <si>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</si>
  <si>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</si>
  <si>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</si>
  <si>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</si>
  <si>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</si>
  <si>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</si>
  <si>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</si>
  <si>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</si>
  <si>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</si>
  <si>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</si>
  <si>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</si>
  <si>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</si>
  <si>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</si>
  <si>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</si>
  <si>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</si>
  <si>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</si>
  <si>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</si>
  <si>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</si>
  <si>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</si>
  <si>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</si>
  <si>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</si>
  <si>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</si>
  <si>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</si>
  <si>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</si>
  <si>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</si>
  <si>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</si>
  <si>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</si>
  <si>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</si>
  <si>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</si>
  <si>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</si>
  <si>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</si>
  <si>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</si>
  <si>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</si>
  <si>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</si>
  <si>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</si>
  <si>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</si>
  <si>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</si>
  <si>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</si>
  <si>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</si>
  <si>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</si>
  <si>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</si>
  <si>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</si>
  <si>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</si>
  <si>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</si>
  <si>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</si>
  <si>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</si>
  <si>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</si>
  <si>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</si>
  <si>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</si>
  <si>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</si>
  <si>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</si>
  <si>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</si>
  <si>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</si>
  <si>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</si>
  <si>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</si>
  <si>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</si>
  <si>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</si>
  <si>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</si>
  <si>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</si>
  <si>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</si>
  <si>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</si>
  <si>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</si>
  <si>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</si>
  <si>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</si>
  <si>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</si>
  <si>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</si>
  <si>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</si>
  <si>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</si>
  <si>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</si>
  <si>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</si>
  <si>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</si>
  <si>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</si>
  <si>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</si>
  <si>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</si>
  <si>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</si>
  <si>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</si>
  <si>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</si>
  <si>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</si>
  <si>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</si>
  <si>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</si>
  <si>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</si>
  <si>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</si>
  <si>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</si>
  <si>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</si>
  <si>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</si>
  <si>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</si>
  <si>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</si>
  <si>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</si>
  <si>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</si>
  <si>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</si>
  <si>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</si>
  <si>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</si>
  <si>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</si>
  <si>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</si>
  <si>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</si>
  <si>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</si>
  <si>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</si>
  <si>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</si>
  <si>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</si>
  <si>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</si>
  <si>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</si>
  <si>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</si>
  <si>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</si>
  <si>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</si>
  <si>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</si>
  <si>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</si>
  <si>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</si>
  <si>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</si>
  <si>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</si>
  <si>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</si>
  <si>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</si>
  <si>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</si>
  <si>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</si>
  <si>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</si>
  <si>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</si>
  <si>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</si>
  <si>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</si>
  <si>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</si>
  <si>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</si>
  <si>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</si>
  <si>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</si>
  <si>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</si>
  <si>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</si>
  <si>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</si>
  <si>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</si>
  <si>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</si>
  <si>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</si>
  <si>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</si>
  <si>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</si>
  <si>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</si>
  <si>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</si>
  <si>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</si>
  <si>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</si>
  <si>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</si>
  <si>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</si>
  <si>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</si>
  <si>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</si>
  <si>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</si>
  <si>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</si>
  <si>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</si>
  <si>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</si>
  <si>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</si>
  <si>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</si>
  <si>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</si>
  <si>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</si>
  <si>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</si>
  <si>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</si>
  <si>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</si>
  <si>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</si>
  <si>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</si>
  <si>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</si>
  <si>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</si>
  <si>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</si>
  <si>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</si>
  <si>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</si>
  <si>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</si>
  <si>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</si>
  <si>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</si>
  <si>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</si>
  <si>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</si>
  <si>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</si>
  <si>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</si>
  <si>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</si>
  <si>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</si>
  <si>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</si>
  <si>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</si>
  <si>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</si>
  <si>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</si>
  <si>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</si>
  <si>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</si>
  <si>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</si>
  <si>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</si>
  <si>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</si>
  <si>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</si>
  <si>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</si>
  <si>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</si>
  <si>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</si>
  <si>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</si>
  <si>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</si>
  <si>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</si>
  <si>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</si>
  <si>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</si>
  <si>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</si>
  <si>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</si>
  <si>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</si>
  <si>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</si>
  <si>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</si>
  <si>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</si>
  <si>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</si>
  <si>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</si>
  <si>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</si>
  <si>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</si>
  <si>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</si>
  <si>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</si>
  <si>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</si>
  <si>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</si>
  <si>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</si>
  <si>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</si>
  <si>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</si>
  <si>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</si>
  <si>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</si>
  <si>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</si>
  <si>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</si>
  <si>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</si>
  <si>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</si>
  <si>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</si>
  <si>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</si>
  <si>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</si>
  <si>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</si>
  <si>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</si>
  <si>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</si>
  <si>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</si>
  <si>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</si>
  <si>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</si>
  <si>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</si>
  <si>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</si>
  <si>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</si>
  <si>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</si>
  <si>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</si>
  <si>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</si>
  <si>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</si>
  <si>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</si>
  <si>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</si>
  <si>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</si>
  <si>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</si>
  <si>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</si>
  <si>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</si>
  <si>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</si>
  <si>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</si>
  <si>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</si>
  <si>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</si>
  <si>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</si>
  <si>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</si>
  <si>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</si>
  <si>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</si>
  <si>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</si>
  <si>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</si>
  <si>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</si>
  <si>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</si>
  <si>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</si>
  <si>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</si>
  <si>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</si>
  <si>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</si>
  <si>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</si>
  <si>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</si>
  <si>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</si>
  <si>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</si>
  <si>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</si>
  <si>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</si>
  <si>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</si>
  <si>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</si>
  <si>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</si>
  <si>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</si>
  <si>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</si>
  <si>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</si>
  <si>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</si>
  <si>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</si>
  <si>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</si>
  <si>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</si>
  <si>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</si>
  <si>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</si>
  <si>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</si>
  <si>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</si>
  <si>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</si>
  <si>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</si>
  <si>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</si>
  <si>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</si>
  <si>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</si>
  <si>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</si>
  <si>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</si>
  <si>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</si>
  <si>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</si>
  <si>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</si>
  <si>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</si>
  <si>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</si>
  <si>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</si>
  <si>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</si>
  <si>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</si>
  <si>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</si>
  <si>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</si>
  <si>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</si>
  <si>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</si>
  <si>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</si>
  <si>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</si>
  <si>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</si>
  <si>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</si>
  <si>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</si>
  <si>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</si>
  <si>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</si>
  <si>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</si>
  <si>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</si>
  <si>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</si>
  <si>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</si>
  <si>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</si>
  <si>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</si>
  <si>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</si>
  <si>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</si>
  <si>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</si>
  <si>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</si>
  <si>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</si>
  <si>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</si>
  <si>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</si>
  <si>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</si>
  <si>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</si>
  <si>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</si>
  <si>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</si>
  <si>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</si>
  <si>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</si>
  <si>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</si>
  <si>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</si>
  <si>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</si>
  <si>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</si>
  <si>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</si>
  <si>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</si>
  <si>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</si>
  <si>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</si>
  <si>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</si>
  <si>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</si>
  <si>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</si>
  <si>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</si>
  <si>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</si>
  <si>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</si>
  <si>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</si>
  <si>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</si>
  <si>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</si>
  <si>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</si>
  <si>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</si>
  <si>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</si>
  <si>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</si>
  <si>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</si>
  <si>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</si>
  <si>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</si>
  <si>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</si>
  <si>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</si>
  <si>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</si>
  <si>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</si>
  <si>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</si>
  <si>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</si>
  <si>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</si>
  <si>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</si>
  <si>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</si>
  <si>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</si>
  <si>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</si>
  <si>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</si>
  <si>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</si>
  <si>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</si>
  <si>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</si>
  <si>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</si>
  <si>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</si>
  <si>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</si>
  <si>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</si>
  <si>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</si>
  <si>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</si>
  <si>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</si>
  <si>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</si>
  <si>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</si>
  <si>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</si>
  <si>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</si>
  <si>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</si>
  <si>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</si>
  <si>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</si>
  <si>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</si>
  <si>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</si>
  <si>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</si>
  <si>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</si>
  <si>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</si>
  <si>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</si>
  <si>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</si>
  <si>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</si>
  <si>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</si>
  <si>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</si>
  <si>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</si>
  <si>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</si>
  <si>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</si>
  <si>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</si>
  <si>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</si>
  <si>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</si>
  <si>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</si>
  <si>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</si>
  <si>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</si>
  <si>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</si>
  <si>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</si>
  <si>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</si>
  <si>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</si>
  <si>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</si>
  <si>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</si>
  <si>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</si>
  <si>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</si>
  <si>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</si>
  <si>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</si>
  <si>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</si>
  <si>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</si>
  <si>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</si>
  <si>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</si>
  <si>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</si>
  <si>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</si>
  <si>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</si>
  <si>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</si>
  <si>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</si>
  <si>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</si>
  <si>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</si>
  <si>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</si>
  <si>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</si>
  <si>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</si>
  <si>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</si>
  <si>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</si>
  <si>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</si>
  <si>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</si>
  <si>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</si>
  <si>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</si>
  <si>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</si>
  <si>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</si>
  <si>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</si>
  <si>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</si>
  <si>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</si>
  <si>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</si>
  <si>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</si>
  <si>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</si>
  <si>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</si>
  <si>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</si>
  <si>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</si>
  <si>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</si>
  <si>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</si>
  <si>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</si>
  <si>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</si>
  <si>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</si>
  <si>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</si>
  <si>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</si>
  <si>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</si>
  <si>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</si>
  <si>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</si>
  <si>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</si>
  <si>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</si>
  <si>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</si>
  <si>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</si>
  <si>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</si>
  <si>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</si>
  <si>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</si>
  <si>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</si>
  <si>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</si>
  <si>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</si>
  <si>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</si>
  <si>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</si>
  <si>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</si>
  <si>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</si>
  <si>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</si>
  <si>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</si>
  <si>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</si>
  <si>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</si>
  <si>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</si>
  <si>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</si>
  <si>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</si>
  <si>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</si>
  <si>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</si>
  <si>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</si>
  <si>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</si>
  <si>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</si>
  <si>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</si>
  <si>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</si>
  <si>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</si>
  <si>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</si>
  <si>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</si>
  <si>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</si>
  <si>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</si>
  <si>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</si>
  <si>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</si>
  <si>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</si>
  <si>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</si>
  <si>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</si>
  <si>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</si>
  <si>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</si>
  <si>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</si>
  <si>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</si>
  <si>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</si>
  <si>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</si>
  <si>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</si>
  <si>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</si>
  <si>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</si>
  <si>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</si>
  <si>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</si>
  <si>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</si>
  <si>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</si>
  <si>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</si>
  <si>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</si>
  <si>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</si>
  <si>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</si>
  <si>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</si>
  <si>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</si>
  <si>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</si>
  <si>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</si>
  <si>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</si>
  <si>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</si>
  <si>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</si>
  <si>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</si>
  <si>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</si>
  <si>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</si>
  <si>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</si>
  <si>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</si>
  <si>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</si>
  <si>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</si>
  <si>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</si>
  <si>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</si>
  <si>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</si>
  <si>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</si>
  <si>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</si>
  <si>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</si>
  <si>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</si>
  <si>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</si>
  <si>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</si>
  <si>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</si>
  <si>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</si>
  <si>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</si>
  <si>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</si>
  <si>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</si>
  <si>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</si>
  <si>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</si>
  <si>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</si>
  <si>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</si>
  <si>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</si>
  <si>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</si>
  <si>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</si>
  <si>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</si>
  <si>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</si>
  <si>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</si>
  <si>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</si>
  <si>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</si>
  <si>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</si>
  <si>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</si>
  <si>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</si>
  <si>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</si>
  <si>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</si>
  <si>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</si>
  <si>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</si>
  <si>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</si>
  <si>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</si>
  <si>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</si>
  <si>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</si>
  <si>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</si>
  <si>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</si>
  <si>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</si>
  <si>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</si>
  <si>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</si>
  <si>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</si>
  <si>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</si>
  <si>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</si>
  <si>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</si>
  <si>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</si>
  <si>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</si>
  <si>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</si>
  <si>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</si>
  <si>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</si>
  <si>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</si>
  <si>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</si>
  <si>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</si>
  <si>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</si>
  <si>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</si>
  <si>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</si>
  <si>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</si>
  <si>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</si>
  <si>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</si>
  <si>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</si>
  <si>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</si>
  <si>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</si>
  <si>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</si>
  <si>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</si>
  <si>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</si>
  <si>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</si>
  <si>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</si>
  <si>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</si>
  <si>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</si>
  <si>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</si>
  <si>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</si>
  <si>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</si>
  <si>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</si>
  <si>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</si>
  <si>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</si>
  <si>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</si>
  <si>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</si>
  <si>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</si>
  <si>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</si>
  <si>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</si>
  <si>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</si>
  <si>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</si>
  <si>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</si>
  <si>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</si>
  <si>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</si>
  <si>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</si>
  <si>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</si>
  <si>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</si>
  <si>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</si>
  <si>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</si>
  <si>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</si>
  <si>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</si>
  <si>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</si>
  <si>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</si>
  <si>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</si>
  <si>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</si>
  <si>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</si>
  <si>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</si>
  <si>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</si>
  <si>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</si>
  <si>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</si>
  <si>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</si>
  <si>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</si>
  <si>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</si>
  <si>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</si>
  <si>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</si>
  <si>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</si>
  <si>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</si>
  <si>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</si>
  <si>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</si>
  <si>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</si>
  <si>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</si>
  <si>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</si>
  <si>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</si>
  <si>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</si>
  <si>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</si>
  <si>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</si>
  <si>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</si>
  <si>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</si>
  <si>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</si>
  <si>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</si>
  <si>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</si>
  <si>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</si>
  <si>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</si>
  <si>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</si>
  <si>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</si>
  <si>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</si>
  <si>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</si>
  <si>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</si>
  <si>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</si>
  <si>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</si>
  <si>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</si>
  <si>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</si>
  <si>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</si>
  <si>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</si>
  <si>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</si>
  <si>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</si>
  <si>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</si>
  <si>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</si>
  <si>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</si>
  <si>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</si>
  <si>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</si>
  <si>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</si>
  <si>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</si>
  <si>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</si>
  <si>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</si>
  <si>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</si>
  <si>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</si>
  <si>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</si>
  <si>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</si>
  <si>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</si>
  <si>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</si>
  <si>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</si>
  <si>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</si>
  <si>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</si>
  <si>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</si>
  <si>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</si>
  <si>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</si>
  <si>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</si>
  <si>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</si>
  <si>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</si>
  <si>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</si>
  <si>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</si>
  <si>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</si>
  <si>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</si>
  <si>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</si>
  <si>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</si>
  <si>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</si>
  <si>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</si>
  <si>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</si>
  <si>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</si>
  <si>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</si>
  <si>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</si>
  <si>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</si>
  <si>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</si>
  <si>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</si>
  <si>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</si>
  <si>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</si>
  <si>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</si>
  <si>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</si>
  <si>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</si>
  <si>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</si>
  <si>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</si>
  <si>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</si>
  <si>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</si>
  <si>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</si>
  <si>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</si>
  <si>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</si>
  <si>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</si>
  <si>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</si>
  <si>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</si>
  <si>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</si>
  <si>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</si>
  <si>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</si>
  <si>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</si>
  <si>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</si>
  <si>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</si>
  <si>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</si>
  <si>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</si>
  <si>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</si>
  <si>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</si>
  <si>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</si>
  <si>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</si>
  <si>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</si>
  <si>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</si>
  <si>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</si>
  <si>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</si>
  <si>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</si>
  <si>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</si>
  <si>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</si>
  <si>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</si>
  <si>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</si>
  <si>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</si>
  <si>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</si>
  <si>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</si>
  <si>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</si>
  <si>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44080</t>
  </si>
  <si>
    <t>ZOMERGEM</t>
  </si>
  <si>
    <t>Paarden&amp;pony's 200 - 600 kg</t>
  </si>
  <si>
    <t>Paarden&amp;pony's &lt; 200 kg</t>
  </si>
  <si>
    <t>referentietaak LNE (2017); Jaarverslag De Lijn (2015)</t>
  </si>
  <si>
    <t>op basis van VEA (maart 2018) en Inventaris Hernieuwbare Energiebronnen (juni 2018)</t>
  </si>
  <si>
    <t>VEA (januari 2017)</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</si>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</sst>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73689.829213000412</c:v>
                </c:pt>
                <c:pt idx="1">
                  <c:v>17108.202994803825</c:v>
                </c:pt>
                <c:pt idx="2">
                  <c:v>667.63499999999999</c:v>
                </c:pt>
                <c:pt idx="3">
                  <c:v>39617.131937662161</c:v>
                </c:pt>
                <c:pt idx="4">
                  <c:v>4142.4545790595157</c:v>
                </c:pt>
                <c:pt idx="5">
                  <c:v>35757.739302535891</c:v>
                </c:pt>
                <c:pt idx="6">
                  <c:v>624.99315783929774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73689.829213000412</c:v>
                </c:pt>
                <c:pt idx="1">
                  <c:v>17108.202994803825</c:v>
                </c:pt>
                <c:pt idx="2">
                  <c:v>667.63499999999999</c:v>
                </c:pt>
                <c:pt idx="3">
                  <c:v>39617.131937662161</c:v>
                </c:pt>
                <c:pt idx="4">
                  <c:v>4142.4545790595157</c:v>
                </c:pt>
                <c:pt idx="5">
                  <c:v>35757.739302535891</c:v>
                </c:pt>
                <c:pt idx="6">
                  <c:v>624.99315783929774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11860.056521295823</c:v>
                </c:pt>
                <c:pt idx="2">
                  <c:v>2312.8581252909808</c:v>
                </c:pt>
                <c:pt idx="3">
                  <c:v>26.170657600125555</c:v>
                </c:pt>
                <c:pt idx="4">
                  <c:v>2368.2803102290268</c:v>
                </c:pt>
                <c:pt idx="5">
                  <c:v>561.82975225173993</c:v>
                </c:pt>
                <c:pt idx="6">
                  <c:v>9123.0050955786537</c:v>
                </c:pt>
                <c:pt idx="7">
                  <c:v>161.85285953464606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11860.056521295823</c:v>
                </c:pt>
                <c:pt idx="2">
                  <c:v>2312.8581252909808</c:v>
                </c:pt>
                <c:pt idx="3">
                  <c:v>26.170657600125555</c:v>
                </c:pt>
                <c:pt idx="4">
                  <c:v>2368.2803102290268</c:v>
                </c:pt>
                <c:pt idx="5">
                  <c:v>561.82975225173993</c:v>
                </c:pt>
                <c:pt idx="6">
                  <c:v>9123.0050955786537</c:v>
                </c:pt>
                <c:pt idx="7">
                  <c:v>161.85285953464606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3.9199049780382328E-2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3.9199049780382328E-2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3454</v>
      </c>
      <c r="C9" s="342">
        <v>3320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2797.09</v>
      </c>
    </row>
    <row r="15" spans="1:6">
      <c r="A15" s="348" t="s">
        <v>184</v>
      </c>
      <c r="B15" s="334">
        <v>63</v>
      </c>
    </row>
    <row r="16" spans="1:6">
      <c r="A16" s="348" t="s">
        <v>6</v>
      </c>
      <c r="B16" s="334">
        <v>2623</v>
      </c>
    </row>
    <row r="17" spans="1:6">
      <c r="A17" s="348" t="s">
        <v>7</v>
      </c>
      <c r="B17" s="334">
        <v>691</v>
      </c>
    </row>
    <row r="18" spans="1:6">
      <c r="A18" s="348" t="s">
        <v>8</v>
      </c>
      <c r="B18" s="334">
        <v>1935</v>
      </c>
    </row>
    <row r="19" spans="1:6">
      <c r="A19" s="348" t="s">
        <v>9</v>
      </c>
      <c r="B19" s="334">
        <v>1885</v>
      </c>
    </row>
    <row r="20" spans="1:6">
      <c r="A20" s="348" t="s">
        <v>10</v>
      </c>
      <c r="B20" s="334">
        <v>1214</v>
      </c>
    </row>
    <row r="21" spans="1:6">
      <c r="A21" s="348" t="s">
        <v>11</v>
      </c>
      <c r="B21" s="334">
        <v>3473</v>
      </c>
    </row>
    <row r="22" spans="1:6">
      <c r="A22" s="348" t="s">
        <v>12</v>
      </c>
      <c r="B22" s="334">
        <v>12414</v>
      </c>
    </row>
    <row r="23" spans="1:6">
      <c r="A23" s="348" t="s">
        <v>13</v>
      </c>
      <c r="B23" s="334">
        <v>113</v>
      </c>
    </row>
    <row r="24" spans="1:6">
      <c r="A24" s="348" t="s">
        <v>14</v>
      </c>
      <c r="B24" s="334">
        <v>11</v>
      </c>
    </row>
    <row r="25" spans="1:6">
      <c r="A25" s="348" t="s">
        <v>15</v>
      </c>
      <c r="B25" s="334">
        <v>850</v>
      </c>
    </row>
    <row r="26" spans="1:6">
      <c r="A26" s="348" t="s">
        <v>16</v>
      </c>
      <c r="B26" s="334">
        <v>67</v>
      </c>
    </row>
    <row r="27" spans="1:6">
      <c r="A27" s="348" t="s">
        <v>17</v>
      </c>
      <c r="B27" s="334">
        <v>125</v>
      </c>
    </row>
    <row r="28" spans="1:6" s="356" customFormat="1">
      <c r="A28" s="355" t="s">
        <v>18</v>
      </c>
      <c r="B28" s="355">
        <v>114248</v>
      </c>
    </row>
    <row r="29" spans="1:6">
      <c r="A29" s="355" t="s">
        <v>884</v>
      </c>
      <c r="B29" s="355">
        <v>70</v>
      </c>
      <c r="C29" s="356"/>
      <c r="D29" s="356"/>
      <c r="E29" s="356"/>
      <c r="F29" s="356"/>
    </row>
    <row r="30" spans="1:6">
      <c r="A30" s="355" t="s">
        <v>885</v>
      </c>
      <c r="B30" s="341">
        <v>14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184861.88904000001</v>
      </c>
    </row>
    <row r="39" spans="1:6">
      <c r="A39" s="348" t="s">
        <v>30</v>
      </c>
      <c r="B39" s="348" t="s">
        <v>31</v>
      </c>
      <c r="C39" s="334">
        <v>1535</v>
      </c>
      <c r="D39" s="334">
        <v>23229610.824999999</v>
      </c>
      <c r="E39" s="334">
        <v>3180</v>
      </c>
      <c r="F39" s="334">
        <v>14025724.243000001</v>
      </c>
    </row>
    <row r="40" spans="1:6">
      <c r="A40" s="348" t="s">
        <v>30</v>
      </c>
      <c r="B40" s="348" t="s">
        <v>29</v>
      </c>
      <c r="C40" s="334">
        <v>0</v>
      </c>
      <c r="D40" s="334">
        <v>0</v>
      </c>
      <c r="E40" s="334">
        <v>0</v>
      </c>
      <c r="F40" s="334">
        <v>0</v>
      </c>
    </row>
    <row r="41" spans="1:6">
      <c r="A41" s="348" t="s">
        <v>32</v>
      </c>
      <c r="B41" s="348" t="s">
        <v>33</v>
      </c>
      <c r="C41" s="334">
        <v>22</v>
      </c>
      <c r="D41" s="334">
        <v>450590.13166000001</v>
      </c>
      <c r="E41" s="334">
        <v>87</v>
      </c>
      <c r="F41" s="334">
        <v>750322.72276999999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46374.152882000002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793008.88046000001</v>
      </c>
      <c r="E48" s="334">
        <v>46</v>
      </c>
      <c r="F48" s="334">
        <v>556381.80582999997</v>
      </c>
    </row>
    <row r="49" spans="1:6">
      <c r="A49" s="348" t="s">
        <v>32</v>
      </c>
      <c r="B49" s="348" t="s">
        <v>40</v>
      </c>
      <c r="C49" s="334">
        <v>0</v>
      </c>
      <c r="D49" s="334">
        <v>0</v>
      </c>
      <c r="E49" s="334">
        <v>0</v>
      </c>
      <c r="F49" s="334">
        <v>0</v>
      </c>
    </row>
    <row r="50" spans="1:6">
      <c r="A50" s="348" t="s">
        <v>32</v>
      </c>
      <c r="B50" s="348" t="s">
        <v>41</v>
      </c>
      <c r="C50" s="334">
        <v>0</v>
      </c>
      <c r="D50" s="334">
        <v>0</v>
      </c>
      <c r="E50" s="334">
        <v>3</v>
      </c>
      <c r="F50" s="334">
        <v>186452.29378000001</v>
      </c>
    </row>
    <row r="51" spans="1:6">
      <c r="A51" s="348" t="s">
        <v>42</v>
      </c>
      <c r="B51" s="348" t="s">
        <v>43</v>
      </c>
      <c r="C51" s="334">
        <v>0</v>
      </c>
      <c r="D51" s="334">
        <v>0</v>
      </c>
      <c r="E51" s="334">
        <v>109</v>
      </c>
      <c r="F51" s="334">
        <v>1841885.7346000001</v>
      </c>
    </row>
    <row r="52" spans="1:6">
      <c r="A52" s="348" t="s">
        <v>42</v>
      </c>
      <c r="B52" s="348" t="s">
        <v>29</v>
      </c>
      <c r="C52" s="334">
        <v>7</v>
      </c>
      <c r="D52" s="334">
        <v>178250.74604</v>
      </c>
      <c r="E52" s="334">
        <v>16</v>
      </c>
      <c r="F52" s="334">
        <v>337133.25488999998</v>
      </c>
    </row>
    <row r="53" spans="1:6">
      <c r="A53" s="348" t="s">
        <v>44</v>
      </c>
      <c r="B53" s="348" t="s">
        <v>45</v>
      </c>
      <c r="C53" s="334">
        <v>29</v>
      </c>
      <c r="D53" s="334">
        <v>532754.18819999998</v>
      </c>
      <c r="E53" s="334">
        <v>106</v>
      </c>
      <c r="F53" s="334">
        <v>449964.63783999998</v>
      </c>
    </row>
    <row r="54" spans="1:6">
      <c r="A54" s="348" t="s">
        <v>46</v>
      </c>
      <c r="B54" s="348" t="s">
        <v>47</v>
      </c>
      <c r="C54" s="334">
        <v>0</v>
      </c>
      <c r="D54" s="334">
        <v>0</v>
      </c>
      <c r="E54" s="334">
        <v>3</v>
      </c>
      <c r="F54" s="334">
        <v>667635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1654168.0296</v>
      </c>
      <c r="E57" s="334">
        <v>28</v>
      </c>
      <c r="F57" s="334">
        <v>774893.90741999994</v>
      </c>
    </row>
    <row r="58" spans="1:6">
      <c r="A58" s="348" t="s">
        <v>49</v>
      </c>
      <c r="B58" s="348" t="s">
        <v>51</v>
      </c>
      <c r="C58" s="334">
        <v>9</v>
      </c>
      <c r="D58" s="334">
        <v>1820360.3811000001</v>
      </c>
      <c r="E58" s="334">
        <v>15</v>
      </c>
      <c r="F58" s="334">
        <v>98019.236403000003</v>
      </c>
    </row>
    <row r="59" spans="1:6">
      <c r="A59" s="348" t="s">
        <v>49</v>
      </c>
      <c r="B59" s="348" t="s">
        <v>52</v>
      </c>
      <c r="C59" s="334">
        <v>19</v>
      </c>
      <c r="D59" s="334">
        <v>786793.06261999998</v>
      </c>
      <c r="E59" s="334">
        <v>61</v>
      </c>
      <c r="F59" s="334">
        <v>1670961.1856</v>
      </c>
    </row>
    <row r="60" spans="1:6">
      <c r="A60" s="348" t="s">
        <v>49</v>
      </c>
      <c r="B60" s="348" t="s">
        <v>53</v>
      </c>
      <c r="C60" s="334">
        <v>11</v>
      </c>
      <c r="D60" s="334">
        <v>571149.24617000006</v>
      </c>
      <c r="E60" s="334">
        <v>22</v>
      </c>
      <c r="F60" s="334">
        <v>547580.04980000004</v>
      </c>
    </row>
    <row r="61" spans="1:6">
      <c r="A61" s="348" t="s">
        <v>49</v>
      </c>
      <c r="B61" s="348" t="s">
        <v>54</v>
      </c>
      <c r="C61" s="334">
        <v>49</v>
      </c>
      <c r="D61" s="334">
        <v>1494242.7416999999</v>
      </c>
      <c r="E61" s="334">
        <v>144</v>
      </c>
      <c r="F61" s="334">
        <v>1216785.7350000001</v>
      </c>
    </row>
    <row r="62" spans="1:6">
      <c r="A62" s="348" t="s">
        <v>49</v>
      </c>
      <c r="B62" s="348" t="s">
        <v>55</v>
      </c>
      <c r="C62" s="334">
        <v>0</v>
      </c>
      <c r="D62" s="334">
        <v>0</v>
      </c>
      <c r="E62" s="334">
        <v>3</v>
      </c>
      <c r="F62" s="334">
        <v>11455.258586</v>
      </c>
    </row>
    <row r="63" spans="1:6">
      <c r="A63" s="348" t="s">
        <v>49</v>
      </c>
      <c r="B63" s="348" t="s">
        <v>29</v>
      </c>
      <c r="C63" s="334">
        <v>80</v>
      </c>
      <c r="D63" s="334">
        <v>2321672.9786</v>
      </c>
      <c r="E63" s="334">
        <v>149</v>
      </c>
      <c r="F63" s="334">
        <v>2339990.9065</v>
      </c>
    </row>
    <row r="64" spans="1:6">
      <c r="A64" s="348" t="s">
        <v>56</v>
      </c>
      <c r="B64" s="348" t="s">
        <v>57</v>
      </c>
      <c r="C64" s="334">
        <v>0</v>
      </c>
      <c r="D64" s="334">
        <v>0</v>
      </c>
      <c r="E64" s="334">
        <v>0</v>
      </c>
      <c r="F64" s="334">
        <v>0</v>
      </c>
    </row>
    <row r="65" spans="1:6">
      <c r="A65" s="348" t="s">
        <v>56</v>
      </c>
      <c r="B65" s="348" t="s">
        <v>29</v>
      </c>
      <c r="C65" s="334">
        <v>3</v>
      </c>
      <c r="D65" s="334">
        <v>98065.179978999993</v>
      </c>
      <c r="E65" s="334">
        <v>3</v>
      </c>
      <c r="F65" s="334">
        <v>104308.12506999999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48486.759280999999</v>
      </c>
      <c r="E68" s="334">
        <v>9</v>
      </c>
      <c r="F68" s="334">
        <v>40978.705918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12435317</v>
      </c>
      <c r="E73" s="475">
        <v>13048210.962295987</v>
      </c>
    </row>
    <row r="74" spans="1:6">
      <c r="A74" s="348" t="s">
        <v>64</v>
      </c>
      <c r="B74" s="348" t="s">
        <v>667</v>
      </c>
      <c r="C74" s="1294" t="s">
        <v>669</v>
      </c>
      <c r="D74" s="475">
        <v>910278.67919551861</v>
      </c>
      <c r="E74" s="475">
        <v>920432.09836481698</v>
      </c>
    </row>
    <row r="75" spans="1:6">
      <c r="A75" s="348" t="s">
        <v>65</v>
      </c>
      <c r="B75" s="348" t="s">
        <v>666</v>
      </c>
      <c r="C75" s="1294" t="s">
        <v>670</v>
      </c>
      <c r="D75" s="475">
        <v>25825267</v>
      </c>
      <c r="E75" s="475">
        <v>27463800.887292933</v>
      </c>
    </row>
    <row r="76" spans="1:6">
      <c r="A76" s="348" t="s">
        <v>65</v>
      </c>
      <c r="B76" s="348" t="s">
        <v>667</v>
      </c>
      <c r="C76" s="1294" t="s">
        <v>671</v>
      </c>
      <c r="D76" s="475">
        <v>688583.67919551861</v>
      </c>
      <c r="E76" s="475">
        <v>733995.24718981539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167864.64160896273</v>
      </c>
      <c r="C83" s="475">
        <v>167864.64160896273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1567.7080026468141</v>
      </c>
    </row>
    <row r="92" spans="1:6">
      <c r="A92" s="341" t="s">
        <v>69</v>
      </c>
      <c r="B92" s="342">
        <v>464.17787015998272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3</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27098.233930785573</v>
      </c>
      <c r="C3" s="43" t="s">
        <v>170</v>
      </c>
      <c r="D3" s="43"/>
      <c r="E3" s="154"/>
      <c r="F3" s="43"/>
      <c r="G3" s="43"/>
      <c r="H3" s="43"/>
      <c r="I3" s="43"/>
      <c r="J3" s="43"/>
      <c r="K3" s="96"/>
    </row>
    <row r="4" spans="1:11">
      <c r="A4" s="383" t="s">
        <v>171</v>
      </c>
      <c r="B4" s="49">
        <f>IF(ISERROR('SEAP template'!B78+'SEAP template'!C78),0,'SEAP template'!B78+'SEAP template'!C78)</f>
        <v>22291.785872806799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3.9199049780382328E-2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28942.714285714283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667.63499999999999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667.63499999999999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3.9199049780382328E-2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26.170657600125555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14025.724243000001</v>
      </c>
      <c r="C5" s="17">
        <f>IF(ISERROR('Eigen informatie GS &amp; warmtenet'!B57),0,'Eigen informatie GS &amp; warmtenet'!B57)</f>
        <v>0</v>
      </c>
      <c r="D5" s="30">
        <f>(SUM(HH_hh_gas_kWh,HH_rest_gas_kWh)/1000)*0.902</f>
        <v>20953.10896415</v>
      </c>
      <c r="E5" s="17">
        <f>B46*B57</f>
        <v>3395.0639991218695</v>
      </c>
      <c r="F5" s="17">
        <f>B51*B62</f>
        <v>21360.240256306402</v>
      </c>
      <c r="G5" s="18"/>
      <c r="H5" s="17"/>
      <c r="I5" s="17"/>
      <c r="J5" s="17">
        <f>B50*B61+C50*C61</f>
        <v>1532.2517159856473</v>
      </c>
      <c r="K5" s="17"/>
      <c r="L5" s="17"/>
      <c r="M5" s="17"/>
      <c r="N5" s="17">
        <f>B48*B59+C48*C59</f>
        <v>10061.432031789673</v>
      </c>
      <c r="O5" s="17">
        <f>B69*B70*B71</f>
        <v>203.23333333333335</v>
      </c>
      <c r="P5" s="17">
        <f>B77*B78*B79/1000-B77*B78*B79/1000/B80</f>
        <v>591.06666666666661</v>
      </c>
    </row>
    <row r="6" spans="1:16">
      <c r="A6" s="16" t="s">
        <v>624</v>
      </c>
      <c r="B6" s="788">
        <f>kWh_PV_kleiner_dan_10kW</f>
        <v>1567.7080026468141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15593.432245646814</v>
      </c>
      <c r="C8" s="21">
        <f>C5</f>
        <v>0</v>
      </c>
      <c r="D8" s="21">
        <f>D5</f>
        <v>20953.10896415</v>
      </c>
      <c r="E8" s="21">
        <f>E5</f>
        <v>3395.0639991218695</v>
      </c>
      <c r="F8" s="21">
        <f>F5</f>
        <v>21360.240256306402</v>
      </c>
      <c r="G8" s="21"/>
      <c r="H8" s="21"/>
      <c r="I8" s="21"/>
      <c r="J8" s="21">
        <f>J5</f>
        <v>1532.2517159856473</v>
      </c>
      <c r="K8" s="21"/>
      <c r="L8" s="21">
        <f>L5</f>
        <v>0</v>
      </c>
      <c r="M8" s="21">
        <f>M5</f>
        <v>0</v>
      </c>
      <c r="N8" s="21">
        <f>N5</f>
        <v>10061.432031789673</v>
      </c>
      <c r="O8" s="21">
        <f>O5</f>
        <v>203.23333333333335</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3.9199049780382328E-2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611.24772684412847</v>
      </c>
      <c r="C12" s="23">
        <f ca="1">C10*C8</f>
        <v>0</v>
      </c>
      <c r="D12" s="23">
        <f>D8*D10</f>
        <v>4232.5280107583003</v>
      </c>
      <c r="E12" s="23">
        <f>E10*E8</f>
        <v>770.67952780066446</v>
      </c>
      <c r="F12" s="23">
        <f>F10*F8</f>
        <v>5703.1841484338102</v>
      </c>
      <c r="G12" s="23"/>
      <c r="H12" s="23"/>
      <c r="I12" s="23"/>
      <c r="J12" s="23">
        <f>J10*J8</f>
        <v>542.41710745891908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3454</v>
      </c>
      <c r="C28" s="36"/>
      <c r="D28" s="228"/>
    </row>
    <row r="29" spans="1:7" s="15" customFormat="1">
      <c r="A29" s="230" t="s">
        <v>699</v>
      </c>
      <c r="B29" s="37">
        <f>SUM(HH_hh_gas_aantal,HH_rest_gas_aantal)</f>
        <v>1535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1535</v>
      </c>
      <c r="C32" s="167">
        <f>IF(ISERROR(B32/SUM($B$32,$B$34,$B$35,$B$36,$B$38,$B$39)*100),0,B32/SUM($B$32,$B$34,$B$35,$B$36,$B$38,$B$39)*100)</f>
        <v>44.843704352906805</v>
      </c>
      <c r="D32" s="233"/>
      <c r="G32" s="15"/>
    </row>
    <row r="33" spans="1:7">
      <c r="A33" s="171" t="s">
        <v>72</v>
      </c>
      <c r="B33" s="34" t="s">
        <v>111</v>
      </c>
      <c r="C33" s="167"/>
      <c r="D33" s="233"/>
      <c r="G33" s="15"/>
    </row>
    <row r="34" spans="1:7">
      <c r="A34" s="171" t="s">
        <v>73</v>
      </c>
      <c r="B34" s="33">
        <f>IF((($B$28-$B$32-$B$39-$B$77-$B$38)*C20/100)&lt;0,0,($B$28-$B$32-$B$39-$B$77-$B$38)*C20/100)</f>
        <v>150.10526315789474</v>
      </c>
      <c r="C34" s="167">
        <f>IF(ISERROR(B34/SUM($B$32,$B$34,$B$35,$B$36,$B$38,$B$39)*100),0,B34/SUM($B$32,$B$34,$B$35,$B$36,$B$38,$B$39)*100)</f>
        <v>4.3851961191321864</v>
      </c>
      <c r="D34" s="233"/>
      <c r="G34" s="15"/>
    </row>
    <row r="35" spans="1:7">
      <c r="A35" s="171" t="s">
        <v>74</v>
      </c>
      <c r="B35" s="33">
        <f>IF((($B$28-$B$32-$B$39-$B$77-$B$38)*C21/100)&lt;0,0,($B$28-$B$32-$B$39-$B$77-$B$38)*C21/100)</f>
        <v>654.26315789473676</v>
      </c>
      <c r="C35" s="167">
        <f>IF(ISERROR(B35/SUM($B$32,$B$34,$B$35,$B$36,$B$38,$B$39)*100),0,B35/SUM($B$32,$B$34,$B$35,$B$36,$B$38,$B$39)*100)</f>
        <v>19.113735258391376</v>
      </c>
      <c r="D35" s="233"/>
      <c r="G35" s="15"/>
    </row>
    <row r="36" spans="1:7">
      <c r="A36" s="171" t="s">
        <v>75</v>
      </c>
      <c r="B36" s="33">
        <f>IF((($B$28-$B$32-$B$39-$B$77-$B$38)*C22/100)&lt;0,0,($B$28-$B$32-$B$39-$B$77-$B$38)*C22/100)</f>
        <v>156.63157894736844</v>
      </c>
      <c r="C36" s="167">
        <f>IF(ISERROR(B36/SUM($B$32,$B$34,$B$35,$B$36,$B$38,$B$39)*100),0,B36/SUM($B$32,$B$34,$B$35,$B$36,$B$38,$B$39)*100)</f>
        <v>4.575856819964021</v>
      </c>
      <c r="D36" s="233"/>
      <c r="G36" s="15"/>
    </row>
    <row r="37" spans="1:7">
      <c r="A37" s="171" t="s">
        <v>76</v>
      </c>
      <c r="B37" s="34" t="s">
        <v>111</v>
      </c>
      <c r="C37" s="167"/>
      <c r="D37" s="173"/>
      <c r="G37" s="15"/>
    </row>
    <row r="38" spans="1:7">
      <c r="A38" s="171" t="s">
        <v>77</v>
      </c>
      <c r="B38" s="33">
        <f>IF((B24-(B29-B18)*0.1)&lt;0,0,B24-(B29-B18)*0.1)</f>
        <v>49.5</v>
      </c>
      <c r="C38" s="167">
        <f>IF(ISERROR(B38/SUM($B$32,$B$34,$B$35,$B$36,$B$38,$B$39)*100),0,B38/SUM($B$32,$B$34,$B$35,$B$36,$B$38,$B$39)*100)</f>
        <v>1.4460999123575811</v>
      </c>
      <c r="D38" s="234"/>
      <c r="G38" s="15"/>
    </row>
    <row r="39" spans="1:7">
      <c r="A39" s="171" t="s">
        <v>78</v>
      </c>
      <c r="B39" s="33">
        <f>IF((B25-(B29-B18))&lt;0,0,B25-(B29-B18)*0.9)</f>
        <v>877.5</v>
      </c>
      <c r="C39" s="167">
        <f>IF(ISERROR(B39/SUM($B$32,$B$34,$B$35,$B$36,$B$38,$B$39)*100),0,B39/SUM($B$32,$B$34,$B$35,$B$36,$B$38,$B$39)*100)</f>
        <v>25.635407537248028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1535</v>
      </c>
      <c r="C44" s="34" t="s">
        <v>111</v>
      </c>
      <c r="D44" s="174"/>
    </row>
    <row r="45" spans="1:7">
      <c r="A45" s="171" t="s">
        <v>72</v>
      </c>
      <c r="B45" s="33" t="str">
        <f t="shared" si="0"/>
        <v>-</v>
      </c>
      <c r="C45" s="34" t="s">
        <v>111</v>
      </c>
      <c r="D45" s="174"/>
    </row>
    <row r="46" spans="1:7">
      <c r="A46" s="171" t="s">
        <v>73</v>
      </c>
      <c r="B46" s="33">
        <f t="shared" si="0"/>
        <v>150.10526315789474</v>
      </c>
      <c r="C46" s="34" t="s">
        <v>111</v>
      </c>
      <c r="D46" s="174"/>
    </row>
    <row r="47" spans="1:7">
      <c r="A47" s="171" t="s">
        <v>74</v>
      </c>
      <c r="B47" s="33">
        <f t="shared" si="0"/>
        <v>654.26315789473676</v>
      </c>
      <c r="C47" s="34" t="s">
        <v>111</v>
      </c>
      <c r="D47" s="174"/>
    </row>
    <row r="48" spans="1:7">
      <c r="A48" s="171" t="s">
        <v>75</v>
      </c>
      <c r="B48" s="33">
        <f t="shared" si="0"/>
        <v>156.63157894736844</v>
      </c>
      <c r="C48" s="33">
        <f>B48*10</f>
        <v>1566.3157894736844</v>
      </c>
      <c r="D48" s="234"/>
    </row>
    <row r="49" spans="1:6">
      <c r="A49" s="171" t="s">
        <v>76</v>
      </c>
      <c r="B49" s="33" t="str">
        <f t="shared" si="0"/>
        <v>-</v>
      </c>
      <c r="C49" s="34" t="s">
        <v>111</v>
      </c>
      <c r="D49" s="234"/>
    </row>
    <row r="50" spans="1:6">
      <c r="A50" s="171" t="s">
        <v>77</v>
      </c>
      <c r="B50" s="33">
        <f t="shared" si="0"/>
        <v>49.5</v>
      </c>
      <c r="C50" s="33">
        <f>B50*2</f>
        <v>99</v>
      </c>
      <c r="D50" s="234"/>
    </row>
    <row r="51" spans="1:6">
      <c r="A51" s="171" t="s">
        <v>78</v>
      </c>
      <c r="B51" s="33">
        <f t="shared" si="0"/>
        <v>877.5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6659.6862793090004</v>
      </c>
      <c r="C5" s="17">
        <f>IF(ISERROR('Eigen informatie GS &amp; warmtenet'!B58),0,'Eigen informatie GS &amp; warmtenet'!B58)</f>
        <v>0</v>
      </c>
      <c r="D5" s="30">
        <f>SUM(D6:D12)</f>
        <v>7800.8445686905798</v>
      </c>
      <c r="E5" s="17">
        <f>SUM(E6:E12)</f>
        <v>129.18593940091083</v>
      </c>
      <c r="F5" s="17">
        <f>SUM(F6:F12)</f>
        <v>1673.0671917120389</v>
      </c>
      <c r="G5" s="18"/>
      <c r="H5" s="17"/>
      <c r="I5" s="17"/>
      <c r="J5" s="17">
        <f>SUM(J6:J12)</f>
        <v>0</v>
      </c>
      <c r="K5" s="17"/>
      <c r="L5" s="17"/>
      <c r="M5" s="17"/>
      <c r="N5" s="17">
        <f>SUM(N6:N12)</f>
        <v>821.66234902463123</v>
      </c>
      <c r="O5" s="17">
        <f>B38*B39*B40</f>
        <v>4.6900000000000004</v>
      </c>
      <c r="P5" s="17">
        <f>B46*B47*B48/1000-B46*B47*B48/1000/B49</f>
        <v>19.066666666666666</v>
      </c>
      <c r="R5" s="32"/>
    </row>
    <row r="6" spans="1:18">
      <c r="A6" s="32" t="s">
        <v>54</v>
      </c>
      <c r="B6" s="37">
        <f>B26</f>
        <v>1216.7857350000002</v>
      </c>
      <c r="C6" s="33"/>
      <c r="D6" s="37">
        <f>IF(ISERROR(TER_kantoor_gas_kWh/1000),0,TER_kantoor_gas_kWh/1000)*0.902</f>
        <v>1347.8069530133998</v>
      </c>
      <c r="E6" s="33">
        <f>$C$26*'E Balans VL '!I12/100/3.6*1000000</f>
        <v>15.929224133834399</v>
      </c>
      <c r="F6" s="33">
        <f>$C$26*('E Balans VL '!L12+'E Balans VL '!N12)/100/3.6*1000000</f>
        <v>310.26778863090738</v>
      </c>
      <c r="G6" s="34"/>
      <c r="H6" s="33"/>
      <c r="I6" s="33"/>
      <c r="J6" s="33">
        <f>$C$26*('E Balans VL '!D12+'E Balans VL '!E12)/100/3.6*1000000</f>
        <v>0</v>
      </c>
      <c r="K6" s="33"/>
      <c r="L6" s="33"/>
      <c r="M6" s="33"/>
      <c r="N6" s="33">
        <f>$C$26*'E Balans VL '!Y12/100/3.6*1000000</f>
        <v>1.2208831957881503</v>
      </c>
      <c r="O6" s="33"/>
      <c r="P6" s="33"/>
      <c r="R6" s="32"/>
    </row>
    <row r="7" spans="1:18">
      <c r="A7" s="32" t="s">
        <v>53</v>
      </c>
      <c r="B7" s="37">
        <f t="shared" ref="B7:B12" si="0">B27</f>
        <v>547.58004979999998</v>
      </c>
      <c r="C7" s="33"/>
      <c r="D7" s="37">
        <f>IF(ISERROR(TER_horeca_gas_kWh/1000),0,TER_horeca_gas_kWh/1000)*0.902</f>
        <v>515.17662004534009</v>
      </c>
      <c r="E7" s="33">
        <f>$C$27*'E Balans VL '!I9/100/3.6*1000000</f>
        <v>18.12156883067248</v>
      </c>
      <c r="F7" s="33">
        <f>$C$27*('E Balans VL '!L9+'E Balans VL '!N9)/100/3.6*1000000</f>
        <v>235.45732283305171</v>
      </c>
      <c r="G7" s="34"/>
      <c r="H7" s="33"/>
      <c r="I7" s="33"/>
      <c r="J7" s="33">
        <f>$C$27*('E Balans VL '!D9+'E Balans VL '!E9)/100/3.6*1000000</f>
        <v>0</v>
      </c>
      <c r="K7" s="33"/>
      <c r="L7" s="33"/>
      <c r="M7" s="33"/>
      <c r="N7" s="33">
        <f>$C$27*'E Balans VL '!Y9/100/3.6*1000000</f>
        <v>0.13181046972181346</v>
      </c>
      <c r="O7" s="33"/>
      <c r="P7" s="33"/>
      <c r="R7" s="32"/>
    </row>
    <row r="8" spans="1:18">
      <c r="A8" s="6" t="s">
        <v>52</v>
      </c>
      <c r="B8" s="37">
        <f t="shared" si="0"/>
        <v>1670.9611855999999</v>
      </c>
      <c r="C8" s="33"/>
      <c r="D8" s="37">
        <f>IF(ISERROR(TER_handel_gas_kWh/1000),0,TER_handel_gas_kWh/1000)*0.902</f>
        <v>709.68734248324006</v>
      </c>
      <c r="E8" s="33">
        <f>$C$28*'E Balans VL '!I13/100/3.6*1000000</f>
        <v>52.738088170228956</v>
      </c>
      <c r="F8" s="33">
        <f>$C$28*('E Balans VL '!L13+'E Balans VL '!N13)/100/3.6*1000000</f>
        <v>327.7049122958469</v>
      </c>
      <c r="G8" s="34"/>
      <c r="H8" s="33"/>
      <c r="I8" s="33"/>
      <c r="J8" s="33">
        <f>$C$28*('E Balans VL '!D13+'E Balans VL '!E13)/100/3.6*1000000</f>
        <v>0</v>
      </c>
      <c r="K8" s="33"/>
      <c r="L8" s="33"/>
      <c r="M8" s="33"/>
      <c r="N8" s="33">
        <f>$C$28*'E Balans VL '!Y13/100/3.6*1000000</f>
        <v>1.9831065141756621</v>
      </c>
      <c r="O8" s="33"/>
      <c r="P8" s="33"/>
      <c r="R8" s="32"/>
    </row>
    <row r="9" spans="1:18">
      <c r="A9" s="32" t="s">
        <v>51</v>
      </c>
      <c r="B9" s="37">
        <f t="shared" si="0"/>
        <v>98.019236403000008</v>
      </c>
      <c r="C9" s="33"/>
      <c r="D9" s="37">
        <f>IF(ISERROR(TER_gezond_gas_kWh/1000),0,TER_gezond_gas_kWh/1000)*0.902</f>
        <v>1641.9650637522</v>
      </c>
      <c r="E9" s="33">
        <f>$C$29*'E Balans VL '!I10/100/3.6*1000000</f>
        <v>1.2549329748720764E-2</v>
      </c>
      <c r="F9" s="33">
        <f>$C$29*('E Balans VL '!L10+'E Balans VL '!N10)/100/3.6*1000000</f>
        <v>20.4215153054468</v>
      </c>
      <c r="G9" s="34"/>
      <c r="H9" s="33"/>
      <c r="I9" s="33"/>
      <c r="J9" s="33">
        <f>$C$29*('E Balans VL '!D10+'E Balans VL '!E10)/100/3.6*1000000</f>
        <v>0</v>
      </c>
      <c r="K9" s="33"/>
      <c r="L9" s="33"/>
      <c r="M9" s="33"/>
      <c r="N9" s="33">
        <f>$C$29*'E Balans VL '!Y10/100/3.6*1000000</f>
        <v>1.1512822615351683</v>
      </c>
      <c r="O9" s="33"/>
      <c r="P9" s="33"/>
      <c r="R9" s="32"/>
    </row>
    <row r="10" spans="1:18">
      <c r="A10" s="32" t="s">
        <v>50</v>
      </c>
      <c r="B10" s="37">
        <f t="shared" si="0"/>
        <v>774.89390741999989</v>
      </c>
      <c r="C10" s="33"/>
      <c r="D10" s="37">
        <f>IF(ISERROR(TER_ander_gas_kWh/1000),0,TER_ander_gas_kWh/1000)*0.902</f>
        <v>1492.0595626991999</v>
      </c>
      <c r="E10" s="33">
        <f>$C$30*'E Balans VL '!I14/100/3.6*1000000</f>
        <v>1.1652582083783654</v>
      </c>
      <c r="F10" s="33">
        <f>$C$30*('E Balans VL '!L14+'E Balans VL '!N14)/100/3.6*1000000</f>
        <v>171.0715963655222</v>
      </c>
      <c r="G10" s="34"/>
      <c r="H10" s="33"/>
      <c r="I10" s="33"/>
      <c r="J10" s="33">
        <f>$C$30*('E Balans VL '!D14+'E Balans VL '!E14)/100/3.6*1000000</f>
        <v>0</v>
      </c>
      <c r="K10" s="33"/>
      <c r="L10" s="33"/>
      <c r="M10" s="33"/>
      <c r="N10" s="33">
        <f>$C$30*'E Balans VL '!Y14/100/3.6*1000000</f>
        <v>610.66854744073919</v>
      </c>
      <c r="O10" s="33"/>
      <c r="P10" s="33"/>
      <c r="R10" s="32"/>
    </row>
    <row r="11" spans="1:18">
      <c r="A11" s="32" t="s">
        <v>55</v>
      </c>
      <c r="B11" s="37">
        <f t="shared" si="0"/>
        <v>11.455258585999999</v>
      </c>
      <c r="C11" s="33"/>
      <c r="D11" s="37">
        <f>IF(ISERROR(TER_onderwijs_gas_kWh/1000),0,TER_onderwijs_gas_kWh/1000)*0.902</f>
        <v>0</v>
      </c>
      <c r="E11" s="33">
        <f>$C$31*'E Balans VL '!I11/100/3.6*1000000</f>
        <v>2.0173670317297315E-2</v>
      </c>
      <c r="F11" s="33">
        <f>$C$31*('E Balans VL '!L11+'E Balans VL '!N11)/100/3.6*1000000</f>
        <v>5.2891001717174833</v>
      </c>
      <c r="G11" s="34"/>
      <c r="H11" s="33"/>
      <c r="I11" s="33"/>
      <c r="J11" s="33">
        <f>$C$31*('E Balans VL '!D11+'E Balans VL '!E11)/100/3.6*1000000</f>
        <v>0</v>
      </c>
      <c r="K11" s="33"/>
      <c r="L11" s="33"/>
      <c r="M11" s="33"/>
      <c r="N11" s="33">
        <f>$C$31*'E Balans VL '!Y11/100/3.6*1000000</f>
        <v>2.1341305157954057E-2</v>
      </c>
      <c r="O11" s="33"/>
      <c r="P11" s="33"/>
      <c r="R11" s="32"/>
    </row>
    <row r="12" spans="1:18">
      <c r="A12" s="32" t="s">
        <v>260</v>
      </c>
      <c r="B12" s="37">
        <f t="shared" si="0"/>
        <v>2339.9909065000002</v>
      </c>
      <c r="C12" s="33"/>
      <c r="D12" s="37">
        <f>IF(ISERROR(TER_rest_gas_kWh/1000),0,TER_rest_gas_kWh/1000)*0.902</f>
        <v>2094.1490266972</v>
      </c>
      <c r="E12" s="33">
        <f>$C$32*'E Balans VL '!I8/100/3.6*1000000</f>
        <v>41.199077057730598</v>
      </c>
      <c r="F12" s="33">
        <f>$C$32*('E Balans VL '!L8+'E Balans VL '!N8)/100/3.6*1000000</f>
        <v>602.85495610954626</v>
      </c>
      <c r="G12" s="34"/>
      <c r="H12" s="33"/>
      <c r="I12" s="33"/>
      <c r="J12" s="33">
        <f>$C$32*('E Balans VL '!D8+'E Balans VL '!E8)/100/3.6*1000000</f>
        <v>0</v>
      </c>
      <c r="K12" s="33"/>
      <c r="L12" s="33"/>
      <c r="M12" s="33"/>
      <c r="N12" s="33">
        <f>$C$32*'E Balans VL '!Y8/100/3.6*1000000</f>
        <v>206.48537783751325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6659.6862793090004</v>
      </c>
      <c r="C16" s="21">
        <f t="shared" ca="1" si="1"/>
        <v>0</v>
      </c>
      <c r="D16" s="21">
        <f t="shared" ca="1" si="1"/>
        <v>7800.8445686905798</v>
      </c>
      <c r="E16" s="21">
        <f t="shared" si="1"/>
        <v>129.18593940091083</v>
      </c>
      <c r="F16" s="21">
        <f t="shared" ca="1" si="1"/>
        <v>1673.0671917120389</v>
      </c>
      <c r="G16" s="21">
        <f t="shared" si="1"/>
        <v>0</v>
      </c>
      <c r="H16" s="21">
        <f t="shared" si="1"/>
        <v>0</v>
      </c>
      <c r="I16" s="21">
        <f t="shared" si="1"/>
        <v>0</v>
      </c>
      <c r="J16" s="21">
        <f t="shared" si="1"/>
        <v>0</v>
      </c>
      <c r="K16" s="21">
        <f t="shared" si="1"/>
        <v>0</v>
      </c>
      <c r="L16" s="21">
        <f t="shared" ca="1" si="1"/>
        <v>0</v>
      </c>
      <c r="M16" s="21">
        <f t="shared" si="1"/>
        <v>0</v>
      </c>
      <c r="N16" s="21">
        <f t="shared" ca="1" si="1"/>
        <v>821.66234902463123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3.9199049780382328E-2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261.05337398436268</v>
      </c>
      <c r="C20" s="23">
        <f t="shared" ref="C20:P20" ca="1" si="2">C16*C18</f>
        <v>0</v>
      </c>
      <c r="D20" s="23">
        <f t="shared" ca="1" si="2"/>
        <v>1575.7706028754972</v>
      </c>
      <c r="E20" s="23">
        <f t="shared" si="2"/>
        <v>29.32520824400676</v>
      </c>
      <c r="F20" s="23">
        <f t="shared" ca="1" si="2"/>
        <v>446.70894018711442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1216.7857350000002</v>
      </c>
      <c r="C26" s="39">
        <f>IF(ISERROR(B26*3.6/1000000/'E Balans VL '!Z12*100),0,B26*3.6/1000000/'E Balans VL '!Z12*100)</f>
        <v>2.6064495727728607E-2</v>
      </c>
      <c r="D26" s="237" t="s">
        <v>660</v>
      </c>
      <c r="F26" s="6"/>
    </row>
    <row r="27" spans="1:18">
      <c r="A27" s="231" t="s">
        <v>53</v>
      </c>
      <c r="B27" s="33">
        <f>IF(ISERROR(TER_horeca_ele_kWh/1000),0,TER_horeca_ele_kWh/1000)</f>
        <v>547.58004979999998</v>
      </c>
      <c r="C27" s="39">
        <f>IF(ISERROR(B27*3.6/1000000/'E Balans VL '!Z9*100),0,B27*3.6/1000000/'E Balans VL '!Z9*100)</f>
        <v>4.3941395627624891E-2</v>
      </c>
      <c r="D27" s="237" t="s">
        <v>660</v>
      </c>
      <c r="F27" s="6"/>
    </row>
    <row r="28" spans="1:18">
      <c r="A28" s="171" t="s">
        <v>52</v>
      </c>
      <c r="B28" s="33">
        <f>IF(ISERROR(TER_handel_ele_kWh/1000),0,TER_handel_ele_kWh/1000)</f>
        <v>1670.9611855999999</v>
      </c>
      <c r="C28" s="39">
        <f>IF(ISERROR(B28*3.6/1000000/'E Balans VL '!Z13*100),0,B28*3.6/1000000/'E Balans VL '!Z13*100)</f>
        <v>4.9283770724124112E-2</v>
      </c>
      <c r="D28" s="237" t="s">
        <v>660</v>
      </c>
      <c r="F28" s="6"/>
    </row>
    <row r="29" spans="1:18">
      <c r="A29" s="231" t="s">
        <v>51</v>
      </c>
      <c r="B29" s="33">
        <f>IF(ISERROR(TER_gezond_ele_kWh/1000),0,TER_gezond_ele_kWh/1000)</f>
        <v>98.019236403000008</v>
      </c>
      <c r="C29" s="39">
        <f>IF(ISERROR(B29*3.6/1000000/'E Balans VL '!Z10*100),0,B29*3.6/1000000/'E Balans VL '!Z10*100)</f>
        <v>1.0465826453563462E-2</v>
      </c>
      <c r="D29" s="237" t="s">
        <v>660</v>
      </c>
      <c r="F29" s="6"/>
    </row>
    <row r="30" spans="1:18">
      <c r="A30" s="231" t="s">
        <v>50</v>
      </c>
      <c r="B30" s="33">
        <f>IF(ISERROR(TER_ander_ele_kWh/1000),0,TER_ander_ele_kWh/1000)</f>
        <v>774.89390741999989</v>
      </c>
      <c r="C30" s="39">
        <f>IF(ISERROR(B30*3.6/1000000/'E Balans VL '!Z14*100),0,B30*3.6/1000000/'E Balans VL '!Z14*100)</f>
        <v>5.8530779713067145E-2</v>
      </c>
      <c r="D30" s="237" t="s">
        <v>660</v>
      </c>
      <c r="F30" s="6"/>
    </row>
    <row r="31" spans="1:18">
      <c r="A31" s="231" t="s">
        <v>55</v>
      </c>
      <c r="B31" s="33">
        <f>IF(ISERROR(TER_onderwijs_ele_kWh/1000),0,TER_onderwijs_ele_kWh/1000)</f>
        <v>11.455258585999999</v>
      </c>
      <c r="C31" s="39">
        <f>IF(ISERROR(B31*3.6/1000000/'E Balans VL '!Z11*100),0,B31*3.6/1000000/'E Balans VL '!Z11*100)</f>
        <v>2.3131991145874803E-3</v>
      </c>
      <c r="D31" s="237" t="s">
        <v>660</v>
      </c>
    </row>
    <row r="32" spans="1:18">
      <c r="A32" s="231" t="s">
        <v>260</v>
      </c>
      <c r="B32" s="33">
        <f>IF(ISERROR(TER_rest_ele_kWh/1000),0,TER_rest_ele_kWh/1000)</f>
        <v>2339.9909065000002</v>
      </c>
      <c r="C32" s="39">
        <f>IF(ISERROR(B32*3.6/1000000/'E Balans VL '!Z8*100),0,B32*3.6/1000000/'E Balans VL '!Z8*100)</f>
        <v>1.9401783028715716E-2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1539.5309752620001</v>
      </c>
      <c r="C5" s="17">
        <f>IF(ISERROR('Eigen informatie GS &amp; warmtenet'!B59),0,'Eigen informatie GS &amp; warmtenet'!B59)</f>
        <v>0</v>
      </c>
      <c r="D5" s="30">
        <f>SUM(D6:D15)</f>
        <v>1121.72630893224</v>
      </c>
      <c r="E5" s="17">
        <f>SUM(E6:E15)</f>
        <v>228.07038648937953</v>
      </c>
      <c r="F5" s="17">
        <f>SUM(F6:F15)</f>
        <v>829.67841990116949</v>
      </c>
      <c r="G5" s="18"/>
      <c r="H5" s="17"/>
      <c r="I5" s="17"/>
      <c r="J5" s="17">
        <f>SUM(J6:J15)</f>
        <v>4.5106515903679627</v>
      </c>
      <c r="K5" s="17"/>
      <c r="L5" s="17"/>
      <c r="M5" s="17"/>
      <c r="N5" s="17">
        <f>SUM(N6:N15)</f>
        <v>418.93783688435838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46.374152882000004</v>
      </c>
      <c r="C8" s="33"/>
      <c r="D8" s="37">
        <f>IF( ISERROR(IND_metaal_Gas_kWH/1000),0,IND_metaal_Gas_kWH/1000)*0.902</f>
        <v>0</v>
      </c>
      <c r="E8" s="33">
        <f>C30*'E Balans VL '!I18/100/3.6*1000000</f>
        <v>1.6686823120168972</v>
      </c>
      <c r="F8" s="33">
        <f>C30*'E Balans VL '!L18/100/3.6*1000000+C30*'E Balans VL '!N18/100/3.6*1000000</f>
        <v>20.250089275271563</v>
      </c>
      <c r="G8" s="34"/>
      <c r="H8" s="33"/>
      <c r="I8" s="33"/>
      <c r="J8" s="40">
        <f>C30*'E Balans VL '!D18/100/3.6*1000000+C30*'E Balans VL '!E18/100/3.6*1000000</f>
        <v>0</v>
      </c>
      <c r="K8" s="33"/>
      <c r="L8" s="33"/>
      <c r="M8" s="33"/>
      <c r="N8" s="33">
        <f>C30*'E Balans VL '!Y18/100/3.6*1000000</f>
        <v>2.324241027869685</v>
      </c>
      <c r="O8" s="33"/>
      <c r="P8" s="33"/>
      <c r="R8" s="32"/>
    </row>
    <row r="9" spans="1:18">
      <c r="A9" s="6" t="s">
        <v>33</v>
      </c>
      <c r="B9" s="37">
        <f t="shared" si="0"/>
        <v>750.32272277000004</v>
      </c>
      <c r="C9" s="33"/>
      <c r="D9" s="37">
        <f>IF( ISERROR(IND_andere_gas_kWh/1000),0,IND_andere_gas_kWh/1000)*0.902</f>
        <v>406.43229875731998</v>
      </c>
      <c r="E9" s="33">
        <f>C31*'E Balans VL '!I19/100/3.6*1000000</f>
        <v>191.46538232380652</v>
      </c>
      <c r="F9" s="33">
        <f>C31*'E Balans VL '!L19/100/3.6*1000000+C31*'E Balans VL '!N19/100/3.6*1000000</f>
        <v>645.97146785662119</v>
      </c>
      <c r="G9" s="34"/>
      <c r="H9" s="33"/>
      <c r="I9" s="33"/>
      <c r="J9" s="40">
        <f>C31*'E Balans VL '!D19/100/3.6*1000000+C31*'E Balans VL '!E19/100/3.6*1000000</f>
        <v>0</v>
      </c>
      <c r="K9" s="33"/>
      <c r="L9" s="33"/>
      <c r="M9" s="33"/>
      <c r="N9" s="33">
        <f>C31*'E Balans VL '!Y19/100/3.6*1000000</f>
        <v>234.65161127978868</v>
      </c>
      <c r="O9" s="33"/>
      <c r="P9" s="33"/>
      <c r="R9" s="32"/>
    </row>
    <row r="10" spans="1:18">
      <c r="A10" s="6" t="s">
        <v>41</v>
      </c>
      <c r="B10" s="37">
        <f t="shared" si="0"/>
        <v>186.45229378000002</v>
      </c>
      <c r="C10" s="33"/>
      <c r="D10" s="37">
        <f>IF( ISERROR(IND_voed_gas_kWh/1000),0,IND_voed_gas_kWh/1000)*0.902</f>
        <v>0</v>
      </c>
      <c r="E10" s="33">
        <f>C32*'E Balans VL '!I20/100/3.6*1000000</f>
        <v>4.7398733278673646</v>
      </c>
      <c r="F10" s="33">
        <f>C32*'E Balans VL '!L20/100/3.6*1000000+C32*'E Balans VL '!N20/100/3.6*1000000</f>
        <v>42.191355192107906</v>
      </c>
      <c r="G10" s="34"/>
      <c r="H10" s="33"/>
      <c r="I10" s="33"/>
      <c r="J10" s="40">
        <f>C32*'E Balans VL '!D20/100/3.6*1000000+C32*'E Balans VL '!E20/100/3.6*1000000</f>
        <v>0</v>
      </c>
      <c r="K10" s="33"/>
      <c r="L10" s="33"/>
      <c r="M10" s="33"/>
      <c r="N10" s="33">
        <f>C32*'E Balans VL '!Y20/100/3.6*1000000</f>
        <v>69.924664155714765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556.38180582999996</v>
      </c>
      <c r="C15" s="33"/>
      <c r="D15" s="37">
        <f>IF( ISERROR(IND_rest_gas_kWh/1000),0,IND_rest_gas_kWh/1000)*0.902</f>
        <v>715.29401017492</v>
      </c>
      <c r="E15" s="33">
        <f>C37*'E Balans VL '!I15/100/3.6*1000000</f>
        <v>30.19644852568873</v>
      </c>
      <c r="F15" s="33">
        <f>C37*'E Balans VL '!L15/100/3.6*1000000+C37*'E Balans VL '!N15/100/3.6*1000000</f>
        <v>121.26550757716886</v>
      </c>
      <c r="G15" s="34"/>
      <c r="H15" s="33"/>
      <c r="I15" s="33"/>
      <c r="J15" s="40">
        <f>C37*'E Balans VL '!D15/100/3.6*1000000+C37*'E Balans VL '!E15/100/3.6*1000000</f>
        <v>4.5106515903679627</v>
      </c>
      <c r="K15" s="33"/>
      <c r="L15" s="33"/>
      <c r="M15" s="33"/>
      <c r="N15" s="33">
        <f>C37*'E Balans VL '!Y15/100/3.6*1000000</f>
        <v>112.03732042098525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1539.5309752620001</v>
      </c>
      <c r="C18" s="21">
        <f>C5+C16</f>
        <v>0</v>
      </c>
      <c r="D18" s="21">
        <f>MAX((D5+D16),0)</f>
        <v>1121.72630893224</v>
      </c>
      <c r="E18" s="21">
        <f>MAX((E5+E16),0)</f>
        <v>228.07038648937953</v>
      </c>
      <c r="F18" s="21">
        <f>MAX((F5+F16),0)</f>
        <v>829.67841990116949</v>
      </c>
      <c r="G18" s="21"/>
      <c r="H18" s="21"/>
      <c r="I18" s="21"/>
      <c r="J18" s="21">
        <f>MAX((J5+J16),0)</f>
        <v>4.5106515903679627</v>
      </c>
      <c r="K18" s="21"/>
      <c r="L18" s="21">
        <f>MAX((L5+L16),0)</f>
        <v>0</v>
      </c>
      <c r="M18" s="21"/>
      <c r="N18" s="21">
        <f>MAX((N5+N16),0)</f>
        <v>418.93783688435838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3.9199049780382328E-2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60.348151337735693</v>
      </c>
      <c r="C22" s="23">
        <f ca="1">C18*C20</f>
        <v>0</v>
      </c>
      <c r="D22" s="23">
        <f>D18*D20</f>
        <v>226.5887144043125</v>
      </c>
      <c r="E22" s="23">
        <f>E18*E20</f>
        <v>51.771977733089152</v>
      </c>
      <c r="F22" s="23">
        <f>F18*F20</f>
        <v>221.52413811361225</v>
      </c>
      <c r="G22" s="23"/>
      <c r="H22" s="23"/>
      <c r="I22" s="23"/>
      <c r="J22" s="23">
        <f>J18*J20</f>
        <v>1.5967706629902587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46.374152882000004</v>
      </c>
      <c r="C30" s="39">
        <f>IF(ISERROR(B30*3.6/1000000/'E Balans VL '!Z18*100),0,B30*3.6/1000000/'E Balans VL '!Z18*100)</f>
        <v>9.8256887600616308E-3</v>
      </c>
      <c r="D30" s="237" t="s">
        <v>660</v>
      </c>
    </row>
    <row r="31" spans="1:18">
      <c r="A31" s="6" t="s">
        <v>33</v>
      </c>
      <c r="B31" s="37">
        <f>IF( ISERROR(IND_ander_ele_kWh/1000),0,IND_ander_ele_kWh/1000)</f>
        <v>750.32272277000004</v>
      </c>
      <c r="C31" s="39">
        <f>IF(ISERROR(B31*3.6/1000000/'E Balans VL '!Z19*100),0,B31*3.6/1000000/'E Balans VL '!Z19*100)</f>
        <v>3.1582787133036798E-2</v>
      </c>
      <c r="D31" s="237" t="s">
        <v>660</v>
      </c>
    </row>
    <row r="32" spans="1:18">
      <c r="A32" s="171" t="s">
        <v>41</v>
      </c>
      <c r="B32" s="37">
        <f>IF( ISERROR(IND_voed_ele_kWh/1000),0,IND_voed_ele_kWh/1000)</f>
        <v>186.45229378000002</v>
      </c>
      <c r="C32" s="39">
        <f>IF(ISERROR(B32*3.6/1000000/'E Balans VL '!Z20*100),0,B32*3.6/1000000/'E Balans VL '!Z20*100)</f>
        <v>3.1148965238564422E-2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556.38180582999996</v>
      </c>
      <c r="C37" s="39">
        <f>IF(ISERROR(B37*3.6/1000000/'E Balans VL '!Z15*100),0,B37*3.6/1000000/'E Balans VL '!Z15*100)</f>
        <v>4.4918857593752711E-3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2179.01898949</v>
      </c>
      <c r="C5" s="17">
        <f>'Eigen informatie GS &amp; warmtenet'!B60</f>
        <v>0</v>
      </c>
      <c r="D5" s="30">
        <f>IF(ISERROR(SUM(LB_lb_gas_kWh,LB_rest_gas_kWh)/1000),0,SUM(LB_lb_gas_kWh,LB_rest_gas_kWh)/1000)*0.902</f>
        <v>160.78217292808</v>
      </c>
      <c r="E5" s="17">
        <f>B17*'E Balans VL '!I25/3.6*1000000/100</f>
        <v>56.188533273314349</v>
      </c>
      <c r="F5" s="17">
        <f>B17*('E Balans VL '!L25/3.6*1000000+'E Balans VL '!N25/3.6*1000000)/100</f>
        <v>7964.7293805942472</v>
      </c>
      <c r="G5" s="18"/>
      <c r="H5" s="17"/>
      <c r="I5" s="17"/>
      <c r="J5" s="17">
        <f>('E Balans VL '!D25+'E Balans VL '!E25)/3.6*1000000*landbouw!B17/100</f>
        <v>313.69857566223573</v>
      </c>
      <c r="K5" s="17"/>
      <c r="L5" s="17">
        <f>L6*(-1)</f>
        <v>0</v>
      </c>
      <c r="M5" s="17"/>
      <c r="N5" s="17">
        <f>N6*(-1)</f>
        <v>57885.428571428565</v>
      </c>
      <c r="O5" s="17"/>
      <c r="P5" s="17"/>
      <c r="R5" s="32"/>
    </row>
    <row r="6" spans="1:18">
      <c r="A6" s="16" t="s">
        <v>491</v>
      </c>
      <c r="B6" s="17" t="s">
        <v>211</v>
      </c>
      <c r="C6" s="17">
        <f>'lokale energieproductie'!O92+'lokale energieproductie'!O61</f>
        <v>28942.714285714283</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-57885.428571428565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2179.01898949</v>
      </c>
      <c r="C8" s="21">
        <f>C5+C6</f>
        <v>28942.714285714283</v>
      </c>
      <c r="D8" s="21">
        <f>MAX((D5+D6),0)</f>
        <v>160.78217292808</v>
      </c>
      <c r="E8" s="21">
        <f>MAX((E5+E6),0)</f>
        <v>56.188533273314349</v>
      </c>
      <c r="F8" s="21">
        <f>MAX((F5+F6),0)</f>
        <v>7964.7293805942472</v>
      </c>
      <c r="G8" s="21"/>
      <c r="H8" s="21"/>
      <c r="I8" s="21"/>
      <c r="J8" s="21">
        <f>MAX((J5+J6),0)</f>
        <v>313.69857566223573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3.9199049780382328E-2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85.415473841416912</v>
      </c>
      <c r="C12" s="23">
        <f ca="1">C8*C10</f>
        <v>0</v>
      </c>
      <c r="D12" s="23">
        <f>D8*D10</f>
        <v>32.477998931472165</v>
      </c>
      <c r="E12" s="23">
        <f>E8*E10</f>
        <v>12.754797053042358</v>
      </c>
      <c r="F12" s="23">
        <f>F8*F10</f>
        <v>2126.582744618664</v>
      </c>
      <c r="G12" s="23"/>
      <c r="H12" s="23"/>
      <c r="I12" s="23"/>
      <c r="J12" s="23">
        <f>J8*J10</f>
        <v>111.04929578443144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0.3072561110162359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694.33724312950858</v>
      </c>
      <c r="C26" s="247">
        <f>B26*'GWP N2O_CH4'!B5</f>
        <v>14581.082105719681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195.30613059399829</v>
      </c>
      <c r="C27" s="247">
        <f>B27*'GWP N2O_CH4'!B5</f>
        <v>4101.4287424739641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8.2529131858912823</v>
      </c>
      <c r="C28" s="247">
        <f>B28*'GWP N2O_CH4'!B4</f>
        <v>2558.4030876262973</v>
      </c>
      <c r="D28" s="50"/>
    </row>
    <row r="29" spans="1:4">
      <c r="A29" s="41" t="s">
        <v>277</v>
      </c>
      <c r="B29" s="247">
        <f>B34*'ha_N2O bodem landbouw'!B4</f>
        <v>18.452628219840303</v>
      </c>
      <c r="C29" s="247">
        <f>B29*'GWP N2O_CH4'!B4</f>
        <v>5720.3147481504939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4.1528440944507798E-3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3.2276891655928929E-5</v>
      </c>
      <c r="C5" s="463" t="s">
        <v>211</v>
      </c>
      <c r="D5" s="448">
        <f>SUM(D6:D11)</f>
        <v>9.7495473570531396E-5</v>
      </c>
      <c r="E5" s="448">
        <f>SUM(E6:E11)</f>
        <v>3.6100276988056644E-4</v>
      </c>
      <c r="F5" s="461" t="s">
        <v>211</v>
      </c>
      <c r="G5" s="448">
        <f>SUM(G6:G11)</f>
        <v>9.8588107107649661E-2</v>
      </c>
      <c r="H5" s="448">
        <f>SUM(H6:H11)</f>
        <v>2.5770629752746126E-2</v>
      </c>
      <c r="I5" s="463" t="s">
        <v>211</v>
      </c>
      <c r="J5" s="463" t="s">
        <v>211</v>
      </c>
      <c r="K5" s="463" t="s">
        <v>211</v>
      </c>
      <c r="L5" s="463" t="s">
        <v>211</v>
      </c>
      <c r="M5" s="448">
        <f>SUM(M6:M11)</f>
        <v>3.8783494936263903E-3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1.0490518898408116E-5</v>
      </c>
      <c r="C6" s="449"/>
      <c r="D6" s="892">
        <f>vkm_2011_GW_PW*SUMIFS(TableVerdeelsleutelVkm[CNG],TableVerdeelsleutelVkm[Voertuigtype],"Lichte voertuigen")*SUMIFS(TableECFTransport[EnergieConsumptieFactor (PJ per km)],TableECFTransport[Index],CONCATENATE($A6,"_CNG_CNG"))</f>
        <v>2.084484480867273E-5</v>
      </c>
      <c r="E6" s="892">
        <f>vkm_2011_GW_PW*SUMIFS(TableVerdeelsleutelVkm[LPG],TableVerdeelsleutelVkm[Voertuigtype],"Lichte voertuigen")*SUMIFS(TableECFTransport[EnergieConsumptieFactor (PJ per km)],TableECFTransport[Index],CONCATENATE($A6,"_LPG_LPG"))</f>
        <v>8.203193663883286E-5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1.9504379852839617E-2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5.6433265929998434E-3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7.8362575458401727E-4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8.7224702521412414E-3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2.8177304587426187E-6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2.7483169160200262E-4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2.1786372757520815E-5</v>
      </c>
      <c r="C8" s="449"/>
      <c r="D8" s="451">
        <f>vkm_2011_NGW_PW*SUMIFS(TableVerdeelsleutelVkm[CNG],TableVerdeelsleutelVkm[Voertuigtype],"Lichte voertuigen")*SUMIFS(TableECFTransport[EnergieConsumptieFactor (PJ per km)],TableECFTransport[Index],CONCATENATE($A8,"_CNG_CNG"))</f>
        <v>7.6650628761858666E-5</v>
      </c>
      <c r="E8" s="451">
        <f>vkm_2011_NGW_PW*SUMIFS(TableVerdeelsleutelVkm[LPG],TableVerdeelsleutelVkm[Voertuigtype],"Lichte voertuigen")*SUMIFS(TableECFTransport[EnergieConsumptieFactor (PJ per km)],TableECFTransport[Index],CONCATENATE($A8,"_LPG_LPG"))</f>
        <v>2.7897083324173355E-4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6.1939367135302507E-2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2.012191247052297E-2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2.5545356129931395E-3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8.42188986736629E-3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2.5729587645718498E-6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2.6535643444723135E-4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8.9658032377580348</v>
      </c>
      <c r="C14" s="21"/>
      <c r="D14" s="21">
        <f t="shared" ref="D14:M14" si="0">((D5)*10^9/3600)+D12</f>
        <v>27.082075991814275</v>
      </c>
      <c r="E14" s="21">
        <f t="shared" si="0"/>
        <v>100.27854718904624</v>
      </c>
      <c r="F14" s="21"/>
      <c r="G14" s="21">
        <f t="shared" si="0"/>
        <v>27385.58530768046</v>
      </c>
      <c r="H14" s="21">
        <f t="shared" si="0"/>
        <v>7158.5082646517012</v>
      </c>
      <c r="I14" s="21"/>
      <c r="J14" s="21"/>
      <c r="K14" s="21"/>
      <c r="L14" s="21"/>
      <c r="M14" s="21">
        <f t="shared" si="0"/>
        <v>1077.3193037851083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3.9199049780382328E-2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0.35145096743799026</v>
      </c>
      <c r="C18" s="23"/>
      <c r="D18" s="23">
        <f t="shared" ref="D18:M18" si="1">D14*D16</f>
        <v>5.4705793503464841</v>
      </c>
      <c r="E18" s="23">
        <f t="shared" si="1"/>
        <v>22.763230211913495</v>
      </c>
      <c r="F18" s="23"/>
      <c r="G18" s="23">
        <f t="shared" si="1"/>
        <v>7311.9512771506834</v>
      </c>
      <c r="H18" s="23">
        <f t="shared" si="1"/>
        <v>1782.4685578982735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2.1822857465345533E-3</v>
      </c>
      <c r="H50" s="321">
        <f t="shared" si="2"/>
        <v>0</v>
      </c>
      <c r="I50" s="321">
        <f t="shared" si="2"/>
        <v>0</v>
      </c>
      <c r="J50" s="321">
        <f t="shared" si="2"/>
        <v>0</v>
      </c>
      <c r="K50" s="321">
        <f t="shared" si="2"/>
        <v>0</v>
      </c>
      <c r="L50" s="321">
        <f t="shared" si="2"/>
        <v>0</v>
      </c>
      <c r="M50" s="321">
        <f t="shared" si="2"/>
        <v>6.768962168691852E-5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2.1822857465345533E-3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6.768962168691852E-5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606.19048514848703</v>
      </c>
      <c r="H54" s="21">
        <f t="shared" si="3"/>
        <v>0</v>
      </c>
      <c r="I54" s="21">
        <f t="shared" si="3"/>
        <v>0</v>
      </c>
      <c r="J54" s="21">
        <f t="shared" si="3"/>
        <v>0</v>
      </c>
      <c r="K54" s="21">
        <f t="shared" si="3"/>
        <v>0</v>
      </c>
      <c r="L54" s="21">
        <f t="shared" si="3"/>
        <v>0</v>
      </c>
      <c r="M54" s="21">
        <f t="shared" si="3"/>
        <v>18.802672690810699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3.9199049780382328E-2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161.85285953464606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7327.3212793090006</v>
      </c>
      <c r="D10" s="1012">
        <f ca="1">tertiair!C16</f>
        <v>0</v>
      </c>
      <c r="E10" s="1012">
        <f ca="1">tertiair!D16</f>
        <v>7800.8445686905798</v>
      </c>
      <c r="F10" s="1012">
        <f>tertiair!E16</f>
        <v>129.18593940091083</v>
      </c>
      <c r="G10" s="1012">
        <f ca="1">tertiair!F16</f>
        <v>1673.0671917120389</v>
      </c>
      <c r="H10" s="1012">
        <f>tertiair!G16</f>
        <v>0</v>
      </c>
      <c r="I10" s="1012">
        <f>tertiair!H16</f>
        <v>0</v>
      </c>
      <c r="J10" s="1012">
        <f>tertiair!I16</f>
        <v>0</v>
      </c>
      <c r="K10" s="1012">
        <f>tertiair!J16</f>
        <v>0</v>
      </c>
      <c r="L10" s="1012">
        <f>tertiair!K16</f>
        <v>0</v>
      </c>
      <c r="M10" s="1012">
        <f ca="1">tertiair!L16</f>
        <v>0</v>
      </c>
      <c r="N10" s="1012">
        <f>tertiair!M16</f>
        <v>0</v>
      </c>
      <c r="O10" s="1012">
        <f ca="1">tertiair!N16</f>
        <v>821.66234902463123</v>
      </c>
      <c r="P10" s="1012">
        <f>tertiair!O16</f>
        <v>4.6900000000000004</v>
      </c>
      <c r="Q10" s="1013">
        <f>tertiair!P16</f>
        <v>19.066666666666666</v>
      </c>
      <c r="R10" s="700">
        <f ca="1">SUM(C10:Q10)</f>
        <v>17775.837994803827</v>
      </c>
      <c r="S10" s="67"/>
    </row>
    <row r="11" spans="1:19" s="473" customFormat="1">
      <c r="A11" s="809" t="s">
        <v>225</v>
      </c>
      <c r="B11" s="814"/>
      <c r="C11" s="1012">
        <f>huishoudens!B8</f>
        <v>15593.432245646814</v>
      </c>
      <c r="D11" s="1012">
        <f>huishoudens!C8</f>
        <v>0</v>
      </c>
      <c r="E11" s="1012">
        <f>huishoudens!D8</f>
        <v>20953.10896415</v>
      </c>
      <c r="F11" s="1012">
        <f>huishoudens!E8</f>
        <v>3395.0639991218695</v>
      </c>
      <c r="G11" s="1012">
        <f>huishoudens!F8</f>
        <v>21360.240256306402</v>
      </c>
      <c r="H11" s="1012">
        <f>huishoudens!G8</f>
        <v>0</v>
      </c>
      <c r="I11" s="1012">
        <f>huishoudens!H8</f>
        <v>0</v>
      </c>
      <c r="J11" s="1012">
        <f>huishoudens!I8</f>
        <v>0</v>
      </c>
      <c r="K11" s="1012">
        <f>huishoudens!J8</f>
        <v>1532.2517159856473</v>
      </c>
      <c r="L11" s="1012">
        <f>huishoudens!K8</f>
        <v>0</v>
      </c>
      <c r="M11" s="1012">
        <f>huishoudens!L8</f>
        <v>0</v>
      </c>
      <c r="N11" s="1012">
        <f>huishoudens!M8</f>
        <v>0</v>
      </c>
      <c r="O11" s="1012">
        <f>huishoudens!N8</f>
        <v>10061.432031789673</v>
      </c>
      <c r="P11" s="1012">
        <f>huishoudens!O8</f>
        <v>203.23333333333335</v>
      </c>
      <c r="Q11" s="1013">
        <f>huishoudens!P8</f>
        <v>591.06666666666661</v>
      </c>
      <c r="R11" s="700">
        <f>SUM(C11:Q11)</f>
        <v>73689.829213000412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1539.5309752620001</v>
      </c>
      <c r="D13" s="1012">
        <f>industrie!C18</f>
        <v>0</v>
      </c>
      <c r="E13" s="1012">
        <f>industrie!D18</f>
        <v>1121.72630893224</v>
      </c>
      <c r="F13" s="1012">
        <f>industrie!E18</f>
        <v>228.07038648937953</v>
      </c>
      <c r="G13" s="1012">
        <f>industrie!F18</f>
        <v>829.67841990116949</v>
      </c>
      <c r="H13" s="1012">
        <f>industrie!G18</f>
        <v>0</v>
      </c>
      <c r="I13" s="1012">
        <f>industrie!H18</f>
        <v>0</v>
      </c>
      <c r="J13" s="1012">
        <f>industrie!I18</f>
        <v>0</v>
      </c>
      <c r="K13" s="1012">
        <f>industrie!J18</f>
        <v>4.5106515903679627</v>
      </c>
      <c r="L13" s="1012">
        <f>industrie!K18</f>
        <v>0</v>
      </c>
      <c r="M13" s="1012">
        <f>industrie!L18</f>
        <v>0</v>
      </c>
      <c r="N13" s="1012">
        <f>industrie!M18</f>
        <v>0</v>
      </c>
      <c r="O13" s="1012">
        <f>industrie!N18</f>
        <v>418.93783688435838</v>
      </c>
      <c r="P13" s="1012">
        <f>industrie!O18</f>
        <v>0</v>
      </c>
      <c r="Q13" s="1013">
        <f>industrie!P18</f>
        <v>0</v>
      </c>
      <c r="R13" s="700">
        <f>SUM(C13:Q13)</f>
        <v>4142.4545790595157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24460.284500217815</v>
      </c>
      <c r="D16" s="732">
        <f t="shared" ref="D16:R16" ca="1" si="0">SUM(D9:D15)</f>
        <v>0</v>
      </c>
      <c r="E16" s="732">
        <f t="shared" ca="1" si="0"/>
        <v>29875.679841772821</v>
      </c>
      <c r="F16" s="732">
        <f t="shared" si="0"/>
        <v>3752.3203250121596</v>
      </c>
      <c r="G16" s="732">
        <f t="shared" ca="1" si="0"/>
        <v>23862.985867919611</v>
      </c>
      <c r="H16" s="732">
        <f t="shared" si="0"/>
        <v>0</v>
      </c>
      <c r="I16" s="732">
        <f t="shared" si="0"/>
        <v>0</v>
      </c>
      <c r="J16" s="732">
        <f t="shared" si="0"/>
        <v>0</v>
      </c>
      <c r="K16" s="732">
        <f t="shared" si="0"/>
        <v>1536.7623675760153</v>
      </c>
      <c r="L16" s="732">
        <f t="shared" si="0"/>
        <v>0</v>
      </c>
      <c r="M16" s="732">
        <f t="shared" ca="1" si="0"/>
        <v>0</v>
      </c>
      <c r="N16" s="732">
        <f t="shared" si="0"/>
        <v>0</v>
      </c>
      <c r="O16" s="732">
        <f t="shared" ca="1" si="0"/>
        <v>11302.032217698663</v>
      </c>
      <c r="P16" s="732">
        <f t="shared" si="0"/>
        <v>207.92333333333335</v>
      </c>
      <c r="Q16" s="732">
        <f t="shared" si="0"/>
        <v>610.13333333333333</v>
      </c>
      <c r="R16" s="732">
        <f t="shared" ca="1" si="0"/>
        <v>95608.121786863761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606.19048514848703</v>
      </c>
      <c r="I19" s="1012">
        <f>transport!H54</f>
        <v>0</v>
      </c>
      <c r="J19" s="1012">
        <f>transport!I54</f>
        <v>0</v>
      </c>
      <c r="K19" s="1012">
        <f>transport!J54</f>
        <v>0</v>
      </c>
      <c r="L19" s="1012">
        <f>transport!K54</f>
        <v>0</v>
      </c>
      <c r="M19" s="1012">
        <f>transport!L54</f>
        <v>0</v>
      </c>
      <c r="N19" s="1012">
        <f>transport!M54</f>
        <v>18.802672690810699</v>
      </c>
      <c r="O19" s="1012">
        <f>transport!N54</f>
        <v>0</v>
      </c>
      <c r="P19" s="1012">
        <f>transport!O54</f>
        <v>0</v>
      </c>
      <c r="Q19" s="1013">
        <f>transport!P54</f>
        <v>0</v>
      </c>
      <c r="R19" s="700">
        <f>SUM(C19:Q19)</f>
        <v>624.99315783929774</v>
      </c>
      <c r="S19" s="67"/>
    </row>
    <row r="20" spans="1:19" s="473" customFormat="1">
      <c r="A20" s="809" t="s">
        <v>307</v>
      </c>
      <c r="B20" s="814"/>
      <c r="C20" s="1012">
        <f>transport!B14</f>
        <v>8.9658032377580348</v>
      </c>
      <c r="D20" s="1012">
        <f>transport!C14</f>
        <v>0</v>
      </c>
      <c r="E20" s="1012">
        <f>transport!D14</f>
        <v>27.082075991814275</v>
      </c>
      <c r="F20" s="1012">
        <f>transport!E14</f>
        <v>100.27854718904624</v>
      </c>
      <c r="G20" s="1012">
        <f>transport!F14</f>
        <v>0</v>
      </c>
      <c r="H20" s="1012">
        <f>transport!G14</f>
        <v>27385.58530768046</v>
      </c>
      <c r="I20" s="1012">
        <f>transport!H14</f>
        <v>7158.5082646517012</v>
      </c>
      <c r="J20" s="1012">
        <f>transport!I14</f>
        <v>0</v>
      </c>
      <c r="K20" s="1012">
        <f>transport!J14</f>
        <v>0</v>
      </c>
      <c r="L20" s="1012">
        <f>transport!K14</f>
        <v>0</v>
      </c>
      <c r="M20" s="1012">
        <f>transport!L14</f>
        <v>0</v>
      </c>
      <c r="N20" s="1012">
        <f>transport!M14</f>
        <v>1077.3193037851083</v>
      </c>
      <c r="O20" s="1012">
        <f>transport!N14</f>
        <v>0</v>
      </c>
      <c r="P20" s="1012">
        <f>transport!O14</f>
        <v>0</v>
      </c>
      <c r="Q20" s="1013">
        <f>transport!P14</f>
        <v>0</v>
      </c>
      <c r="R20" s="700">
        <f>SUM(C20:Q20)</f>
        <v>35757.739302535891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8.9658032377580348</v>
      </c>
      <c r="D22" s="812">
        <f t="shared" ref="D22:R22" si="1">SUM(D18:D21)</f>
        <v>0</v>
      </c>
      <c r="E22" s="812">
        <f t="shared" si="1"/>
        <v>27.082075991814275</v>
      </c>
      <c r="F22" s="812">
        <f t="shared" si="1"/>
        <v>100.27854718904624</v>
      </c>
      <c r="G22" s="812">
        <f t="shared" si="1"/>
        <v>0</v>
      </c>
      <c r="H22" s="812">
        <f t="shared" si="1"/>
        <v>27991.775792828947</v>
      </c>
      <c r="I22" s="812">
        <f t="shared" si="1"/>
        <v>7158.5082646517012</v>
      </c>
      <c r="J22" s="812">
        <f t="shared" si="1"/>
        <v>0</v>
      </c>
      <c r="K22" s="812">
        <f t="shared" si="1"/>
        <v>0</v>
      </c>
      <c r="L22" s="812">
        <f t="shared" si="1"/>
        <v>0</v>
      </c>
      <c r="M22" s="812">
        <f t="shared" si="1"/>
        <v>0</v>
      </c>
      <c r="N22" s="812">
        <f t="shared" si="1"/>
        <v>1096.1219764759189</v>
      </c>
      <c r="O22" s="812">
        <f t="shared" si="1"/>
        <v>0</v>
      </c>
      <c r="P22" s="812">
        <f t="shared" si="1"/>
        <v>0</v>
      </c>
      <c r="Q22" s="812">
        <f t="shared" si="1"/>
        <v>0</v>
      </c>
      <c r="R22" s="812">
        <f t="shared" si="1"/>
        <v>36382.732460375191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2179.01898949</v>
      </c>
      <c r="D24" s="1012">
        <f>+landbouw!C8</f>
        <v>28942.714285714283</v>
      </c>
      <c r="E24" s="1012">
        <f>+landbouw!D8</f>
        <v>160.78217292808</v>
      </c>
      <c r="F24" s="1012">
        <f>+landbouw!E8</f>
        <v>56.188533273314349</v>
      </c>
      <c r="G24" s="1012">
        <f>+landbouw!F8</f>
        <v>7964.7293805942472</v>
      </c>
      <c r="H24" s="1012">
        <f>+landbouw!G8</f>
        <v>0</v>
      </c>
      <c r="I24" s="1012">
        <f>+landbouw!H8</f>
        <v>0</v>
      </c>
      <c r="J24" s="1012">
        <f>+landbouw!I8</f>
        <v>0</v>
      </c>
      <c r="K24" s="1012">
        <f>+landbouw!J8</f>
        <v>313.69857566223573</v>
      </c>
      <c r="L24" s="1012">
        <f>+landbouw!K8</f>
        <v>0</v>
      </c>
      <c r="M24" s="1012">
        <f>+landbouw!L8</f>
        <v>0</v>
      </c>
      <c r="N24" s="1012">
        <f>+landbouw!M8</f>
        <v>0</v>
      </c>
      <c r="O24" s="1012">
        <f>+landbouw!N8</f>
        <v>0</v>
      </c>
      <c r="P24" s="1012">
        <f>+landbouw!O8</f>
        <v>0</v>
      </c>
      <c r="Q24" s="1013">
        <f>+landbouw!P8</f>
        <v>0</v>
      </c>
      <c r="R24" s="700">
        <f>SUM(C24:Q24)</f>
        <v>39617.131937662161</v>
      </c>
      <c r="S24" s="67"/>
    </row>
    <row r="25" spans="1:19" s="473" customFormat="1" ht="15" thickBot="1">
      <c r="A25" s="831" t="s">
        <v>848</v>
      </c>
      <c r="B25" s="1015"/>
      <c r="C25" s="1016">
        <f>IF(Onbekend_ele_kWh="---",0,Onbekend_ele_kWh)/1000+IF(REST_rest_ele_kWh="---",0,REST_rest_ele_kWh)/1000</f>
        <v>449.96463783999997</v>
      </c>
      <c r="D25" s="1016"/>
      <c r="E25" s="1016">
        <f>IF(onbekend_gas_kWh="---",0,onbekend_gas_kWh)/1000+IF(REST_rest_gas_kWh="---",0,REST_rest_gas_kWh)/1000</f>
        <v>532.75418819999993</v>
      </c>
      <c r="F25" s="1016"/>
      <c r="G25" s="1016"/>
      <c r="H25" s="1016"/>
      <c r="I25" s="1016"/>
      <c r="J25" s="1016"/>
      <c r="K25" s="1016"/>
      <c r="L25" s="1016"/>
      <c r="M25" s="1016"/>
      <c r="N25" s="1016"/>
      <c r="O25" s="1016"/>
      <c r="P25" s="1016"/>
      <c r="Q25" s="1017"/>
      <c r="R25" s="700">
        <f>SUM(C25:Q25)</f>
        <v>982.71882603999984</v>
      </c>
      <c r="S25" s="67"/>
    </row>
    <row r="26" spans="1:19" s="473" customFormat="1" ht="15.75" thickBot="1">
      <c r="A26" s="705" t="s">
        <v>849</v>
      </c>
      <c r="B26" s="817"/>
      <c r="C26" s="812">
        <f>SUM(C24:C25)</f>
        <v>2628.9836273299998</v>
      </c>
      <c r="D26" s="812">
        <f t="shared" ref="D26:R26" si="2">SUM(D24:D25)</f>
        <v>28942.714285714283</v>
      </c>
      <c r="E26" s="812">
        <f t="shared" si="2"/>
        <v>693.53636112807999</v>
      </c>
      <c r="F26" s="812">
        <f t="shared" si="2"/>
        <v>56.188533273314349</v>
      </c>
      <c r="G26" s="812">
        <f t="shared" si="2"/>
        <v>7964.7293805942472</v>
      </c>
      <c r="H26" s="812">
        <f t="shared" si="2"/>
        <v>0</v>
      </c>
      <c r="I26" s="812">
        <f t="shared" si="2"/>
        <v>0</v>
      </c>
      <c r="J26" s="812">
        <f t="shared" si="2"/>
        <v>0</v>
      </c>
      <c r="K26" s="812">
        <f t="shared" si="2"/>
        <v>313.69857566223573</v>
      </c>
      <c r="L26" s="812">
        <f t="shared" si="2"/>
        <v>0</v>
      </c>
      <c r="M26" s="812">
        <f t="shared" si="2"/>
        <v>0</v>
      </c>
      <c r="N26" s="812">
        <f t="shared" si="2"/>
        <v>0</v>
      </c>
      <c r="O26" s="812">
        <f t="shared" si="2"/>
        <v>0</v>
      </c>
      <c r="P26" s="812">
        <f t="shared" si="2"/>
        <v>0</v>
      </c>
      <c r="Q26" s="812">
        <f t="shared" si="2"/>
        <v>0</v>
      </c>
      <c r="R26" s="812">
        <f t="shared" si="2"/>
        <v>40599.850763702161</v>
      </c>
      <c r="S26" s="67"/>
    </row>
    <row r="27" spans="1:19" s="473" customFormat="1" ht="17.25" thickTop="1" thickBot="1">
      <c r="A27" s="706" t="s">
        <v>116</v>
      </c>
      <c r="B27" s="805"/>
      <c r="C27" s="707">
        <f ca="1">C22+C16+C26</f>
        <v>27098.233930785573</v>
      </c>
      <c r="D27" s="707">
        <f t="shared" ref="D27:R27" ca="1" si="3">D22+D16+D26</f>
        <v>28942.714285714283</v>
      </c>
      <c r="E27" s="707">
        <f t="shared" ca="1" si="3"/>
        <v>30596.298278892715</v>
      </c>
      <c r="F27" s="707">
        <f t="shared" si="3"/>
        <v>3908.7874054745203</v>
      </c>
      <c r="G27" s="707">
        <f t="shared" ca="1" si="3"/>
        <v>31827.715248513858</v>
      </c>
      <c r="H27" s="707">
        <f t="shared" si="3"/>
        <v>27991.775792828947</v>
      </c>
      <c r="I27" s="707">
        <f t="shared" si="3"/>
        <v>7158.5082646517012</v>
      </c>
      <c r="J27" s="707">
        <f t="shared" si="3"/>
        <v>0</v>
      </c>
      <c r="K27" s="707">
        <f t="shared" si="3"/>
        <v>1850.460943238251</v>
      </c>
      <c r="L27" s="707">
        <f t="shared" si="3"/>
        <v>0</v>
      </c>
      <c r="M27" s="707">
        <f t="shared" ca="1" si="3"/>
        <v>0</v>
      </c>
      <c r="N27" s="707">
        <f t="shared" si="3"/>
        <v>1096.1219764759189</v>
      </c>
      <c r="O27" s="707">
        <f t="shared" ca="1" si="3"/>
        <v>11302.032217698663</v>
      </c>
      <c r="P27" s="707">
        <f t="shared" si="3"/>
        <v>207.92333333333335</v>
      </c>
      <c r="Q27" s="707">
        <f t="shared" si="3"/>
        <v>610.13333333333333</v>
      </c>
      <c r="R27" s="707">
        <f t="shared" ca="1" si="3"/>
        <v>172590.70501094111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287.22403158448822</v>
      </c>
      <c r="D40" s="1012">
        <f ca="1">tertiair!C20</f>
        <v>0</v>
      </c>
      <c r="E40" s="1012">
        <f ca="1">tertiair!D20</f>
        <v>1575.7706028754972</v>
      </c>
      <c r="F40" s="1012">
        <f>tertiair!E20</f>
        <v>29.32520824400676</v>
      </c>
      <c r="G40" s="1012">
        <f ca="1">tertiair!F20</f>
        <v>446.70894018711442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2339.0287828911064</v>
      </c>
    </row>
    <row r="41" spans="1:18">
      <c r="A41" s="822" t="s">
        <v>225</v>
      </c>
      <c r="B41" s="829"/>
      <c r="C41" s="1012">
        <f ca="1">huishoudens!B12</f>
        <v>611.24772684412847</v>
      </c>
      <c r="D41" s="1012">
        <f ca="1">huishoudens!C12</f>
        <v>0</v>
      </c>
      <c r="E41" s="1012">
        <f>huishoudens!D12</f>
        <v>4232.5280107583003</v>
      </c>
      <c r="F41" s="1012">
        <f>huishoudens!E12</f>
        <v>770.67952780066446</v>
      </c>
      <c r="G41" s="1012">
        <f>huishoudens!F12</f>
        <v>5703.1841484338102</v>
      </c>
      <c r="H41" s="1012">
        <f>huishoudens!G12</f>
        <v>0</v>
      </c>
      <c r="I41" s="1012">
        <f>huishoudens!H12</f>
        <v>0</v>
      </c>
      <c r="J41" s="1012">
        <f>huishoudens!I12</f>
        <v>0</v>
      </c>
      <c r="K41" s="1012">
        <f>huishoudens!J12</f>
        <v>542.41710745891908</v>
      </c>
      <c r="L41" s="1012">
        <f>huishoudens!K12</f>
        <v>0</v>
      </c>
      <c r="M41" s="1012">
        <f>huishoudens!L12</f>
        <v>0</v>
      </c>
      <c r="N41" s="1012">
        <f>huishoudens!M12</f>
        <v>0</v>
      </c>
      <c r="O41" s="1012">
        <f>huishoudens!N12</f>
        <v>0</v>
      </c>
      <c r="P41" s="1012">
        <f>huishoudens!O12</f>
        <v>0</v>
      </c>
      <c r="Q41" s="774">
        <f>huishoudens!P12</f>
        <v>0</v>
      </c>
      <c r="R41" s="850">
        <f t="shared" ca="1" si="4"/>
        <v>11860.056521295823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60.348151337735693</v>
      </c>
      <c r="D43" s="1012">
        <f ca="1">industrie!C22</f>
        <v>0</v>
      </c>
      <c r="E43" s="1012">
        <f>industrie!D22</f>
        <v>226.5887144043125</v>
      </c>
      <c r="F43" s="1012">
        <f>industrie!E22</f>
        <v>51.771977733089152</v>
      </c>
      <c r="G43" s="1012">
        <f>industrie!F22</f>
        <v>221.52413811361225</v>
      </c>
      <c r="H43" s="1012">
        <f>industrie!G22</f>
        <v>0</v>
      </c>
      <c r="I43" s="1012">
        <f>industrie!H22</f>
        <v>0</v>
      </c>
      <c r="J43" s="1012">
        <f>industrie!I22</f>
        <v>0</v>
      </c>
      <c r="K43" s="1012">
        <f>industrie!J22</f>
        <v>1.5967706629902587</v>
      </c>
      <c r="L43" s="1012">
        <f>industrie!K22</f>
        <v>0</v>
      </c>
      <c r="M43" s="1012">
        <f>industrie!L22</f>
        <v>0</v>
      </c>
      <c r="N43" s="1012">
        <f>industrie!M22</f>
        <v>0</v>
      </c>
      <c r="O43" s="1012">
        <f>industrie!N22</f>
        <v>0</v>
      </c>
      <c r="P43" s="1012">
        <f>industrie!O22</f>
        <v>0</v>
      </c>
      <c r="Q43" s="774">
        <f>industrie!P22</f>
        <v>0</v>
      </c>
      <c r="R43" s="849">
        <f t="shared" ca="1" si="4"/>
        <v>561.82975225173993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958.81990976635234</v>
      </c>
      <c r="D46" s="732">
        <f t="shared" ref="D46:Q46" ca="1" si="5">SUM(D39:D45)</f>
        <v>0</v>
      </c>
      <c r="E46" s="732">
        <f t="shared" ca="1" si="5"/>
        <v>6034.8873280381104</v>
      </c>
      <c r="F46" s="732">
        <f t="shared" si="5"/>
        <v>851.77671377776028</v>
      </c>
      <c r="G46" s="732">
        <f t="shared" ca="1" si="5"/>
        <v>6371.4172267345366</v>
      </c>
      <c r="H46" s="732">
        <f t="shared" si="5"/>
        <v>0</v>
      </c>
      <c r="I46" s="732">
        <f t="shared" si="5"/>
        <v>0</v>
      </c>
      <c r="J46" s="732">
        <f t="shared" si="5"/>
        <v>0</v>
      </c>
      <c r="K46" s="732">
        <f t="shared" si="5"/>
        <v>544.01387812190933</v>
      </c>
      <c r="L46" s="732">
        <f t="shared" si="5"/>
        <v>0</v>
      </c>
      <c r="M46" s="732">
        <f t="shared" ca="1" si="5"/>
        <v>0</v>
      </c>
      <c r="N46" s="732">
        <f t="shared" si="5"/>
        <v>0</v>
      </c>
      <c r="O46" s="732">
        <f t="shared" ca="1" si="5"/>
        <v>0</v>
      </c>
      <c r="P46" s="732">
        <f t="shared" si="5"/>
        <v>0</v>
      </c>
      <c r="Q46" s="732">
        <f t="shared" si="5"/>
        <v>0</v>
      </c>
      <c r="R46" s="732">
        <f ca="1">SUM(R39:R45)</f>
        <v>14760.915056438669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161.85285953464606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161.85285953464606</v>
      </c>
    </row>
    <row r="50" spans="1:18">
      <c r="A50" s="825" t="s">
        <v>307</v>
      </c>
      <c r="B50" s="835"/>
      <c r="C50" s="703">
        <f ca="1">transport!B18</f>
        <v>0.35145096743799026</v>
      </c>
      <c r="D50" s="703">
        <f>transport!C18</f>
        <v>0</v>
      </c>
      <c r="E50" s="703">
        <f>transport!D18</f>
        <v>5.4705793503464841</v>
      </c>
      <c r="F50" s="703">
        <f>transport!E18</f>
        <v>22.763230211913495</v>
      </c>
      <c r="G50" s="703">
        <f>transport!F18</f>
        <v>0</v>
      </c>
      <c r="H50" s="703">
        <f>transport!G18</f>
        <v>7311.9512771506834</v>
      </c>
      <c r="I50" s="703">
        <f>transport!H18</f>
        <v>1782.4685578982735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9123.0050955786537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0.35145096743799026</v>
      </c>
      <c r="D52" s="732">
        <f t="shared" ref="D52:Q52" ca="1" si="6">SUM(D48:D51)</f>
        <v>0</v>
      </c>
      <c r="E52" s="732">
        <f t="shared" si="6"/>
        <v>5.4705793503464841</v>
      </c>
      <c r="F52" s="732">
        <f t="shared" si="6"/>
        <v>22.763230211913495</v>
      </c>
      <c r="G52" s="732">
        <f t="shared" si="6"/>
        <v>0</v>
      </c>
      <c r="H52" s="732">
        <f t="shared" si="6"/>
        <v>7473.8041366853295</v>
      </c>
      <c r="I52" s="732">
        <f t="shared" si="6"/>
        <v>1782.4685578982735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9284.8579551132989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85.415473841416912</v>
      </c>
      <c r="D54" s="703">
        <f ca="1">+landbouw!C12</f>
        <v>0</v>
      </c>
      <c r="E54" s="703">
        <f>+landbouw!D12</f>
        <v>32.477998931472165</v>
      </c>
      <c r="F54" s="703">
        <f>+landbouw!E12</f>
        <v>12.754797053042358</v>
      </c>
      <c r="G54" s="703">
        <f>+landbouw!F12</f>
        <v>2126.582744618664</v>
      </c>
      <c r="H54" s="703">
        <f>+landbouw!G12</f>
        <v>0</v>
      </c>
      <c r="I54" s="703">
        <f>+landbouw!H12</f>
        <v>0</v>
      </c>
      <c r="J54" s="703">
        <f>+landbouw!I12</f>
        <v>0</v>
      </c>
      <c r="K54" s="703">
        <f>+landbouw!J12</f>
        <v>111.04929578443144</v>
      </c>
      <c r="L54" s="703">
        <f>+landbouw!K12</f>
        <v>0</v>
      </c>
      <c r="M54" s="703">
        <f>+landbouw!L12</f>
        <v>0</v>
      </c>
      <c r="N54" s="703">
        <f>+landbouw!M12</f>
        <v>0</v>
      </c>
      <c r="O54" s="703">
        <f>+landbouw!N12</f>
        <v>0</v>
      </c>
      <c r="P54" s="703">
        <f>+landbouw!O12</f>
        <v>0</v>
      </c>
      <c r="Q54" s="704">
        <f>+landbouw!P12</f>
        <v>0</v>
      </c>
      <c r="R54" s="731">
        <f ca="1">SUM(C54:Q54)</f>
        <v>2368.2803102290268</v>
      </c>
    </row>
    <row r="55" spans="1:18" ht="15" thickBot="1">
      <c r="A55" s="825" t="s">
        <v>848</v>
      </c>
      <c r="B55" s="835"/>
      <c r="C55" s="703">
        <f ca="1">C25*'EF ele_warmte'!B12</f>
        <v>17.638186238101863</v>
      </c>
      <c r="D55" s="703"/>
      <c r="E55" s="703">
        <f>E25*EF_CO2_aardgas</f>
        <v>107.61634601639999</v>
      </c>
      <c r="F55" s="703"/>
      <c r="G55" s="703"/>
      <c r="H55" s="703"/>
      <c r="I55" s="703"/>
      <c r="J55" s="703"/>
      <c r="K55" s="703"/>
      <c r="L55" s="703"/>
      <c r="M55" s="703"/>
      <c r="N55" s="703"/>
      <c r="O55" s="703"/>
      <c r="P55" s="703"/>
      <c r="Q55" s="704"/>
      <c r="R55" s="731">
        <f ca="1">SUM(C55:Q55)</f>
        <v>125.25453225450185</v>
      </c>
    </row>
    <row r="56" spans="1:18" ht="15.75" thickBot="1">
      <c r="A56" s="823" t="s">
        <v>849</v>
      </c>
      <c r="B56" s="836"/>
      <c r="C56" s="732">
        <f ca="1">SUM(C54:C55)</f>
        <v>103.05366007951878</v>
      </c>
      <c r="D56" s="732">
        <f t="shared" ref="D56:Q56" ca="1" si="7">SUM(D54:D55)</f>
        <v>0</v>
      </c>
      <c r="E56" s="732">
        <f t="shared" si="7"/>
        <v>140.09434494787214</v>
      </c>
      <c r="F56" s="732">
        <f t="shared" si="7"/>
        <v>12.754797053042358</v>
      </c>
      <c r="G56" s="732">
        <f t="shared" si="7"/>
        <v>2126.582744618664</v>
      </c>
      <c r="H56" s="732">
        <f t="shared" si="7"/>
        <v>0</v>
      </c>
      <c r="I56" s="732">
        <f t="shared" si="7"/>
        <v>0</v>
      </c>
      <c r="J56" s="732">
        <f t="shared" si="7"/>
        <v>0</v>
      </c>
      <c r="K56" s="732">
        <f t="shared" si="7"/>
        <v>111.04929578443144</v>
      </c>
      <c r="L56" s="732">
        <f t="shared" si="7"/>
        <v>0</v>
      </c>
      <c r="M56" s="732">
        <f t="shared" si="7"/>
        <v>0</v>
      </c>
      <c r="N56" s="732">
        <f t="shared" si="7"/>
        <v>0</v>
      </c>
      <c r="O56" s="732">
        <f t="shared" si="7"/>
        <v>0</v>
      </c>
      <c r="P56" s="732">
        <f t="shared" si="7"/>
        <v>0</v>
      </c>
      <c r="Q56" s="733">
        <f t="shared" si="7"/>
        <v>0</v>
      </c>
      <c r="R56" s="734">
        <f ca="1">SUM(R54:R55)</f>
        <v>2493.5348424835288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1062.2250208133091</v>
      </c>
      <c r="D61" s="740">
        <f t="shared" ref="D61:Q61" ca="1" si="8">D46+D52+D56</f>
        <v>0</v>
      </c>
      <c r="E61" s="740">
        <f t="shared" ca="1" si="8"/>
        <v>6180.4522523363285</v>
      </c>
      <c r="F61" s="740">
        <f t="shared" si="8"/>
        <v>887.29474104271617</v>
      </c>
      <c r="G61" s="740">
        <f t="shared" ca="1" si="8"/>
        <v>8497.9999713532015</v>
      </c>
      <c r="H61" s="740">
        <f t="shared" si="8"/>
        <v>7473.8041366853295</v>
      </c>
      <c r="I61" s="740">
        <f t="shared" si="8"/>
        <v>1782.4685578982735</v>
      </c>
      <c r="J61" s="740">
        <f t="shared" si="8"/>
        <v>0</v>
      </c>
      <c r="K61" s="740">
        <f t="shared" si="8"/>
        <v>655.06317390634081</v>
      </c>
      <c r="L61" s="740">
        <f t="shared" si="8"/>
        <v>0</v>
      </c>
      <c r="M61" s="740">
        <f t="shared" ca="1" si="8"/>
        <v>0</v>
      </c>
      <c r="N61" s="740">
        <f t="shared" si="8"/>
        <v>0</v>
      </c>
      <c r="O61" s="740">
        <f t="shared" ca="1" si="8"/>
        <v>0</v>
      </c>
      <c r="P61" s="740">
        <f t="shared" si="8"/>
        <v>0</v>
      </c>
      <c r="Q61" s="740">
        <f t="shared" si="8"/>
        <v>0</v>
      </c>
      <c r="R61" s="740">
        <f ca="1">R46+R52+R56</f>
        <v>26539.307854035495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3.9199049780382328E-2</v>
      </c>
      <c r="D63" s="781">
        <f t="shared" ca="1" si="9"/>
        <v>0</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2031.8858728067967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20259.900000000001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23835.176470588234</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22291.785872806799</v>
      </c>
      <c r="C78" s="755">
        <f>SUM(C72:C77)</f>
        <v>0</v>
      </c>
      <c r="D78" s="756">
        <f t="shared" ref="D78:H78" si="10">SUM(D76:D77)</f>
        <v>0</v>
      </c>
      <c r="E78" s="756">
        <f t="shared" si="10"/>
        <v>0</v>
      </c>
      <c r="F78" s="756">
        <f t="shared" si="10"/>
        <v>0</v>
      </c>
      <c r="G78" s="756">
        <f t="shared" si="10"/>
        <v>0</v>
      </c>
      <c r="H78" s="756">
        <f t="shared" si="10"/>
        <v>0</v>
      </c>
      <c r="I78" s="756">
        <f>SUM(I76:I77)</f>
        <v>0</v>
      </c>
      <c r="J78" s="756">
        <f>SUM(J76:J77)</f>
        <v>23835.176470588234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28942.714285714283</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34050.252100840327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28942.714285714283</v>
      </c>
      <c r="C90" s="755">
        <f>SUM(C87:C89)</f>
        <v>0</v>
      </c>
      <c r="D90" s="755">
        <f t="shared" ref="D90:H90" si="12">SUM(D87:D89)</f>
        <v>0</v>
      </c>
      <c r="E90" s="755">
        <f t="shared" si="12"/>
        <v>0</v>
      </c>
      <c r="F90" s="755">
        <f t="shared" si="12"/>
        <v>0</v>
      </c>
      <c r="G90" s="755">
        <f t="shared" si="12"/>
        <v>0</v>
      </c>
      <c r="H90" s="755">
        <f t="shared" si="12"/>
        <v>0</v>
      </c>
      <c r="I90" s="755">
        <f>SUM(I87:I89)</f>
        <v>0</v>
      </c>
      <c r="J90" s="755">
        <f>SUM(J87:J89)</f>
        <v>34050.252100840327</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2031.8858728067967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20259.900000000001</v>
      </c>
      <c r="C8" s="570">
        <f>B101</f>
        <v>0</v>
      </c>
      <c r="D8" s="1043"/>
      <c r="E8" s="1043">
        <f>E101</f>
        <v>0</v>
      </c>
      <c r="F8" s="1044"/>
      <c r="G8" s="571"/>
      <c r="H8" s="1043">
        <f>I101</f>
        <v>0</v>
      </c>
      <c r="I8" s="1043">
        <f>G101+F101</f>
        <v>0</v>
      </c>
      <c r="J8" s="1043">
        <f>H101+D101+C101</f>
        <v>23835.176470588234</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22291.785872806799</v>
      </c>
      <c r="C10" s="583">
        <f t="shared" ref="C10:L10" si="0">SUM(C8:C9)</f>
        <v>0</v>
      </c>
      <c r="D10" s="583">
        <f t="shared" si="0"/>
        <v>0</v>
      </c>
      <c r="E10" s="583">
        <f t="shared" si="0"/>
        <v>0</v>
      </c>
      <c r="F10" s="583">
        <f t="shared" si="0"/>
        <v>0</v>
      </c>
      <c r="G10" s="583">
        <f t="shared" si="0"/>
        <v>0</v>
      </c>
      <c r="H10" s="583">
        <f t="shared" si="0"/>
        <v>0</v>
      </c>
      <c r="I10" s="583">
        <f t="shared" si="0"/>
        <v>0</v>
      </c>
      <c r="J10" s="583">
        <f t="shared" si="0"/>
        <v>23835.176470588234</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28942.714285714283</v>
      </c>
      <c r="C17" s="595">
        <f>B102</f>
        <v>0</v>
      </c>
      <c r="D17" s="596"/>
      <c r="E17" s="596">
        <f>E102</f>
        <v>0</v>
      </c>
      <c r="F17" s="1049"/>
      <c r="G17" s="597"/>
      <c r="H17" s="595">
        <f>I102</f>
        <v>0</v>
      </c>
      <c r="I17" s="596">
        <f>G102+F102</f>
        <v>0</v>
      </c>
      <c r="J17" s="596">
        <f>H102+D102+C102</f>
        <v>34050.252100840327</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28942.714285714283</v>
      </c>
      <c r="C20" s="582">
        <f>SUM(C17:C19)</f>
        <v>0</v>
      </c>
      <c r="D20" s="582">
        <f t="shared" ref="D20:L20" si="1">SUM(D17:D19)</f>
        <v>0</v>
      </c>
      <c r="E20" s="582">
        <f t="shared" si="1"/>
        <v>0</v>
      </c>
      <c r="F20" s="582">
        <f t="shared" si="1"/>
        <v>0</v>
      </c>
      <c r="G20" s="582">
        <f t="shared" si="1"/>
        <v>0</v>
      </c>
      <c r="H20" s="582">
        <f t="shared" si="1"/>
        <v>0</v>
      </c>
      <c r="I20" s="582">
        <f t="shared" si="1"/>
        <v>0</v>
      </c>
      <c r="J20" s="582">
        <f t="shared" si="1"/>
        <v>34050.252100840327</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44080</v>
      </c>
      <c r="C28" s="796">
        <v>9930</v>
      </c>
      <c r="D28" s="653" t="s">
        <v>890</v>
      </c>
      <c r="E28" s="652" t="s">
        <v>891</v>
      </c>
      <c r="F28" s="652" t="s">
        <v>892</v>
      </c>
      <c r="G28" s="652" t="s">
        <v>893</v>
      </c>
      <c r="H28" s="652" t="s">
        <v>894</v>
      </c>
      <c r="I28" s="652" t="s">
        <v>891</v>
      </c>
      <c r="J28" s="795">
        <v>39702</v>
      </c>
      <c r="K28" s="795">
        <v>39373</v>
      </c>
      <c r="L28" s="652" t="s">
        <v>895</v>
      </c>
      <c r="M28" s="652">
        <v>1038</v>
      </c>
      <c r="N28" s="652">
        <v>4671</v>
      </c>
      <c r="O28" s="652">
        <v>6672.8571428571431</v>
      </c>
      <c r="P28" s="652">
        <v>0</v>
      </c>
      <c r="Q28" s="652">
        <v>13345.714285714286</v>
      </c>
      <c r="R28" s="652">
        <v>0</v>
      </c>
      <c r="S28" s="652">
        <v>0</v>
      </c>
      <c r="T28" s="652">
        <v>0</v>
      </c>
      <c r="U28" s="652">
        <v>0</v>
      </c>
      <c r="V28" s="652">
        <v>0</v>
      </c>
      <c r="W28" s="652">
        <v>0</v>
      </c>
      <c r="X28" s="652">
        <v>10</v>
      </c>
      <c r="Y28" s="652" t="s">
        <v>112</v>
      </c>
      <c r="Z28" s="654" t="s">
        <v>112</v>
      </c>
    </row>
    <row r="29" spans="1:26" s="606" customFormat="1" ht="25.5">
      <c r="A29" s="605"/>
      <c r="B29" s="796">
        <v>44080</v>
      </c>
      <c r="C29" s="796">
        <v>9930</v>
      </c>
      <c r="D29" s="653" t="s">
        <v>896</v>
      </c>
      <c r="E29" s="652" t="s">
        <v>897</v>
      </c>
      <c r="F29" s="652" t="s">
        <v>898</v>
      </c>
      <c r="G29" s="652" t="s">
        <v>893</v>
      </c>
      <c r="H29" s="652" t="s">
        <v>894</v>
      </c>
      <c r="I29" s="652" t="s">
        <v>897</v>
      </c>
      <c r="J29" s="795">
        <v>40744</v>
      </c>
      <c r="K29" s="795">
        <v>40192</v>
      </c>
      <c r="L29" s="652" t="s">
        <v>895</v>
      </c>
      <c r="M29" s="652">
        <v>2860</v>
      </c>
      <c r="N29" s="652">
        <v>12870</v>
      </c>
      <c r="O29" s="652">
        <v>18385.714285714286</v>
      </c>
      <c r="P29" s="652">
        <v>0</v>
      </c>
      <c r="Q29" s="652">
        <v>36771.428571428572</v>
      </c>
      <c r="R29" s="652">
        <v>0</v>
      </c>
      <c r="S29" s="652">
        <v>0</v>
      </c>
      <c r="T29" s="652">
        <v>0</v>
      </c>
      <c r="U29" s="652">
        <v>0</v>
      </c>
      <c r="V29" s="652">
        <v>0</v>
      </c>
      <c r="W29" s="652">
        <v>0</v>
      </c>
      <c r="X29" s="652">
        <v>10</v>
      </c>
      <c r="Y29" s="652" t="s">
        <v>112</v>
      </c>
      <c r="Z29" s="654" t="s">
        <v>112</v>
      </c>
    </row>
    <row r="30" spans="1:26" s="606" customFormat="1" ht="25.5">
      <c r="A30" s="605"/>
      <c r="B30" s="796">
        <v>44080</v>
      </c>
      <c r="C30" s="796">
        <v>9931</v>
      </c>
      <c r="D30" s="653" t="s">
        <v>899</v>
      </c>
      <c r="E30" s="652" t="s">
        <v>900</v>
      </c>
      <c r="F30" s="652" t="s">
        <v>901</v>
      </c>
      <c r="G30" s="652" t="s">
        <v>893</v>
      </c>
      <c r="H30" s="652" t="s">
        <v>894</v>
      </c>
      <c r="I30" s="652" t="s">
        <v>900</v>
      </c>
      <c r="J30" s="795">
        <v>41124</v>
      </c>
      <c r="K30" s="795">
        <v>41244</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44080</v>
      </c>
      <c r="C31" s="796">
        <v>9930</v>
      </c>
      <c r="D31" s="653" t="s">
        <v>890</v>
      </c>
      <c r="E31" s="652" t="s">
        <v>891</v>
      </c>
      <c r="F31" s="652" t="s">
        <v>902</v>
      </c>
      <c r="G31" s="652" t="s">
        <v>893</v>
      </c>
      <c r="H31" s="652" t="s">
        <v>894</v>
      </c>
      <c r="I31" s="652" t="s">
        <v>891</v>
      </c>
      <c r="J31" s="795">
        <v>42172</v>
      </c>
      <c r="K31" s="795">
        <v>42172</v>
      </c>
      <c r="L31" s="652" t="s">
        <v>895</v>
      </c>
      <c r="M31" s="652">
        <v>1189</v>
      </c>
      <c r="N31" s="652">
        <v>2675.25</v>
      </c>
      <c r="O31" s="652">
        <v>3821.7857142857142</v>
      </c>
      <c r="P31" s="652">
        <v>0</v>
      </c>
      <c r="Q31" s="652">
        <v>7643.5714285714294</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5096.7</v>
      </c>
      <c r="N58" s="610">
        <f>SUM(N28:N57)</f>
        <v>20259.900000000001</v>
      </c>
      <c r="O58" s="610">
        <f t="shared" ref="O58:W58" si="2">SUM(O28:O57)</f>
        <v>28942.714285714283</v>
      </c>
      <c r="P58" s="610">
        <f t="shared" si="2"/>
        <v>0</v>
      </c>
      <c r="Q58" s="610">
        <f t="shared" si="2"/>
        <v>57885.428571428565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5096.7</v>
      </c>
      <c r="N61" s="615">
        <f t="shared" si="4"/>
        <v>20259.900000000001</v>
      </c>
      <c r="O61" s="615">
        <f t="shared" si="4"/>
        <v>28942.714285714283</v>
      </c>
      <c r="P61" s="615">
        <f t="shared" si="4"/>
        <v>0</v>
      </c>
      <c r="Q61" s="615">
        <f t="shared" si="4"/>
        <v>57885.428571428565</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23835.176470588234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34050.252100840327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15593.432245646814</v>
      </c>
      <c r="C4" s="477">
        <f>huishoudens!C8</f>
        <v>0</v>
      </c>
      <c r="D4" s="477">
        <f>huishoudens!D8</f>
        <v>20953.10896415</v>
      </c>
      <c r="E4" s="477">
        <f>huishoudens!E8</f>
        <v>3395.0639991218695</v>
      </c>
      <c r="F4" s="477">
        <f>huishoudens!F8</f>
        <v>21360.240256306402</v>
      </c>
      <c r="G4" s="477">
        <f>huishoudens!G8</f>
        <v>0</v>
      </c>
      <c r="H4" s="477">
        <f>huishoudens!H8</f>
        <v>0</v>
      </c>
      <c r="I4" s="477">
        <f>huishoudens!I8</f>
        <v>0</v>
      </c>
      <c r="J4" s="477">
        <f>huishoudens!J8</f>
        <v>1532.2517159856473</v>
      </c>
      <c r="K4" s="477">
        <f>huishoudens!K8</f>
        <v>0</v>
      </c>
      <c r="L4" s="477">
        <f>huishoudens!L8</f>
        <v>0</v>
      </c>
      <c r="M4" s="477">
        <f>huishoudens!M8</f>
        <v>0</v>
      </c>
      <c r="N4" s="477">
        <f>huishoudens!N8</f>
        <v>10061.432031789673</v>
      </c>
      <c r="O4" s="477">
        <f>huishoudens!O8</f>
        <v>203.23333333333335</v>
      </c>
      <c r="P4" s="478">
        <f>huishoudens!P8</f>
        <v>591.06666666666661</v>
      </c>
      <c r="Q4" s="479">
        <f>SUM(B4:P4)</f>
        <v>73689.829213000412</v>
      </c>
    </row>
    <row r="5" spans="1:17">
      <c r="A5" s="476" t="s">
        <v>156</v>
      </c>
      <c r="B5" s="477">
        <f ca="1">tertiair!B16</f>
        <v>6659.6862793090004</v>
      </c>
      <c r="C5" s="477">
        <f ca="1">tertiair!C16</f>
        <v>0</v>
      </c>
      <c r="D5" s="477">
        <f ca="1">tertiair!D16</f>
        <v>7800.8445686905798</v>
      </c>
      <c r="E5" s="477">
        <f>tertiair!E16</f>
        <v>129.18593940091083</v>
      </c>
      <c r="F5" s="477">
        <f ca="1">tertiair!F16</f>
        <v>1673.0671917120389</v>
      </c>
      <c r="G5" s="477">
        <f>tertiair!G16</f>
        <v>0</v>
      </c>
      <c r="H5" s="477">
        <f>tertiair!H16</f>
        <v>0</v>
      </c>
      <c r="I5" s="477">
        <f>tertiair!I16</f>
        <v>0</v>
      </c>
      <c r="J5" s="477">
        <f>tertiair!J16</f>
        <v>0</v>
      </c>
      <c r="K5" s="477">
        <f>tertiair!K16</f>
        <v>0</v>
      </c>
      <c r="L5" s="477">
        <f ca="1">tertiair!L16</f>
        <v>0</v>
      </c>
      <c r="M5" s="477">
        <f>tertiair!M16</f>
        <v>0</v>
      </c>
      <c r="N5" s="477">
        <f ca="1">tertiair!N16</f>
        <v>821.66234902463123</v>
      </c>
      <c r="O5" s="477">
        <f>tertiair!O16</f>
        <v>4.6900000000000004</v>
      </c>
      <c r="P5" s="478">
        <f>tertiair!P16</f>
        <v>19.066666666666666</v>
      </c>
      <c r="Q5" s="476">
        <f t="shared" ref="Q5:Q14" ca="1" si="0">SUM(B5:P5)</f>
        <v>17108.202994803825</v>
      </c>
    </row>
    <row r="6" spans="1:17">
      <c r="A6" s="476" t="s">
        <v>194</v>
      </c>
      <c r="B6" s="477">
        <f>'openbare verlichting'!B8</f>
        <v>667.63499999999999</v>
      </c>
      <c r="C6" s="477"/>
      <c r="D6" s="477"/>
      <c r="E6" s="477"/>
      <c r="F6" s="477"/>
      <c r="G6" s="477"/>
      <c r="H6" s="477"/>
      <c r="I6" s="477"/>
      <c r="J6" s="477"/>
      <c r="K6" s="477"/>
      <c r="L6" s="477"/>
      <c r="M6" s="477"/>
      <c r="N6" s="477"/>
      <c r="O6" s="477"/>
      <c r="P6" s="478"/>
      <c r="Q6" s="476">
        <f t="shared" si="0"/>
        <v>667.63499999999999</v>
      </c>
    </row>
    <row r="7" spans="1:17">
      <c r="A7" s="476" t="s">
        <v>112</v>
      </c>
      <c r="B7" s="477">
        <f>landbouw!B8</f>
        <v>2179.01898949</v>
      </c>
      <c r="C7" s="477">
        <f>landbouw!C8</f>
        <v>28942.714285714283</v>
      </c>
      <c r="D7" s="477">
        <f>landbouw!D8</f>
        <v>160.78217292808</v>
      </c>
      <c r="E7" s="477">
        <f>landbouw!E8</f>
        <v>56.188533273314349</v>
      </c>
      <c r="F7" s="477">
        <f>landbouw!F8</f>
        <v>7964.7293805942472</v>
      </c>
      <c r="G7" s="477">
        <f>landbouw!G8</f>
        <v>0</v>
      </c>
      <c r="H7" s="477">
        <f>landbouw!H8</f>
        <v>0</v>
      </c>
      <c r="I7" s="477">
        <f>landbouw!I8</f>
        <v>0</v>
      </c>
      <c r="J7" s="477">
        <f>landbouw!J8</f>
        <v>313.69857566223573</v>
      </c>
      <c r="K7" s="477">
        <f>landbouw!K8</f>
        <v>0</v>
      </c>
      <c r="L7" s="477">
        <f>landbouw!L8</f>
        <v>0</v>
      </c>
      <c r="M7" s="477">
        <f>landbouw!M8</f>
        <v>0</v>
      </c>
      <c r="N7" s="477">
        <f>landbouw!N8</f>
        <v>0</v>
      </c>
      <c r="O7" s="477">
        <f>landbouw!O8</f>
        <v>0</v>
      </c>
      <c r="P7" s="478">
        <f>landbouw!P8</f>
        <v>0</v>
      </c>
      <c r="Q7" s="476">
        <f t="shared" si="0"/>
        <v>39617.131937662161</v>
      </c>
    </row>
    <row r="8" spans="1:17">
      <c r="A8" s="476" t="s">
        <v>638</v>
      </c>
      <c r="B8" s="477">
        <f>industrie!B18</f>
        <v>1539.5309752620001</v>
      </c>
      <c r="C8" s="477">
        <f>industrie!C18</f>
        <v>0</v>
      </c>
      <c r="D8" s="477">
        <f>industrie!D18</f>
        <v>1121.72630893224</v>
      </c>
      <c r="E8" s="477">
        <f>industrie!E18</f>
        <v>228.07038648937953</v>
      </c>
      <c r="F8" s="477">
        <f>industrie!F18</f>
        <v>829.67841990116949</v>
      </c>
      <c r="G8" s="477">
        <f>industrie!G18</f>
        <v>0</v>
      </c>
      <c r="H8" s="477">
        <f>industrie!H18</f>
        <v>0</v>
      </c>
      <c r="I8" s="477">
        <f>industrie!I18</f>
        <v>0</v>
      </c>
      <c r="J8" s="477">
        <f>industrie!J18</f>
        <v>4.5106515903679627</v>
      </c>
      <c r="K8" s="477">
        <f>industrie!K18</f>
        <v>0</v>
      </c>
      <c r="L8" s="477">
        <f>industrie!L18</f>
        <v>0</v>
      </c>
      <c r="M8" s="477">
        <f>industrie!M18</f>
        <v>0</v>
      </c>
      <c r="N8" s="477">
        <f>industrie!N18</f>
        <v>418.93783688435838</v>
      </c>
      <c r="O8" s="477">
        <f>industrie!O18</f>
        <v>0</v>
      </c>
      <c r="P8" s="478">
        <f>industrie!P18</f>
        <v>0</v>
      </c>
      <c r="Q8" s="476">
        <f t="shared" si="0"/>
        <v>4142.4545790595157</v>
      </c>
    </row>
    <row r="9" spans="1:17" s="482" customFormat="1">
      <c r="A9" s="480" t="s">
        <v>564</v>
      </c>
      <c r="B9" s="481">
        <f>transport!B14</f>
        <v>8.9658032377580348</v>
      </c>
      <c r="C9" s="481">
        <f>transport!C14</f>
        <v>0</v>
      </c>
      <c r="D9" s="481">
        <f>transport!D14</f>
        <v>27.082075991814275</v>
      </c>
      <c r="E9" s="481">
        <f>transport!E14</f>
        <v>100.27854718904624</v>
      </c>
      <c r="F9" s="481">
        <f>transport!F14</f>
        <v>0</v>
      </c>
      <c r="G9" s="481">
        <f>transport!G14</f>
        <v>27385.58530768046</v>
      </c>
      <c r="H9" s="481">
        <f>transport!H14</f>
        <v>7158.5082646517012</v>
      </c>
      <c r="I9" s="481">
        <f>transport!I14</f>
        <v>0</v>
      </c>
      <c r="J9" s="481">
        <f>transport!J14</f>
        <v>0</v>
      </c>
      <c r="K9" s="481">
        <f>transport!K14</f>
        <v>0</v>
      </c>
      <c r="L9" s="481">
        <f>transport!L14</f>
        <v>0</v>
      </c>
      <c r="M9" s="481">
        <f>transport!M14</f>
        <v>1077.3193037851083</v>
      </c>
      <c r="N9" s="481">
        <f>transport!N14</f>
        <v>0</v>
      </c>
      <c r="O9" s="481">
        <f>transport!O14</f>
        <v>0</v>
      </c>
      <c r="P9" s="481">
        <f>transport!P14</f>
        <v>0</v>
      </c>
      <c r="Q9" s="480">
        <f>SUM(B9:P9)</f>
        <v>35757.739302535891</v>
      </c>
    </row>
    <row r="10" spans="1:17">
      <c r="A10" s="476" t="s">
        <v>554</v>
      </c>
      <c r="B10" s="477">
        <f>transport!B54</f>
        <v>0</v>
      </c>
      <c r="C10" s="477">
        <f>transport!C54</f>
        <v>0</v>
      </c>
      <c r="D10" s="477">
        <f>transport!D54</f>
        <v>0</v>
      </c>
      <c r="E10" s="477">
        <f>transport!E54</f>
        <v>0</v>
      </c>
      <c r="F10" s="477">
        <f>transport!F54</f>
        <v>0</v>
      </c>
      <c r="G10" s="477">
        <f>transport!G54</f>
        <v>606.19048514848703</v>
      </c>
      <c r="H10" s="477">
        <f>transport!H54</f>
        <v>0</v>
      </c>
      <c r="I10" s="477">
        <f>transport!I54</f>
        <v>0</v>
      </c>
      <c r="J10" s="477">
        <f>transport!J54</f>
        <v>0</v>
      </c>
      <c r="K10" s="477">
        <f>transport!K54</f>
        <v>0</v>
      </c>
      <c r="L10" s="477">
        <f>transport!L54</f>
        <v>0</v>
      </c>
      <c r="M10" s="477">
        <f>transport!M54</f>
        <v>18.802672690810699</v>
      </c>
      <c r="N10" s="477">
        <f>transport!N54</f>
        <v>0</v>
      </c>
      <c r="O10" s="477">
        <f>transport!O54</f>
        <v>0</v>
      </c>
      <c r="P10" s="478">
        <f>transport!P54</f>
        <v>0</v>
      </c>
      <c r="Q10" s="476">
        <f t="shared" si="0"/>
        <v>624.99315783929774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449.96463783999997</v>
      </c>
      <c r="C14" s="484"/>
      <c r="D14" s="484">
        <f>'SEAP template'!E25</f>
        <v>532.75418819999993</v>
      </c>
      <c r="E14" s="484"/>
      <c r="F14" s="484"/>
      <c r="G14" s="484"/>
      <c r="H14" s="484"/>
      <c r="I14" s="484"/>
      <c r="J14" s="484"/>
      <c r="K14" s="484"/>
      <c r="L14" s="484"/>
      <c r="M14" s="484"/>
      <c r="N14" s="484"/>
      <c r="O14" s="484"/>
      <c r="P14" s="485"/>
      <c r="Q14" s="476">
        <f t="shared" si="0"/>
        <v>982.71882603999984</v>
      </c>
    </row>
    <row r="15" spans="1:17" s="486" customFormat="1">
      <c r="A15" s="1038" t="s">
        <v>558</v>
      </c>
      <c r="B15" s="978">
        <f ca="1">SUM(B4:B14)</f>
        <v>27098.233930785573</v>
      </c>
      <c r="C15" s="978">
        <f t="shared" ref="C15:Q15" ca="1" si="1">SUM(C4:C14)</f>
        <v>28942.714285714283</v>
      </c>
      <c r="D15" s="978">
        <f t="shared" ca="1" si="1"/>
        <v>30596.298278892715</v>
      </c>
      <c r="E15" s="978">
        <f t="shared" si="1"/>
        <v>3908.7874054745203</v>
      </c>
      <c r="F15" s="978">
        <f t="shared" ca="1" si="1"/>
        <v>31827.715248513858</v>
      </c>
      <c r="G15" s="978">
        <f t="shared" si="1"/>
        <v>27991.775792828947</v>
      </c>
      <c r="H15" s="978">
        <f t="shared" si="1"/>
        <v>7158.5082646517012</v>
      </c>
      <c r="I15" s="978">
        <f t="shared" si="1"/>
        <v>0</v>
      </c>
      <c r="J15" s="978">
        <f t="shared" si="1"/>
        <v>1850.460943238251</v>
      </c>
      <c r="K15" s="978">
        <f t="shared" si="1"/>
        <v>0</v>
      </c>
      <c r="L15" s="978">
        <f t="shared" ca="1" si="1"/>
        <v>0</v>
      </c>
      <c r="M15" s="978">
        <f t="shared" si="1"/>
        <v>1096.1219764759189</v>
      </c>
      <c r="N15" s="978">
        <f t="shared" ca="1" si="1"/>
        <v>11302.032217698663</v>
      </c>
      <c r="O15" s="978">
        <f t="shared" si="1"/>
        <v>207.92333333333335</v>
      </c>
      <c r="P15" s="978">
        <f t="shared" si="1"/>
        <v>610.13333333333333</v>
      </c>
      <c r="Q15" s="978">
        <f t="shared" ca="1" si="1"/>
        <v>172590.70501094108</v>
      </c>
    </row>
    <row r="17" spans="1:17">
      <c r="A17" s="487" t="s">
        <v>559</v>
      </c>
      <c r="B17" s="786">
        <f ca="1">huishoudens!B10</f>
        <v>3.9199049780382328E-2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611.24772684412847</v>
      </c>
      <c r="C22" s="477">
        <f t="shared" ref="C22:C32" ca="1" si="3">C4*$C$17</f>
        <v>0</v>
      </c>
      <c r="D22" s="477">
        <f t="shared" ref="D22:D32" si="4">D4*$D$17</f>
        <v>4232.5280107583003</v>
      </c>
      <c r="E22" s="477">
        <f t="shared" ref="E22:E32" si="5">E4*$E$17</f>
        <v>770.67952780066446</v>
      </c>
      <c r="F22" s="477">
        <f t="shared" ref="F22:F32" si="6">F4*$F$17</f>
        <v>5703.1841484338102</v>
      </c>
      <c r="G22" s="477">
        <f t="shared" ref="G22:G32" si="7">G4*$G$17</f>
        <v>0</v>
      </c>
      <c r="H22" s="477">
        <f t="shared" ref="H22:H32" si="8">H4*$H$17</f>
        <v>0</v>
      </c>
      <c r="I22" s="477">
        <f t="shared" ref="I22:I32" si="9">I4*$I$17</f>
        <v>0</v>
      </c>
      <c r="J22" s="477">
        <f t="shared" ref="J22:J32" si="10">J4*$J$17</f>
        <v>542.41710745891908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11860.056521295823</v>
      </c>
    </row>
    <row r="23" spans="1:17">
      <c r="A23" s="476" t="s">
        <v>156</v>
      </c>
      <c r="B23" s="477">
        <f t="shared" ca="1" si="2"/>
        <v>261.05337398436268</v>
      </c>
      <c r="C23" s="477">
        <f t="shared" ca="1" si="3"/>
        <v>0</v>
      </c>
      <c r="D23" s="477">
        <f t="shared" ca="1" si="4"/>
        <v>1575.7706028754972</v>
      </c>
      <c r="E23" s="477">
        <f t="shared" si="5"/>
        <v>29.32520824400676</v>
      </c>
      <c r="F23" s="477">
        <f t="shared" ca="1" si="6"/>
        <v>446.70894018711442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2312.8581252909808</v>
      </c>
    </row>
    <row r="24" spans="1:17">
      <c r="A24" s="476" t="s">
        <v>194</v>
      </c>
      <c r="B24" s="477">
        <f t="shared" ca="1" si="2"/>
        <v>26.170657600125555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26.170657600125555</v>
      </c>
    </row>
    <row r="25" spans="1:17">
      <c r="A25" s="476" t="s">
        <v>112</v>
      </c>
      <c r="B25" s="477">
        <f t="shared" ca="1" si="2"/>
        <v>85.415473841416912</v>
      </c>
      <c r="C25" s="477">
        <f t="shared" ca="1" si="3"/>
        <v>0</v>
      </c>
      <c r="D25" s="477">
        <f t="shared" si="4"/>
        <v>32.477998931472165</v>
      </c>
      <c r="E25" s="477">
        <f t="shared" si="5"/>
        <v>12.754797053042358</v>
      </c>
      <c r="F25" s="477">
        <f t="shared" si="6"/>
        <v>2126.582744618664</v>
      </c>
      <c r="G25" s="477">
        <f t="shared" si="7"/>
        <v>0</v>
      </c>
      <c r="H25" s="477">
        <f t="shared" si="8"/>
        <v>0</v>
      </c>
      <c r="I25" s="477">
        <f t="shared" si="9"/>
        <v>0</v>
      </c>
      <c r="J25" s="477">
        <f t="shared" si="10"/>
        <v>111.04929578443144</v>
      </c>
      <c r="K25" s="477">
        <f t="shared" si="11"/>
        <v>0</v>
      </c>
      <c r="L25" s="477">
        <f t="shared" si="12"/>
        <v>0</v>
      </c>
      <c r="M25" s="477">
        <f t="shared" si="13"/>
        <v>0</v>
      </c>
      <c r="N25" s="477">
        <f t="shared" si="14"/>
        <v>0</v>
      </c>
      <c r="O25" s="477">
        <f t="shared" si="15"/>
        <v>0</v>
      </c>
      <c r="P25" s="478">
        <f t="shared" si="16"/>
        <v>0</v>
      </c>
      <c r="Q25" s="476">
        <f t="shared" ca="1" si="17"/>
        <v>2368.2803102290268</v>
      </c>
    </row>
    <row r="26" spans="1:17">
      <c r="A26" s="476" t="s">
        <v>638</v>
      </c>
      <c r="B26" s="477">
        <f t="shared" ca="1" si="2"/>
        <v>60.348151337735693</v>
      </c>
      <c r="C26" s="477">
        <f t="shared" ca="1" si="3"/>
        <v>0</v>
      </c>
      <c r="D26" s="477">
        <f t="shared" si="4"/>
        <v>226.5887144043125</v>
      </c>
      <c r="E26" s="477">
        <f t="shared" si="5"/>
        <v>51.771977733089152</v>
      </c>
      <c r="F26" s="477">
        <f t="shared" si="6"/>
        <v>221.52413811361225</v>
      </c>
      <c r="G26" s="477">
        <f t="shared" si="7"/>
        <v>0</v>
      </c>
      <c r="H26" s="477">
        <f t="shared" si="8"/>
        <v>0</v>
      </c>
      <c r="I26" s="477">
        <f t="shared" si="9"/>
        <v>0</v>
      </c>
      <c r="J26" s="477">
        <f t="shared" si="10"/>
        <v>1.5967706629902587</v>
      </c>
      <c r="K26" s="477">
        <f t="shared" si="11"/>
        <v>0</v>
      </c>
      <c r="L26" s="477">
        <f t="shared" si="12"/>
        <v>0</v>
      </c>
      <c r="M26" s="477">
        <f t="shared" si="13"/>
        <v>0</v>
      </c>
      <c r="N26" s="477">
        <f t="shared" si="14"/>
        <v>0</v>
      </c>
      <c r="O26" s="477">
        <f t="shared" si="15"/>
        <v>0</v>
      </c>
      <c r="P26" s="478">
        <f t="shared" si="16"/>
        <v>0</v>
      </c>
      <c r="Q26" s="476">
        <f t="shared" ca="1" si="17"/>
        <v>561.82975225173993</v>
      </c>
    </row>
    <row r="27" spans="1:17" s="482" customFormat="1">
      <c r="A27" s="480" t="s">
        <v>564</v>
      </c>
      <c r="B27" s="780">
        <f t="shared" ca="1" si="2"/>
        <v>0.35145096743799026</v>
      </c>
      <c r="C27" s="481">
        <f t="shared" ca="1" si="3"/>
        <v>0</v>
      </c>
      <c r="D27" s="481">
        <f t="shared" si="4"/>
        <v>5.4705793503464841</v>
      </c>
      <c r="E27" s="481">
        <f t="shared" si="5"/>
        <v>22.763230211913495</v>
      </c>
      <c r="F27" s="481">
        <f t="shared" si="6"/>
        <v>0</v>
      </c>
      <c r="G27" s="481">
        <f t="shared" si="7"/>
        <v>7311.9512771506834</v>
      </c>
      <c r="H27" s="481">
        <f t="shared" si="8"/>
        <v>1782.4685578982735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9123.0050955786537</v>
      </c>
    </row>
    <row r="28" spans="1:17">
      <c r="A28" s="476" t="s">
        <v>554</v>
      </c>
      <c r="B28" s="477">
        <f t="shared" ca="1" si="2"/>
        <v>0</v>
      </c>
      <c r="C28" s="477">
        <f t="shared" ca="1" si="3"/>
        <v>0</v>
      </c>
      <c r="D28" s="477">
        <f t="shared" si="4"/>
        <v>0</v>
      </c>
      <c r="E28" s="477">
        <f t="shared" si="5"/>
        <v>0</v>
      </c>
      <c r="F28" s="477">
        <f t="shared" si="6"/>
        <v>0</v>
      </c>
      <c r="G28" s="477">
        <f t="shared" si="7"/>
        <v>161.85285953464606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161.85285953464606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17.638186238101863</v>
      </c>
      <c r="C32" s="477">
        <f t="shared" ca="1" si="3"/>
        <v>0</v>
      </c>
      <c r="D32" s="477">
        <f t="shared" si="4"/>
        <v>107.61634601639999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125.25453225450185</v>
      </c>
    </row>
    <row r="33" spans="1:17" s="486" customFormat="1">
      <c r="A33" s="1038" t="s">
        <v>558</v>
      </c>
      <c r="B33" s="978">
        <f ca="1">SUM(B22:B32)</f>
        <v>1062.2250208133091</v>
      </c>
      <c r="C33" s="978">
        <f t="shared" ref="C33:Q33" ca="1" si="18">SUM(C22:C32)</f>
        <v>0</v>
      </c>
      <c r="D33" s="978">
        <f t="shared" ca="1" si="18"/>
        <v>6180.4522523363285</v>
      </c>
      <c r="E33" s="978">
        <f t="shared" si="18"/>
        <v>887.29474104271617</v>
      </c>
      <c r="F33" s="978">
        <f t="shared" ca="1" si="18"/>
        <v>8497.9999713532015</v>
      </c>
      <c r="G33" s="978">
        <f t="shared" si="18"/>
        <v>7473.8041366853295</v>
      </c>
      <c r="H33" s="978">
        <f t="shared" si="18"/>
        <v>1782.4685578982735</v>
      </c>
      <c r="I33" s="978">
        <f t="shared" si="18"/>
        <v>0</v>
      </c>
      <c r="J33" s="978">
        <f t="shared" si="18"/>
        <v>655.06317390634081</v>
      </c>
      <c r="K33" s="978">
        <f t="shared" si="18"/>
        <v>0</v>
      </c>
      <c r="L33" s="978">
        <f t="shared" ca="1" si="18"/>
        <v>0</v>
      </c>
      <c r="M33" s="978">
        <f t="shared" si="18"/>
        <v>0</v>
      </c>
      <c r="N33" s="978">
        <f t="shared" ca="1" si="18"/>
        <v>0</v>
      </c>
      <c r="O33" s="978">
        <f t="shared" si="18"/>
        <v>0</v>
      </c>
      <c r="P33" s="978">
        <f t="shared" si="18"/>
        <v>0</v>
      </c>
      <c r="Q33" s="978">
        <f t="shared" ca="1" si="18"/>
        <v>26539.307854035495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2031.8858728067967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20259.900000000001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23835.176470588234</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22291.785872806799</v>
      </c>
      <c r="C10" s="1059">
        <f>SUM(C4:C9)</f>
        <v>0</v>
      </c>
      <c r="D10" s="1059">
        <f t="shared" ref="D10:H10" si="0">SUM(D8:D9)</f>
        <v>0</v>
      </c>
      <c r="E10" s="1059">
        <f t="shared" si="0"/>
        <v>0</v>
      </c>
      <c r="F10" s="1059">
        <f t="shared" si="0"/>
        <v>0</v>
      </c>
      <c r="G10" s="1059">
        <f t="shared" si="0"/>
        <v>0</v>
      </c>
      <c r="H10" s="1059">
        <f t="shared" si="0"/>
        <v>0</v>
      </c>
      <c r="I10" s="1059">
        <f>SUM(I8:I9)</f>
        <v>0</v>
      </c>
      <c r="J10" s="1059">
        <f>SUM(J8:J9)</f>
        <v>23835.176470588234</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3.9199049780382328E-2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28942.714285714283</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34050.252100840327</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28942.714285714283</v>
      </c>
      <c r="C20" s="1059">
        <f>SUM(C17:C19)</f>
        <v>0</v>
      </c>
      <c r="D20" s="1059">
        <f t="shared" ref="D20:H20" si="2">SUM(D17:D19)</f>
        <v>0</v>
      </c>
      <c r="E20" s="1059">
        <f t="shared" si="2"/>
        <v>0</v>
      </c>
      <c r="F20" s="1059">
        <f t="shared" si="2"/>
        <v>0</v>
      </c>
      <c r="G20" s="1059">
        <f t="shared" si="2"/>
        <v>0</v>
      </c>
      <c r="H20" s="1059">
        <f t="shared" si="2"/>
        <v>0</v>
      </c>
      <c r="I20" s="1059">
        <f>SUM(I17:I19)</f>
        <v>0</v>
      </c>
      <c r="J20" s="1059">
        <f>SUM(J17:J19)</f>
        <v>34050.252100840327</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3.9199049780382328E-2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2019-08-12T08:25:45Z</dcterms:modified>
</cp:coreProperties>
</file>