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90" i="14"/>
  <c r="H10" i="59"/>
  <c r="L18"/>
  <c r="L20" s="1"/>
  <c r="L90" i="14"/>
  <c r="K18" i="59"/>
  <c r="K20" s="1"/>
  <c r="K90" i="14"/>
  <c r="L78"/>
  <c r="L8" i="59"/>
  <c r="L10" s="1"/>
  <c r="H90" i="14"/>
  <c r="H18" i="59"/>
  <c r="H78" i="14"/>
  <c r="H8" i="59"/>
  <c r="N20"/>
  <c r="K10"/>
  <c r="H20"/>
  <c r="C98" i="18"/>
  <c r="F101" s="1"/>
  <c r="D13" i="15"/>
  <c r="O90" i="14"/>
  <c r="B10" i="18"/>
  <c r="G20"/>
  <c r="C13" i="15"/>
  <c r="O78" i="14"/>
  <c r="O9" i="59"/>
  <c r="O10" s="1"/>
  <c r="E20"/>
  <c r="R9" i="14"/>
  <c r="P25" i="48"/>
  <c r="R25" i="14"/>
  <c r="G78"/>
  <c r="N10" i="59"/>
  <c r="B8" i="18"/>
  <c r="O19"/>
  <c r="L13" i="15"/>
  <c r="N13"/>
  <c r="Q77" i="14"/>
  <c r="P9" i="59" s="1"/>
  <c r="O9" i="18"/>
  <c r="O18"/>
  <c r="G88" i="14"/>
  <c r="F89"/>
  <c r="I101" i="18"/>
  <c r="H8" s="1"/>
  <c r="H101"/>
  <c r="D101"/>
  <c r="G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E101" i="18"/>
  <c r="E8" s="1"/>
  <c r="E10" s="1"/>
  <c r="G90" i="14"/>
  <c r="G18" i="59"/>
  <c r="G20" s="1"/>
  <c r="C101" i="18"/>
  <c r="B89" i="14"/>
  <c r="B19" i="59" s="1"/>
  <c r="Q89" i="14"/>
  <c r="P19" i="59" s="1"/>
  <c r="C20" i="18"/>
  <c r="D87" i="14"/>
  <c r="D17" i="59" s="1"/>
  <c r="D20" s="1"/>
  <c r="D76" i="14"/>
  <c r="D8" i="59" s="1"/>
  <c r="D10" s="1"/>
  <c r="C10" i="18"/>
  <c r="J17"/>
  <c r="J8"/>
  <c r="F87" i="14"/>
  <c r="E20" i="18"/>
  <c r="F76" i="14"/>
  <c r="F8" i="59" s="1"/>
  <c r="F10" s="1"/>
  <c r="I17" i="18"/>
  <c r="O17" s="1"/>
  <c r="O20" s="1"/>
  <c r="H20"/>
  <c r="M87" i="14"/>
  <c r="I8" i="18"/>
  <c r="M76" i="14"/>
  <c r="H10" i="18"/>
  <c r="H14" i="15"/>
  <c r="H16" s="1"/>
  <c r="G14"/>
  <c r="G16" s="1"/>
  <c r="M78" i="14" l="1"/>
  <c r="M8" i="59"/>
  <c r="M10" s="1"/>
  <c r="F90" i="14"/>
  <c r="F17" i="59"/>
  <c r="F20" s="1"/>
  <c r="H5" i="48"/>
  <c r="I10" i="14"/>
  <c r="I16" s="1"/>
  <c r="G5" i="48"/>
  <c r="H10" i="14"/>
  <c r="H16" s="1"/>
  <c r="M90"/>
  <c r="M17" i="59"/>
  <c r="M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0"/>
  <c r="J31"/>
  <c r="J24"/>
  <c r="D4"/>
  <c r="D22" s="1"/>
  <c r="E11" i="14"/>
  <c r="C4" i="48"/>
  <c r="D11" i="14"/>
  <c r="G32" i="48"/>
  <c r="G29"/>
  <c r="G25"/>
  <c r="G26"/>
  <c r="G24"/>
  <c r="G22"/>
  <c r="G30"/>
  <c r="G23"/>
  <c r="C11" i="14"/>
  <c r="B4" i="48"/>
  <c r="F32"/>
  <c r="F31"/>
  <c r="F27"/>
  <c r="F29"/>
  <c r="F30"/>
  <c r="F24"/>
  <c r="F28"/>
  <c r="N32"/>
  <c r="N31"/>
  <c r="N29"/>
  <c r="N27"/>
  <c r="N28"/>
  <c r="N24"/>
  <c r="N30"/>
  <c r="B10"/>
  <c r="C19" i="14"/>
  <c r="P4" i="48"/>
  <c r="Q11" i="14"/>
  <c r="O4" i="48"/>
  <c r="P11" i="14"/>
  <c r="I27" i="48"/>
  <c r="I32"/>
  <c r="I24"/>
  <c r="I28"/>
  <c r="I22"/>
  <c r="I30"/>
  <c r="I29"/>
  <c r="I31"/>
  <c r="I25"/>
  <c r="I26"/>
  <c r="H32"/>
  <c r="H25"/>
  <c r="H28"/>
  <c r="H29"/>
  <c r="H26"/>
  <c r="H22"/>
  <c r="H30"/>
  <c r="H24"/>
  <c r="H23"/>
  <c r="E31"/>
  <c r="E29"/>
  <c r="E28"/>
  <c r="E32"/>
  <c r="E24"/>
  <c r="E30"/>
  <c r="M29"/>
  <c r="M32"/>
  <c r="M26"/>
  <c r="M30"/>
  <c r="M22"/>
  <c r="M25"/>
  <c r="M24"/>
  <c r="M23"/>
  <c r="L10" i="14"/>
  <c r="L16" s="1"/>
  <c r="L27" s="1"/>
  <c r="K5" i="48"/>
  <c r="D29"/>
  <c r="D30"/>
  <c r="D28"/>
  <c r="D24"/>
  <c r="D31"/>
  <c r="D32"/>
  <c r="L29"/>
  <c r="L28"/>
  <c r="L32"/>
  <c r="L27"/>
  <c r="L22"/>
  <c r="L30"/>
  <c r="L31"/>
  <c r="L24"/>
  <c r="P5"/>
  <c r="P23" s="1"/>
  <c r="Q10" i="14"/>
  <c r="K28" i="48"/>
  <c r="K32"/>
  <c r="K25"/>
  <c r="K27"/>
  <c r="K24"/>
  <c r="K31"/>
  <c r="K26"/>
  <c r="K29"/>
  <c r="K22"/>
  <c r="K30"/>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P8" i="48"/>
  <c r="P26" s="1"/>
  <c r="Q13" i="14"/>
  <c r="Q16" s="1"/>
  <c r="Q27" s="1"/>
  <c r="Q63" s="1"/>
  <c r="C22"/>
  <c r="I20" i="15"/>
  <c r="J40" i="14" s="1"/>
  <c r="O22" i="48"/>
  <c r="H18" i="14"/>
  <c r="G13" i="48"/>
  <c r="H13"/>
  <c r="H31" s="1"/>
  <c r="I18" i="14"/>
  <c r="F20"/>
  <c r="F22" s="1"/>
  <c r="E9" i="48"/>
  <c r="E27" s="1"/>
  <c r="K15"/>
  <c r="K23"/>
  <c r="E20" i="14"/>
  <c r="E22" s="1"/>
  <c r="D9" i="48"/>
  <c r="D27" s="1"/>
  <c r="O5"/>
  <c r="O23" s="1"/>
  <c r="P10" i="14"/>
  <c r="J7" i="48"/>
  <c r="J25" s="1"/>
  <c r="K24" i="14"/>
  <c r="K26" s="1"/>
  <c r="C20"/>
  <c r="B9" i="48"/>
  <c r="P15"/>
  <c r="P22"/>
  <c r="P33" s="1"/>
  <c r="J46" i="14"/>
  <c r="J61"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M9" i="48"/>
  <c r="N20" i="14"/>
  <c r="N22" s="1"/>
  <c r="N27" s="1"/>
  <c r="M10" i="48"/>
  <c r="M28" s="1"/>
  <c r="N19" i="14"/>
  <c r="G10" i="48"/>
  <c r="H19" i="14"/>
  <c r="R19" s="1"/>
  <c r="J4" i="48"/>
  <c r="K11" i="14"/>
  <c r="E7" i="48"/>
  <c r="E25" s="1"/>
  <c r="F24" i="14"/>
  <c r="F26" s="1"/>
  <c r="I22"/>
  <c r="I27" s="1"/>
  <c r="R18"/>
  <c r="E12" i="13"/>
  <c r="F41" i="14" s="1"/>
  <c r="F11"/>
  <c r="E4" i="48"/>
  <c r="O22" i="16"/>
  <c r="P43" i="14" s="1"/>
  <c r="P46" s="1"/>
  <c r="P61" s="1"/>
  <c r="P63" s="1"/>
  <c r="O8" i="48"/>
  <c r="O26" s="1"/>
  <c r="O33" s="1"/>
  <c r="P13" i="14"/>
  <c r="P16" s="1"/>
  <c r="P27" s="1"/>
  <c r="I23" i="48"/>
  <c r="I33" s="1"/>
  <c r="I15"/>
  <c r="G14" i="22"/>
  <c r="J63" i="14"/>
  <c r="G31" i="48"/>
  <c r="Q13"/>
  <c r="I20" i="14"/>
  <c r="H9"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N63"/>
  <c r="E5" i="48"/>
  <c r="E23" s="1"/>
  <c r="F10" i="14"/>
  <c r="H20"/>
  <c r="G9" i="48"/>
  <c r="J5"/>
  <c r="J23" s="1"/>
  <c r="K10" i="14"/>
  <c r="E22" i="48"/>
  <c r="Q4"/>
  <c r="R11" i="14"/>
  <c r="M27" i="48"/>
  <c r="M33" s="1"/>
  <c r="M15"/>
  <c r="G28"/>
  <c r="Q10"/>
  <c r="H27"/>
  <c r="H33" s="1"/>
  <c r="H15"/>
  <c r="J22"/>
  <c r="R24" i="14"/>
  <c r="R26" s="1"/>
  <c r="J20" i="15"/>
  <c r="K40" i="14" s="1"/>
  <c r="I63"/>
  <c r="Q7" i="48"/>
  <c r="E20" i="15"/>
  <c r="F40" i="14" s="1"/>
  <c r="F46" s="1"/>
  <c r="F61" s="1"/>
  <c r="J18" i="16"/>
  <c r="E18"/>
  <c r="F18"/>
  <c r="F22" s="1"/>
  <c r="G43" i="14" s="1"/>
  <c r="N18" i="16"/>
  <c r="G18" i="22"/>
  <c r="H50" i="14" s="1"/>
  <c r="E22" i="16"/>
  <c r="F43" i="14" s="1"/>
  <c r="H18" i="22"/>
  <c r="I50" i="14" s="1"/>
  <c r="I52" s="1"/>
  <c r="I61" s="1"/>
  <c r="J22" i="16" l="1"/>
  <c r="K43" i="14" s="1"/>
  <c r="J8" i="48"/>
  <c r="K13" i="14"/>
  <c r="E8" i="48"/>
  <c r="F13" i="14"/>
  <c r="F16" s="1"/>
  <c r="F27" s="1"/>
  <c r="F63" s="1"/>
  <c r="R20"/>
  <c r="R22" s="1"/>
  <c r="H22"/>
  <c r="H27" s="1"/>
  <c r="H63" s="1"/>
  <c r="G27" i="48"/>
  <c r="G33" s="1"/>
  <c r="G15"/>
  <c r="Q9"/>
  <c r="K46" i="14"/>
  <c r="K61" s="1"/>
  <c r="K63" s="1"/>
  <c r="K16"/>
  <c r="K27" s="1"/>
  <c r="N8" i="48"/>
  <c r="N26" s="1"/>
  <c r="O13" i="14"/>
  <c r="N22" i="16"/>
  <c r="O43" i="14" s="1"/>
  <c r="G13"/>
  <c r="F8" i="48"/>
  <c r="J26" l="1"/>
  <c r="J33" s="1"/>
  <c r="J15"/>
  <c r="E26"/>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<sst xmlns="http://schemas.openxmlformats.org/spreadsheetml/2006/main" count="2392" uniqueCount="890">
  <si>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</si>
  <si>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</si>
  <si>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</si>
  <si>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</si>
  <si>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</si>
  <si>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</si>
  <si>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</si>
  <si>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</si>
  <si>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</si>
  <si>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</si>
  <si>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</si>
  <si>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</si>
  <si>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</si>
  <si>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</si>
  <si>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</si>
  <si>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</si>
  <si>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</si>
  <si>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</si>
  <si>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</si>
  <si>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</si>
  <si>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</si>
  <si>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</si>
  <si>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</si>
  <si>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</si>
  <si>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</si>
  <si>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</si>
  <si>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</si>
  <si>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</si>
  <si>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</si>
  <si>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</si>
  <si>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</si>
  <si>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</si>
  <si>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</si>
  <si>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</si>
  <si>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</si>
  <si>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</si>
  <si>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</si>
  <si>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</si>
  <si>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</si>
  <si>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</si>
  <si>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</si>
  <si>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</si>
  <si>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</si>
  <si>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</si>
  <si>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</si>
  <si>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</si>
  <si>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</si>
  <si>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</si>
  <si>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</si>
  <si>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</si>
  <si>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</si>
  <si>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</si>
  <si>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</si>
  <si>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</si>
  <si>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</si>
  <si>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</si>
  <si>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</si>
  <si>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</si>
  <si>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</si>
  <si>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</si>
  <si>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</si>
  <si>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</si>
  <si>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</si>
  <si>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</si>
  <si>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</si>
  <si>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</si>
  <si>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</si>
  <si>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</si>
  <si>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</si>
  <si>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</si>
  <si>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</si>
  <si>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</si>
  <si>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</si>
  <si>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</si>
  <si>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</si>
  <si>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</si>
  <si>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</si>
  <si>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</si>
  <si>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</si>
  <si>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</si>
  <si>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</si>
  <si>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</si>
  <si>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</si>
  <si>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</si>
  <si>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</si>
  <si>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</si>
  <si>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</si>
  <si>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</si>
  <si>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</si>
  <si>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</si>
  <si>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</si>
  <si>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</si>
  <si>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</si>
  <si>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</si>
  <si>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</si>
  <si>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</si>
  <si>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</si>
  <si>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</si>
  <si>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</si>
  <si>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</si>
  <si>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</si>
  <si>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</si>
  <si>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</si>
  <si>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</si>
  <si>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</si>
  <si>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</si>
  <si>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</si>
  <si>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</si>
  <si>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</si>
  <si>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</si>
  <si>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</si>
  <si>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</si>
  <si>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</si>
  <si>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</si>
  <si>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</si>
  <si>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</si>
  <si>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</si>
  <si>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</si>
  <si>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</si>
  <si>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</si>
  <si>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</si>
  <si>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</si>
  <si>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</si>
  <si>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</si>
  <si>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</si>
  <si>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</si>
  <si>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</si>
  <si>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</si>
  <si>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</si>
  <si>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</si>
  <si>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</si>
  <si>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</si>
  <si>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</si>
  <si>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</si>
  <si>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</si>
  <si>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</si>
  <si>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</si>
  <si>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</si>
  <si>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</si>
  <si>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</si>
  <si>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</si>
  <si>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</si>
  <si>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</si>
  <si>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</si>
  <si>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</si>
  <si>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</si>
  <si>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</si>
  <si>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</si>
  <si>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</si>
  <si>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</si>
  <si>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</si>
  <si>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</si>
  <si>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</si>
  <si>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</si>
  <si>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</si>
  <si>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</si>
  <si>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</si>
  <si>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</si>
  <si>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</si>
  <si>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</si>
  <si>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</si>
  <si>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</si>
  <si>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</si>
  <si>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</si>
  <si>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</si>
  <si>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</si>
  <si>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</si>
  <si>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</si>
  <si>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</si>
  <si>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</si>
  <si>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</si>
  <si>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</si>
  <si>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</si>
  <si>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</si>
  <si>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</si>
  <si>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</si>
  <si>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</si>
  <si>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</si>
  <si>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</si>
  <si>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</si>
  <si>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</si>
  <si>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</si>
  <si>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</si>
  <si>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</si>
  <si>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</si>
  <si>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</si>
  <si>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</si>
  <si>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</si>
  <si>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</si>
  <si>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</si>
  <si>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</si>
  <si>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</si>
  <si>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</si>
  <si>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</si>
  <si>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</si>
  <si>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</si>
  <si>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</si>
  <si>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</si>
  <si>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</si>
  <si>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</si>
  <si>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</si>
  <si>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</si>
  <si>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</si>
  <si>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</si>
  <si>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</si>
  <si>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</si>
  <si>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</si>
  <si>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</si>
  <si>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</si>
  <si>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</si>
  <si>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</si>
  <si>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</si>
  <si>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</si>
  <si>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</si>
  <si>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</si>
  <si>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</si>
  <si>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</si>
  <si>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</si>
  <si>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</si>
  <si>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</si>
  <si>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</si>
  <si>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</si>
  <si>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</si>
  <si>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</si>
  <si>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</si>
  <si>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</si>
  <si>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</si>
  <si>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</si>
  <si>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</si>
  <si>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</si>
  <si>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</si>
  <si>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</si>
  <si>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</si>
  <si>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</si>
  <si>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</si>
  <si>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</si>
  <si>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</si>
  <si>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</si>
  <si>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</si>
  <si>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</si>
  <si>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</si>
  <si>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</si>
  <si>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</si>
  <si>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</si>
  <si>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</si>
  <si>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</si>
  <si>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</si>
  <si>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</si>
  <si>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</si>
  <si>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</si>
  <si>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</si>
  <si>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</si>
  <si>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</si>
  <si>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</si>
  <si>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</si>
  <si>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</si>
  <si>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</si>
  <si>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</si>
  <si>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</si>
  <si>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</si>
  <si>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</si>
  <si>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</si>
  <si>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</si>
  <si>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</si>
  <si>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</si>
  <si>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</si>
  <si>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</si>
  <si>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</si>
  <si>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</si>
  <si>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</si>
  <si>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</si>
  <si>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</si>
  <si>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</si>
  <si>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</si>
  <si>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</si>
  <si>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</si>
  <si>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</si>
  <si>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</si>
  <si>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</si>
  <si>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</si>
  <si>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</si>
  <si>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</si>
  <si>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</si>
  <si>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</si>
  <si>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</si>
  <si>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</si>
  <si>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</si>
  <si>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</si>
  <si>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</si>
  <si>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</si>
  <si>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</si>
  <si>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</si>
  <si>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</si>
  <si>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</si>
  <si>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</si>
  <si>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</si>
  <si>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</si>
  <si>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</si>
  <si>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</si>
  <si>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</si>
  <si>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</si>
  <si>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</si>
  <si>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</si>
  <si>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</si>
  <si>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</si>
  <si>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</si>
  <si>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</si>
  <si>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</si>
  <si>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</si>
  <si>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</si>
  <si>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</si>
  <si>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</si>
  <si>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</si>
  <si>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</si>
  <si>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</si>
  <si>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</si>
  <si>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</si>
  <si>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</si>
  <si>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</si>
  <si>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</si>
  <si>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</si>
  <si>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</si>
  <si>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</si>
  <si>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</si>
  <si>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</si>
  <si>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</si>
  <si>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</si>
  <si>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</si>
  <si>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</si>
  <si>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</si>
  <si>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</si>
  <si>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</si>
  <si>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</si>
  <si>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</si>
  <si>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</si>
  <si>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</si>
  <si>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</si>
  <si>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</si>
  <si>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</si>
  <si>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</si>
  <si>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</si>
  <si>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</si>
  <si>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</si>
  <si>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</si>
  <si>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</si>
  <si>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</si>
  <si>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</si>
  <si>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</si>
  <si>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</si>
  <si>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</si>
  <si>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</si>
  <si>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</si>
  <si>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</si>
  <si>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</si>
  <si>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</si>
  <si>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</si>
  <si>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</si>
  <si>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</si>
  <si>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</si>
  <si>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</si>
  <si>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</si>
  <si>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</si>
  <si>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</si>
  <si>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</si>
  <si>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</si>
  <si>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</si>
  <si>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</si>
  <si>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</si>
  <si>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</si>
  <si>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</si>
  <si>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</si>
  <si>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</si>
  <si>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</si>
  <si>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</si>
  <si>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</si>
  <si>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</si>
  <si>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</si>
  <si>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</si>
  <si>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</si>
  <si>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</si>
  <si>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</si>
  <si>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</si>
  <si>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</si>
  <si>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</si>
  <si>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</si>
  <si>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</si>
  <si>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</si>
  <si>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</si>
  <si>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</si>
  <si>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</si>
  <si>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</si>
  <si>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</si>
  <si>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</si>
  <si>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</si>
  <si>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</si>
  <si>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</si>
  <si>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</si>
  <si>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</si>
  <si>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</si>
  <si>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</si>
  <si>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</si>
  <si>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</si>
  <si>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</si>
  <si>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</si>
  <si>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</si>
  <si>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</si>
  <si>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</si>
  <si>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</si>
  <si>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</si>
  <si>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</si>
  <si>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</si>
  <si>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</si>
  <si>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</si>
  <si>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</si>
  <si>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</si>
  <si>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</si>
  <si>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</si>
  <si>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</si>
  <si>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</si>
  <si>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</si>
  <si>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</si>
  <si>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</si>
  <si>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</si>
  <si>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</si>
  <si>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</si>
  <si>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</si>
  <si>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</si>
  <si>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</si>
  <si>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</si>
  <si>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</si>
  <si>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</si>
  <si>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</si>
  <si>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</si>
  <si>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</si>
  <si>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</si>
  <si>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</si>
  <si>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</si>
  <si>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</si>
  <si>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</si>
  <si>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</si>
  <si>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</si>
  <si>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</si>
  <si>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</si>
  <si>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</si>
  <si>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</si>
  <si>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</si>
  <si>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</si>
  <si>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</si>
  <si>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</si>
  <si>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</si>
  <si>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</si>
  <si>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</si>
  <si>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</si>
  <si>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</si>
  <si>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</si>
  <si>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</si>
  <si>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</si>
  <si>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</si>
  <si>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</si>
  <si>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</si>
  <si>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</si>
  <si>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</si>
  <si>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</si>
  <si>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</si>
  <si>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</si>
  <si>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</si>
  <si>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</si>
  <si>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</si>
  <si>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</si>
  <si>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</si>
  <si>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</si>
  <si>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</si>
  <si>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</si>
  <si>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</si>
  <si>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</si>
  <si>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</si>
  <si>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</si>
  <si>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</si>
  <si>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</si>
  <si>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</si>
  <si>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</si>
  <si>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</si>
  <si>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</si>
  <si>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</si>
  <si>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</si>
  <si>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</si>
  <si>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</si>
  <si>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</si>
  <si>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</si>
  <si>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</si>
  <si>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</si>
  <si>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</si>
  <si>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</si>
  <si>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</si>
  <si>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</si>
  <si>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</si>
  <si>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</si>
  <si>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</si>
  <si>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</si>
  <si>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</si>
  <si>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</si>
  <si>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</si>
  <si>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</si>
  <si>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</si>
  <si>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</si>
  <si>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</si>
  <si>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</si>
  <si>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</si>
  <si>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</si>
  <si>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</si>
  <si>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</si>
  <si>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</si>
  <si>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</si>
  <si>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</si>
  <si>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</si>
  <si>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</si>
  <si>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</si>
  <si>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</si>
  <si>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</si>
  <si>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</si>
  <si>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</si>
  <si>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</si>
  <si>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</si>
  <si>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</si>
  <si>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</si>
  <si>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</si>
  <si>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</si>
  <si>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</si>
  <si>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</si>
  <si>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</si>
  <si>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</si>
  <si>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</si>
  <si>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</si>
  <si>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</si>
  <si>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</si>
  <si>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</si>
  <si>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</si>
  <si>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</si>
  <si>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</si>
  <si>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</si>
  <si>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</si>
  <si>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</si>
  <si>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</si>
  <si>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</si>
  <si>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</si>
  <si>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</si>
  <si>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</si>
  <si>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</si>
  <si>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</si>
  <si>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</si>
  <si>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</si>
  <si>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</si>
  <si>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</si>
  <si>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</si>
  <si>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</si>
  <si>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</si>
  <si>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</si>
  <si>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</si>
  <si>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</si>
  <si>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</si>
  <si>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</si>
  <si>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</si>
  <si>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</si>
  <si>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</si>
  <si>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</si>
  <si>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</si>
  <si>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</si>
  <si>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</si>
  <si>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</si>
  <si>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</si>
  <si>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</si>
  <si>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</si>
  <si>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</si>
  <si>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</si>
  <si>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</si>
  <si>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</si>
  <si>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</si>
  <si>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</si>
  <si>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</si>
  <si>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</si>
  <si>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</si>
  <si>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</si>
  <si>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</si>
  <si>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</si>
  <si>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</si>
  <si>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</si>
  <si>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</si>
  <si>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</si>
  <si>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</si>
  <si>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</si>
  <si>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</si>
  <si>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</si>
  <si>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</si>
  <si>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</si>
  <si>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</si>
  <si>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</si>
  <si>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</si>
  <si>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</si>
  <si>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</si>
  <si>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</si>
  <si>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</si>
  <si>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</si>
  <si>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</si>
  <si>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</si>
  <si>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</si>
  <si>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</si>
  <si>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</si>
  <si>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</si>
  <si>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</si>
  <si>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</si>
  <si>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</si>
  <si>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</si>
  <si>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</si>
  <si>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</si>
  <si>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</si>
  <si>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</si>
  <si>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</si>
  <si>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</si>
  <si>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</si>
  <si>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</si>
  <si>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</si>
  <si>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</si>
  <si>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</si>
  <si>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</si>
  <si>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</si>
  <si>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</si>
  <si>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</si>
  <si>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</si>
  <si>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</si>
  <si>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</si>
  <si>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</si>
  <si>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</si>
  <si>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</si>
  <si>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</si>
  <si>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</si>
  <si>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</si>
  <si>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</si>
  <si>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</si>
  <si>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</si>
  <si>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</si>
  <si>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</si>
  <si>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</si>
  <si>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</si>
  <si>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</si>
  <si>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</si>
  <si>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</si>
  <si>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</si>
  <si>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</si>
  <si>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</si>
  <si>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</si>
  <si>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</si>
  <si>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</si>
  <si>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</si>
  <si>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</si>
  <si>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</si>
  <si>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</si>
  <si>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</si>
  <si>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</si>
  <si>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</si>
  <si>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</si>
  <si>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</si>
  <si>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</si>
  <si>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</si>
  <si>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</si>
  <si>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</si>
  <si>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</si>
  <si>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</si>
  <si>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</si>
  <si>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</si>
  <si>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</si>
  <si>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</si>
  <si>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</si>
  <si>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</si>
  <si>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</si>
  <si>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</si>
  <si>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</si>
  <si>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</si>
  <si>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</si>
  <si>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</si>
  <si>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</si>
  <si>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</si>
  <si>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</si>
  <si>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</si>
  <si>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</si>
  <si>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</si>
  <si>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</si>
  <si>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</si>
  <si>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</si>
  <si>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</si>
  <si>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</si>
  <si>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</si>
  <si>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</si>
  <si>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</si>
  <si>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</si>
  <si>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</si>
  <si>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</si>
  <si>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</si>
  <si>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</si>
  <si>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</si>
  <si>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</si>
  <si>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</si>
  <si>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</si>
  <si>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</si>
  <si>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</si>
  <si>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</si>
  <si>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</si>
  <si>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</si>
  <si>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</si>
  <si>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</si>
  <si>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</si>
  <si>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</si>
  <si>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</si>
  <si>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</si>
  <si>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</si>
  <si>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</si>
  <si>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</si>
  <si>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</si>
  <si>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</si>
  <si>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</si>
  <si>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</si>
  <si>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</si>
  <si>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</si>
  <si>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</si>
  <si>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</si>
  <si>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</si>
  <si>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</si>
  <si>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</si>
  <si>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</si>
  <si>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</si>
  <si>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</si>
  <si>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</si>
  <si>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</si>
  <si>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</si>
  <si>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</si>
  <si>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</si>
  <si>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</si>
  <si>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</si>
  <si>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</si>
  <si>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</si>
  <si>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</si>
  <si>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</si>
  <si>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</si>
  <si>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</si>
  <si>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</si>
  <si>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</si>
  <si>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</si>
  <si>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</si>
  <si>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</si>
  <si>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</si>
  <si>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</si>
  <si>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</si>
  <si>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</si>
  <si>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</si>
  <si>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</si>
  <si>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</si>
  <si>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</si>
  <si>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</si>
  <si>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</si>
  <si>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</si>
  <si>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</si>
  <si>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</si>
  <si>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</si>
  <si>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</si>
  <si>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</si>
  <si>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</si>
  <si>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</si>
  <si>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</si>
  <si>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</si>
  <si>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</si>
  <si>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</si>
  <si>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</si>
  <si>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</si>
  <si>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</si>
  <si>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</si>
  <si>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</si>
  <si>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</si>
  <si>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</si>
  <si>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</si>
  <si>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</si>
  <si>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</si>
  <si>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</si>
  <si>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</si>
  <si>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</si>
  <si>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</si>
  <si>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</si>
  <si>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</si>
  <si>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</si>
  <si>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</si>
  <si>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</si>
  <si>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</si>
  <si>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</si>
  <si>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</si>
  <si>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</si>
  <si>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</si>
  <si>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</si>
  <si>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</si>
  <si>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</si>
  <si>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</si>
  <si>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</si>
  <si>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</si>
  <si>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</si>
  <si>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</si>
  <si>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</si>
  <si>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</si>
  <si>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</si>
  <si>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</si>
  <si>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</si>
  <si>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</si>
  <si>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</si>
  <si>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</si>
  <si>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</si>
  <si>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</si>
  <si>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</si>
  <si>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</si>
  <si>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</si>
  <si>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</si>
  <si>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</si>
  <si>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</si>
  <si>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</si>
  <si>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</si>
  <si>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</si>
  <si>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</si>
  <si>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</si>
  <si>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</si>
  <si>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</si>
  <si>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</si>
  <si>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</si>
  <si>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</si>
  <si>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</si>
  <si>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</si>
  <si>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</si>
  <si>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</si>
  <si>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</si>
  <si>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</si>
  <si>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</si>
  <si>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</si>
  <si>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</si>
  <si>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</si>
  <si>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</si>
  <si>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</si>
  <si>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</si>
  <si>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</si>
  <si>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</si>
  <si>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</si>
  <si>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</si>
  <si>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</si>
  <si>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</si>
  <si>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</si>
  <si>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</si>
  <si>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</si>
  <si>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</si>
  <si>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</si>
  <si>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</si>
  <si>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</si>
  <si>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</si>
  <si>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</si>
  <si>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</si>
  <si>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</si>
  <si>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</si>
  <si>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</si>
  <si>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</si>
  <si>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</si>
  <si>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</si>
  <si>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</si>
  <si>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</si>
  <si>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</si>
  <si>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</si>
  <si>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</si>
  <si>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</si>
  <si>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</si>
  <si>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</si>
  <si>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</si>
  <si>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</si>
  <si>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</si>
  <si>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</si>
  <si>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</si>
  <si>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</si>
  <si>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</si>
  <si>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</si>
  <si>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</si>
  <si>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</si>
  <si>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</si>
  <si>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44064</t>
  </si>
  <si>
    <t>SINT-MARTENS-LATEM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</si>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</sst>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82276.635301483446</c:v>
                </c:pt>
                <c:pt idx="1">
                  <c:v>40381.764111046752</c:v>
                </c:pt>
                <c:pt idx="2">
                  <c:v>578.50800000000004</c:v>
                </c:pt>
                <c:pt idx="3">
                  <c:v>1496.8013893527771</c:v>
                </c:pt>
                <c:pt idx="4">
                  <c:v>5745.2392384637023</c:v>
                </c:pt>
                <c:pt idx="5">
                  <c:v>44354.997955228704</c:v>
                </c:pt>
                <c:pt idx="6">
                  <c:v>665.52786624723308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82276.635301483446</c:v>
                </c:pt>
                <c:pt idx="1">
                  <c:v>40381.764111046752</c:v>
                </c:pt>
                <c:pt idx="2">
                  <c:v>578.50800000000004</c:v>
                </c:pt>
                <c:pt idx="3">
                  <c:v>1496.8013893527771</c:v>
                </c:pt>
                <c:pt idx="4">
                  <c:v>5745.2392384637023</c:v>
                </c:pt>
                <c:pt idx="5">
                  <c:v>44354.997955228704</c:v>
                </c:pt>
                <c:pt idx="6">
                  <c:v>665.52786624723308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18498.003642449614</c:v>
                </c:pt>
                <c:pt idx="2">
                  <c:v>8510.0450113003608</c:v>
                </c:pt>
                <c:pt idx="3">
                  <c:v>124.88100667997399</c:v>
                </c:pt>
                <c:pt idx="4">
                  <c:v>382.20794324196811</c:v>
                </c:pt>
                <c:pt idx="5">
                  <c:v>1127.9775204059033</c:v>
                </c:pt>
                <c:pt idx="6">
                  <c:v>11356.113142835604</c:v>
                </c:pt>
                <c:pt idx="7">
                  <c:v>172.35002799791155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18498.003642449614</c:v>
                </c:pt>
                <c:pt idx="2">
                  <c:v>8510.0450113003608</c:v>
                </c:pt>
                <c:pt idx="3">
                  <c:v>124.88100667997399</c:v>
                </c:pt>
                <c:pt idx="4">
                  <c:v>382.20794324196811</c:v>
                </c:pt>
                <c:pt idx="5">
                  <c:v>1127.9775204059033</c:v>
                </c:pt>
                <c:pt idx="6">
                  <c:v>11356.113142835604</c:v>
                </c:pt>
                <c:pt idx="7">
                  <c:v>172.35002799791155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0.21586738071033415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0.21586738071033415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3512</v>
      </c>
      <c r="C9" s="342">
        <v>3460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381.06</v>
      </c>
    </row>
    <row r="15" spans="1:6">
      <c r="A15" s="348" t="s">
        <v>184</v>
      </c>
      <c r="B15" s="334">
        <v>0</v>
      </c>
    </row>
    <row r="16" spans="1:6">
      <c r="A16" s="348" t="s">
        <v>6</v>
      </c>
      <c r="B16" s="334">
        <v>0</v>
      </c>
    </row>
    <row r="17" spans="1:6">
      <c r="A17" s="348" t="s">
        <v>7</v>
      </c>
      <c r="B17" s="334">
        <v>14</v>
      </c>
    </row>
    <row r="18" spans="1:6">
      <c r="A18" s="348" t="s">
        <v>8</v>
      </c>
      <c r="B18" s="334">
        <v>10</v>
      </c>
    </row>
    <row r="19" spans="1:6">
      <c r="A19" s="348" t="s">
        <v>9</v>
      </c>
      <c r="B19" s="334">
        <v>23</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v>
      </c>
    </row>
    <row r="27" spans="1:6">
      <c r="A27" s="348" t="s">
        <v>17</v>
      </c>
      <c r="B27" s="334">
        <v>0</v>
      </c>
    </row>
    <row r="28" spans="1:6" s="356" customFormat="1">
      <c r="A28" s="355" t="s">
        <v>18</v>
      </c>
      <c r="B28" s="355">
        <v>0</v>
      </c>
    </row>
    <row r="29" spans="1:6">
      <c r="A29" s="355" t="s">
        <v>884</v>
      </c>
      <c r="B29" s="355">
        <v>92</v>
      </c>
      <c r="C29" s="356"/>
      <c r="D29" s="356"/>
      <c r="E29" s="356"/>
      <c r="F29" s="356"/>
    </row>
    <row r="30" spans="1:6">
      <c r="A30" s="355" t="s">
        <v>885</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20098.634846000001</v>
      </c>
    </row>
    <row r="39" spans="1:6">
      <c r="A39" s="348" t="s">
        <v>30</v>
      </c>
      <c r="B39" s="348" t="s">
        <v>31</v>
      </c>
      <c r="C39" s="334">
        <v>1264</v>
      </c>
      <c r="D39" s="334">
        <v>27434495.160999998</v>
      </c>
      <c r="E39" s="334">
        <v>3120</v>
      </c>
      <c r="F39" s="334">
        <v>19292159.030999999</v>
      </c>
    </row>
    <row r="40" spans="1:6">
      <c r="A40" s="348" t="s">
        <v>30</v>
      </c>
      <c r="B40" s="348" t="s">
        <v>29</v>
      </c>
      <c r="C40" s="334">
        <v>0</v>
      </c>
      <c r="D40" s="334">
        <v>0</v>
      </c>
      <c r="E40" s="334">
        <v>0</v>
      </c>
      <c r="F40" s="334">
        <v>0</v>
      </c>
    </row>
    <row r="41" spans="1:6">
      <c r="A41" s="348" t="s">
        <v>32</v>
      </c>
      <c r="B41" s="348" t="s">
        <v>33</v>
      </c>
      <c r="C41" s="334">
        <v>29</v>
      </c>
      <c r="D41" s="334">
        <v>1034665.6059</v>
      </c>
      <c r="E41" s="334">
        <v>68</v>
      </c>
      <c r="F41" s="334">
        <v>920580.57770000002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56102.936930999997</v>
      </c>
    </row>
    <row r="48" spans="1:6">
      <c r="A48" s="348" t="s">
        <v>32</v>
      </c>
      <c r="B48" s="348" t="s">
        <v>29</v>
      </c>
      <c r="C48" s="334">
        <v>21</v>
      </c>
      <c r="D48" s="334">
        <v>815360.48167000001</v>
      </c>
      <c r="E48" s="334">
        <v>39</v>
      </c>
      <c r="F48" s="334">
        <v>566194.01890999998</v>
      </c>
    </row>
    <row r="49" spans="1:6">
      <c r="A49" s="348" t="s">
        <v>32</v>
      </c>
      <c r="B49" s="348" t="s">
        <v>40</v>
      </c>
      <c r="C49" s="334">
        <v>0</v>
      </c>
      <c r="D49" s="334">
        <v>0</v>
      </c>
      <c r="E49" s="334">
        <v>3</v>
      </c>
      <c r="F49" s="334">
        <v>90826.146286999996</v>
      </c>
    </row>
    <row r="50" spans="1:6">
      <c r="A50" s="348" t="s">
        <v>32</v>
      </c>
      <c r="B50" s="348" t="s">
        <v>41</v>
      </c>
      <c r="C50" s="334">
        <v>0</v>
      </c>
      <c r="D50" s="334">
        <v>0</v>
      </c>
      <c r="E50" s="334">
        <v>6</v>
      </c>
      <c r="F50" s="334">
        <v>456093.28908999998</v>
      </c>
    </row>
    <row r="51" spans="1:6">
      <c r="A51" s="348" t="s">
        <v>42</v>
      </c>
      <c r="B51" s="348" t="s">
        <v>43</v>
      </c>
      <c r="C51" s="334">
        <v>0</v>
      </c>
      <c r="D51" s="334">
        <v>0</v>
      </c>
      <c r="E51" s="334">
        <v>18</v>
      </c>
      <c r="F51" s="334">
        <v>200688.7053</v>
      </c>
    </row>
    <row r="52" spans="1:6">
      <c r="A52" s="348" t="s">
        <v>42</v>
      </c>
      <c r="B52" s="348" t="s">
        <v>29</v>
      </c>
      <c r="C52" s="334">
        <v>3</v>
      </c>
      <c r="D52" s="334">
        <v>100372.93992999999</v>
      </c>
      <c r="E52" s="334">
        <v>12</v>
      </c>
      <c r="F52" s="334">
        <v>90768.815745</v>
      </c>
    </row>
    <row r="53" spans="1:6">
      <c r="A53" s="348" t="s">
        <v>44</v>
      </c>
      <c r="B53" s="348" t="s">
        <v>45</v>
      </c>
      <c r="C53" s="334">
        <v>50</v>
      </c>
      <c r="D53" s="334">
        <v>1137860.6775</v>
      </c>
      <c r="E53" s="334">
        <v>138</v>
      </c>
      <c r="F53" s="334">
        <v>872553.53654999996</v>
      </c>
    </row>
    <row r="54" spans="1:6">
      <c r="A54" s="348" t="s">
        <v>46</v>
      </c>
      <c r="B54" s="348" t="s">
        <v>47</v>
      </c>
      <c r="C54" s="334">
        <v>0</v>
      </c>
      <c r="D54" s="334">
        <v>0</v>
      </c>
      <c r="E54" s="334">
        <v>2</v>
      </c>
      <c r="F54" s="334">
        <v>578508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216659.85668</v>
      </c>
      <c r="E57" s="334">
        <v>37</v>
      </c>
      <c r="F57" s="334">
        <v>713129.52127999999</v>
      </c>
    </row>
    <row r="58" spans="1:6">
      <c r="A58" s="348" t="s">
        <v>49</v>
      </c>
      <c r="B58" s="348" t="s">
        <v>51</v>
      </c>
      <c r="C58" s="334">
        <v>18</v>
      </c>
      <c r="D58" s="334">
        <v>733150.12143000006</v>
      </c>
      <c r="E58" s="334">
        <v>52</v>
      </c>
      <c r="F58" s="334">
        <v>889399.25055</v>
      </c>
    </row>
    <row r="59" spans="1:6">
      <c r="A59" s="348" t="s">
        <v>49</v>
      </c>
      <c r="B59" s="348" t="s">
        <v>52</v>
      </c>
      <c r="C59" s="334">
        <v>57</v>
      </c>
      <c r="D59" s="334">
        <v>2675516.6638000002</v>
      </c>
      <c r="E59" s="334">
        <v>146</v>
      </c>
      <c r="F59" s="334">
        <v>3549444.9567999998</v>
      </c>
    </row>
    <row r="60" spans="1:6">
      <c r="A60" s="348" t="s">
        <v>49</v>
      </c>
      <c r="B60" s="348" t="s">
        <v>53</v>
      </c>
      <c r="C60" s="334">
        <v>33</v>
      </c>
      <c r="D60" s="334">
        <v>2861665.3601000002</v>
      </c>
      <c r="E60" s="334">
        <v>69</v>
      </c>
      <c r="F60" s="334">
        <v>2293450.7793999999</v>
      </c>
    </row>
    <row r="61" spans="1:6">
      <c r="A61" s="348" t="s">
        <v>49</v>
      </c>
      <c r="B61" s="348" t="s">
        <v>54</v>
      </c>
      <c r="C61" s="334">
        <v>156</v>
      </c>
      <c r="D61" s="334">
        <v>5977764.4781999998</v>
      </c>
      <c r="E61" s="334">
        <v>454</v>
      </c>
      <c r="F61" s="334">
        <v>5843741.8636999996</v>
      </c>
    </row>
    <row r="62" spans="1:6">
      <c r="A62" s="348" t="s">
        <v>49</v>
      </c>
      <c r="B62" s="348" t="s">
        <v>55</v>
      </c>
      <c r="C62" s="334">
        <v>0</v>
      </c>
      <c r="D62" s="334">
        <v>0</v>
      </c>
      <c r="E62" s="334">
        <v>4</v>
      </c>
      <c r="F62" s="334">
        <v>94676.612460999997</v>
      </c>
    </row>
    <row r="63" spans="1:6">
      <c r="A63" s="348" t="s">
        <v>49</v>
      </c>
      <c r="B63" s="348" t="s">
        <v>29</v>
      </c>
      <c r="C63" s="334">
        <v>142</v>
      </c>
      <c r="D63" s="334">
        <v>6228542.8722999999</v>
      </c>
      <c r="E63" s="334">
        <v>160</v>
      </c>
      <c r="F63" s="334">
        <v>4172424.9545999998</v>
      </c>
    </row>
    <row r="64" spans="1:6">
      <c r="A64" s="348" t="s">
        <v>56</v>
      </c>
      <c r="B64" s="348" t="s">
        <v>57</v>
      </c>
      <c r="C64" s="334">
        <v>0</v>
      </c>
      <c r="D64" s="334">
        <v>0</v>
      </c>
      <c r="E64" s="334">
        <v>0</v>
      </c>
      <c r="F64" s="334">
        <v>0</v>
      </c>
    </row>
    <row r="65" spans="1:6">
      <c r="A65" s="348" t="s">
        <v>56</v>
      </c>
      <c r="B65" s="348" t="s">
        <v>29</v>
      </c>
      <c r="C65" s="334">
        <v>1</v>
      </c>
      <c r="D65" s="334">
        <v>20727.423271</v>
      </c>
      <c r="E65" s="334">
        <v>3</v>
      </c>
      <c r="F65" s="334">
        <v>255593</v>
      </c>
    </row>
    <row r="66" spans="1:6">
      <c r="A66" s="348" t="s">
        <v>56</v>
      </c>
      <c r="B66" s="348" t="s">
        <v>58</v>
      </c>
      <c r="C66" s="334">
        <v>0</v>
      </c>
      <c r="D66" s="334">
        <v>0</v>
      </c>
      <c r="E66" s="334">
        <v>3</v>
      </c>
      <c r="F66" s="334">
        <v>7644.8750024000001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39125815</v>
      </c>
      <c r="E73" s="475">
        <v>40411298.828270592</v>
      </c>
    </row>
    <row r="74" spans="1:6">
      <c r="A74" s="348" t="s">
        <v>64</v>
      </c>
      <c r="B74" s="348" t="s">
        <v>667</v>
      </c>
      <c r="C74" s="1294" t="s">
        <v>669</v>
      </c>
      <c r="D74" s="475">
        <v>4302529.1441629548</v>
      </c>
      <c r="E74" s="475">
        <v>4430404.8305597631</v>
      </c>
    </row>
    <row r="75" spans="1:6">
      <c r="A75" s="348" t="s">
        <v>65</v>
      </c>
      <c r="B75" s="348" t="s">
        <v>666</v>
      </c>
      <c r="C75" s="1294" t="s">
        <v>670</v>
      </c>
      <c r="D75" s="475">
        <v>8674319</v>
      </c>
      <c r="E75" s="475">
        <v>8829755.5214708634</v>
      </c>
    </row>
    <row r="76" spans="1:6">
      <c r="A76" s="348" t="s">
        <v>65</v>
      </c>
      <c r="B76" s="348" t="s">
        <v>667</v>
      </c>
      <c r="C76" s="1294" t="s">
        <v>671</v>
      </c>
      <c r="D76" s="475">
        <v>526502.14416295476</v>
      </c>
      <c r="E76" s="475">
        <v>539686.44980508601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178751.71167409047</v>
      </c>
      <c r="C83" s="475">
        <v>178751.71167409047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901.28550799656045</v>
      </c>
    </row>
    <row r="92" spans="1:6">
      <c r="A92" s="341" t="s">
        <v>69</v>
      </c>
      <c r="B92" s="342">
        <v>64.697358009024143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16</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1</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41593.229760302893</v>
      </c>
      <c r="C3" s="43" t="s">
        <v>170</v>
      </c>
      <c r="D3" s="43"/>
      <c r="E3" s="154"/>
      <c r="F3" s="43"/>
      <c r="G3" s="43"/>
      <c r="H3" s="43"/>
      <c r="I3" s="43"/>
      <c r="J3" s="43"/>
      <c r="K3" s="96"/>
    </row>
    <row r="4" spans="1:11">
      <c r="A4" s="383" t="s">
        <v>171</v>
      </c>
      <c r="B4" s="49">
        <f>IF(ISERROR('SEAP template'!B78+'SEAP template'!C78),0,'SEAP template'!B78+'SEAP template'!C78)</f>
        <v>965.98286600558458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0.21586738071033415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578.50800000000004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578.50800000000004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0.21586738071033415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124.88100667997399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19292.159030999999</v>
      </c>
      <c r="C5" s="17">
        <f>IF(ISERROR('Eigen informatie GS &amp; warmtenet'!B57),0,'Eigen informatie GS &amp; warmtenet'!B57)</f>
        <v>0</v>
      </c>
      <c r="D5" s="30">
        <f>(SUM(HH_hh_gas_kWh,HH_rest_gas_kWh)/1000)*0.902</f>
        <v>24745.914635222001</v>
      </c>
      <c r="E5" s="17">
        <f>B46*B57</f>
        <v>1744.4514562371362</v>
      </c>
      <c r="F5" s="17">
        <f>B51*B62</f>
        <v>32749.93417758933</v>
      </c>
      <c r="G5" s="18"/>
      <c r="H5" s="17"/>
      <c r="I5" s="17"/>
      <c r="J5" s="17">
        <f>B50*B61+C50*C61</f>
        <v>0</v>
      </c>
      <c r="K5" s="17"/>
      <c r="L5" s="17"/>
      <c r="M5" s="17"/>
      <c r="N5" s="17">
        <f>B48*B59+C48*C59</f>
        <v>1486.3071601050908</v>
      </c>
      <c r="O5" s="17">
        <f>B69*B70*B71</f>
        <v>117.25</v>
      </c>
      <c r="P5" s="17">
        <f>B77*B78*B79/1000-B77*B78*B79/1000/B80</f>
        <v>1239.3333333333333</v>
      </c>
    </row>
    <row r="6" spans="1:16">
      <c r="A6" s="16" t="s">
        <v>624</v>
      </c>
      <c r="B6" s="788">
        <f>kWh_PV_kleiner_dan_10kW</f>
        <v>901.28550799656045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20193.444538996559</v>
      </c>
      <c r="C8" s="21">
        <f>C5</f>
        <v>0</v>
      </c>
      <c r="D8" s="21">
        <f>D5</f>
        <v>24745.914635222001</v>
      </c>
      <c r="E8" s="21">
        <f>E5</f>
        <v>1744.4514562371362</v>
      </c>
      <c r="F8" s="21">
        <f>F5</f>
        <v>32749.93417758933</v>
      </c>
      <c r="G8" s="21"/>
      <c r="H8" s="21"/>
      <c r="I8" s="21"/>
      <c r="J8" s="21">
        <f>J5</f>
        <v>0</v>
      </c>
      <c r="K8" s="21"/>
      <c r="L8" s="21">
        <f>L5</f>
        <v>0</v>
      </c>
      <c r="M8" s="21">
        <f>M5</f>
        <v>0</v>
      </c>
      <c r="N8" s="21">
        <f>N5</f>
        <v>1486.3071601050908</v>
      </c>
      <c r="O8" s="21">
        <f>O5</f>
        <v>117.25</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0.21586738071033415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4359.105980152588</v>
      </c>
      <c r="C12" s="23">
        <f ca="1">C10*C8</f>
        <v>0</v>
      </c>
      <c r="D12" s="23">
        <f>D8*D10</f>
        <v>4998.6747563148447</v>
      </c>
      <c r="E12" s="23">
        <f>E10*E8</f>
        <v>395.99048056582996</v>
      </c>
      <c r="F12" s="23">
        <f>F10*F8</f>
        <v>8744.2324254163523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3512</v>
      </c>
      <c r="C28" s="36"/>
      <c r="D28" s="228"/>
    </row>
    <row r="29" spans="1:7" s="15" customFormat="1">
      <c r="A29" s="230" t="s">
        <v>699</v>
      </c>
      <c r="B29" s="37">
        <f>SUM(HH_hh_gas_aantal,HH_rest_gas_aantal)</f>
        <v>1264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1264</v>
      </c>
      <c r="C32" s="167">
        <f>IF(ISERROR(B32/SUM($B$32,$B$34,$B$35,$B$36,$B$38,$B$39)*100),0,B32/SUM($B$32,$B$34,$B$35,$B$36,$B$38,$B$39)*100)</f>
        <v>36.669567740063826</v>
      </c>
      <c r="D32" s="233"/>
      <c r="G32" s="15"/>
    </row>
    <row r="33" spans="1:7">
      <c r="A33" s="171" t="s">
        <v>72</v>
      </c>
      <c r="B33" s="34" t="s">
        <v>111</v>
      </c>
      <c r="C33" s="167"/>
      <c r="D33" s="233"/>
      <c r="G33" s="15"/>
    </row>
    <row r="34" spans="1:7">
      <c r="A34" s="171" t="s">
        <v>73</v>
      </c>
      <c r="B34" s="33">
        <f>IF((($B$28-$B$32-$B$39-$B$77-$B$38)*C20/100)&lt;0,0,($B$28-$B$32-$B$39-$B$77-$B$38)*C20/100)</f>
        <v>77.127071823204417</v>
      </c>
      <c r="C34" s="167">
        <f>IF(ISERROR(B34/SUM($B$32,$B$34,$B$35,$B$36,$B$38,$B$39)*100),0,B34/SUM($B$32,$B$34,$B$35,$B$36,$B$38,$B$39)*100)</f>
        <v>2.2375129626691157</v>
      </c>
      <c r="D34" s="233"/>
      <c r="G34" s="15"/>
    </row>
    <row r="35" spans="1:7">
      <c r="A35" s="171" t="s">
        <v>74</v>
      </c>
      <c r="B35" s="33">
        <f>IF((($B$28-$B$32-$B$39-$B$77-$B$38)*C21/100)&lt;0,0,($B$28-$B$32-$B$39-$B$77-$B$38)*C21/100)</f>
        <v>737.33480662983425</v>
      </c>
      <c r="C35" s="167">
        <f>IF(ISERROR(B35/SUM($B$32,$B$34,$B$35,$B$36,$B$38,$B$39)*100),0,B35/SUM($B$32,$B$34,$B$35,$B$36,$B$38,$B$39)*100)</f>
        <v>21.390623923116749</v>
      </c>
      <c r="D35" s="233"/>
      <c r="G35" s="15"/>
    </row>
    <row r="36" spans="1:7">
      <c r="A36" s="171" t="s">
        <v>75</v>
      </c>
      <c r="B36" s="33">
        <f>IF((($B$28-$B$32-$B$39-$B$77-$B$38)*C22/100)&lt;0,0,($B$28-$B$32-$B$39-$B$77-$B$38)*C22/100)</f>
        <v>23.138121546961326</v>
      </c>
      <c r="C36" s="167">
        <f>IF(ISERROR(B36/SUM($B$32,$B$34,$B$35,$B$36,$B$38,$B$39)*100),0,B36/SUM($B$32,$B$34,$B$35,$B$36,$B$38,$B$39)*100)</f>
        <v>0.67125388880073467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1345.4</v>
      </c>
      <c r="C39" s="167">
        <f>IF(ISERROR(B39/SUM($B$32,$B$34,$B$35,$B$36,$B$38,$B$39)*100),0,B39/SUM($B$32,$B$34,$B$35,$B$36,$B$38,$B$39)*100)</f>
        <v>39.031041485349583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1264</v>
      </c>
      <c r="C44" s="34" t="s">
        <v>111</v>
      </c>
      <c r="D44" s="174"/>
    </row>
    <row r="45" spans="1:7">
      <c r="A45" s="171" t="s">
        <v>72</v>
      </c>
      <c r="B45" s="33" t="str">
        <f t="shared" si="0"/>
        <v>-</v>
      </c>
      <c r="C45" s="34" t="s">
        <v>111</v>
      </c>
      <c r="D45" s="174"/>
    </row>
    <row r="46" spans="1:7">
      <c r="A46" s="171" t="s">
        <v>73</v>
      </c>
      <c r="B46" s="33">
        <f t="shared" si="0"/>
        <v>77.127071823204417</v>
      </c>
      <c r="C46" s="34" t="s">
        <v>111</v>
      </c>
      <c r="D46" s="174"/>
    </row>
    <row r="47" spans="1:7">
      <c r="A47" s="171" t="s">
        <v>74</v>
      </c>
      <c r="B47" s="33">
        <f t="shared" si="0"/>
        <v>737.33480662983425</v>
      </c>
      <c r="C47" s="34" t="s">
        <v>111</v>
      </c>
      <c r="D47" s="174"/>
    </row>
    <row r="48" spans="1:7">
      <c r="A48" s="171" t="s">
        <v>75</v>
      </c>
      <c r="B48" s="33">
        <f t="shared" si="0"/>
        <v>23.138121546961326</v>
      </c>
      <c r="C48" s="33">
        <f>B48*10</f>
        <v>231.38121546961327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1345.4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17556.267938790999</v>
      </c>
      <c r="C5" s="17">
        <f>IF(ISERROR('Eigen informatie GS &amp; warmtenet'!B58),0,'Eigen informatie GS &amp; warmtenet'!B58)</f>
        <v>0</v>
      </c>
      <c r="D5" s="30">
        <f>SUM(D6:D12)</f>
        <v>16861.356015964022</v>
      </c>
      <c r="E5" s="17">
        <f>SUM(E6:E12)</f>
        <v>339.24178593823274</v>
      </c>
      <c r="F5" s="17">
        <f>SUM(F6:F12)</f>
        <v>4633.7739163746073</v>
      </c>
      <c r="G5" s="18"/>
      <c r="H5" s="17"/>
      <c r="I5" s="17"/>
      <c r="J5" s="17">
        <f>SUM(J6:J12)</f>
        <v>0</v>
      </c>
      <c r="K5" s="17"/>
      <c r="L5" s="17"/>
      <c r="M5" s="17"/>
      <c r="N5" s="17">
        <f>SUM(N6:N12)</f>
        <v>951.42778731222779</v>
      </c>
      <c r="O5" s="17">
        <f>B38*B39*B40</f>
        <v>1.5633333333333335</v>
      </c>
      <c r="P5" s="17">
        <f>B46*B47*B48/1000-B46*B47*B48/1000/B49</f>
        <v>38.133333333333333</v>
      </c>
      <c r="R5" s="32"/>
    </row>
    <row r="6" spans="1:18">
      <c r="A6" s="32" t="s">
        <v>54</v>
      </c>
      <c r="B6" s="37">
        <f>B26</f>
        <v>5843.7418637000001</v>
      </c>
      <c r="C6" s="33"/>
      <c r="D6" s="37">
        <f>IF(ISERROR(TER_kantoor_gas_kWh/1000),0,TER_kantoor_gas_kWh/1000)*0.902</f>
        <v>5391.9435593363996</v>
      </c>
      <c r="E6" s="33">
        <f>$C$26*'E Balans VL '!I12/100/3.6*1000000</f>
        <v>76.501779442005414</v>
      </c>
      <c r="F6" s="33">
        <f>$C$26*('E Balans VL '!L12+'E Balans VL '!N12)/100/3.6*1000000</f>
        <v>1490.0937882708301</v>
      </c>
      <c r="G6" s="34"/>
      <c r="H6" s="33"/>
      <c r="I6" s="33"/>
      <c r="J6" s="33">
        <f>$C$26*('E Balans VL '!D12+'E Balans VL '!E12)/100/3.6*1000000</f>
        <v>0</v>
      </c>
      <c r="K6" s="33"/>
      <c r="L6" s="33"/>
      <c r="M6" s="33"/>
      <c r="N6" s="33">
        <f>$C$26*'E Balans VL '!Y12/100/3.6*1000000</f>
        <v>5.8634203514187782</v>
      </c>
      <c r="O6" s="33"/>
      <c r="P6" s="33"/>
      <c r="R6" s="32"/>
    </row>
    <row r="7" spans="1:18">
      <c r="A7" s="32" t="s">
        <v>53</v>
      </c>
      <c r="B7" s="37">
        <f t="shared" ref="B7:B12" si="0">B27</f>
        <v>2293.4507794000001</v>
      </c>
      <c r="C7" s="33"/>
      <c r="D7" s="37">
        <f>IF(ISERROR(TER_horeca_gas_kWh/1000),0,TER_horeca_gas_kWh/1000)*0.902</f>
        <v>2581.2221548102002</v>
      </c>
      <c r="E7" s="33">
        <f>$C$27*'E Balans VL '!I9/100/3.6*1000000</f>
        <v>75.899270205034668</v>
      </c>
      <c r="F7" s="33">
        <f>$C$27*('E Balans VL '!L9+'E Balans VL '!N9)/100/3.6*1000000</f>
        <v>986.17504557394841</v>
      </c>
      <c r="G7" s="34"/>
      <c r="H7" s="33"/>
      <c r="I7" s="33"/>
      <c r="J7" s="33">
        <f>$C$27*('E Balans VL '!D9+'E Balans VL '!E9)/100/3.6*1000000</f>
        <v>0</v>
      </c>
      <c r="K7" s="33"/>
      <c r="L7" s="33"/>
      <c r="M7" s="33"/>
      <c r="N7" s="33">
        <f>$C$27*'E Balans VL '!Y9/100/3.6*1000000</f>
        <v>0.55206690716176865</v>
      </c>
      <c r="O7" s="33"/>
      <c r="P7" s="33"/>
      <c r="R7" s="32"/>
    </row>
    <row r="8" spans="1:18">
      <c r="A8" s="6" t="s">
        <v>52</v>
      </c>
      <c r="B8" s="37">
        <f t="shared" si="0"/>
        <v>3549.4449568</v>
      </c>
      <c r="C8" s="33"/>
      <c r="D8" s="37">
        <f>IF(ISERROR(TER_handel_gas_kWh/1000),0,TER_handel_gas_kWh/1000)*0.902</f>
        <v>2413.3160307476001</v>
      </c>
      <c r="E8" s="33">
        <f>$C$28*'E Balans VL '!I13/100/3.6*1000000</f>
        <v>112.02590622706617</v>
      </c>
      <c r="F8" s="33">
        <f>$C$28*('E Balans VL '!L13+'E Balans VL '!N13)/100/3.6*1000000</f>
        <v>696.10865787371063</v>
      </c>
      <c r="G8" s="34"/>
      <c r="H8" s="33"/>
      <c r="I8" s="33"/>
      <c r="J8" s="33">
        <f>$C$28*('E Balans VL '!D13+'E Balans VL '!E13)/100/3.6*1000000</f>
        <v>0</v>
      </c>
      <c r="K8" s="33"/>
      <c r="L8" s="33"/>
      <c r="M8" s="33"/>
      <c r="N8" s="33">
        <f>$C$28*'E Balans VL '!Y13/100/3.6*1000000</f>
        <v>4.2125020474431496</v>
      </c>
      <c r="O8" s="33"/>
      <c r="P8" s="33"/>
      <c r="R8" s="32"/>
    </row>
    <row r="9" spans="1:18">
      <c r="A9" s="32" t="s">
        <v>51</v>
      </c>
      <c r="B9" s="37">
        <f t="shared" si="0"/>
        <v>889.39925055000003</v>
      </c>
      <c r="C9" s="33"/>
      <c r="D9" s="37">
        <f>IF(ISERROR(TER_gezond_gas_kWh/1000),0,TER_gezond_gas_kWh/1000)*0.902</f>
        <v>661.30140952986005</v>
      </c>
      <c r="E9" s="33">
        <f>$C$29*'E Balans VL '!I10/100/3.6*1000000</f>
        <v>0.11386912286816649</v>
      </c>
      <c r="F9" s="33">
        <f>$C$29*('E Balans VL '!L10+'E Balans VL '!N10)/100/3.6*1000000</f>
        <v>185.29914202845026</v>
      </c>
      <c r="G9" s="34"/>
      <c r="H9" s="33"/>
      <c r="I9" s="33"/>
      <c r="J9" s="33">
        <f>$C$29*('E Balans VL '!D10+'E Balans VL '!E10)/100/3.6*1000000</f>
        <v>0</v>
      </c>
      <c r="K9" s="33"/>
      <c r="L9" s="33"/>
      <c r="M9" s="33"/>
      <c r="N9" s="33">
        <f>$C$29*'E Balans VL '!Y10/100/3.6*1000000</f>
        <v>10.446414583061864</v>
      </c>
      <c r="O9" s="33"/>
      <c r="P9" s="33"/>
      <c r="R9" s="32"/>
    </row>
    <row r="10" spans="1:18">
      <c r="A10" s="32" t="s">
        <v>50</v>
      </c>
      <c r="B10" s="37">
        <f t="shared" si="0"/>
        <v>713.12952127999995</v>
      </c>
      <c r="C10" s="33"/>
      <c r="D10" s="37">
        <f>IF(ISERROR(TER_ander_gas_kWh/1000),0,TER_ander_gas_kWh/1000)*0.902</f>
        <v>195.42719072535999</v>
      </c>
      <c r="E10" s="33">
        <f>$C$30*'E Balans VL '!I14/100/3.6*1000000</f>
        <v>1.0723790964819846</v>
      </c>
      <c r="F10" s="33">
        <f>$C$30*('E Balans VL '!L14+'E Balans VL '!N14)/100/3.6*1000000</f>
        <v>157.43601085590561</v>
      </c>
      <c r="G10" s="34"/>
      <c r="H10" s="33"/>
      <c r="I10" s="33"/>
      <c r="J10" s="33">
        <f>$C$30*('E Balans VL '!D14+'E Balans VL '!E14)/100/3.6*1000000</f>
        <v>0</v>
      </c>
      <c r="K10" s="33"/>
      <c r="L10" s="33"/>
      <c r="M10" s="33"/>
      <c r="N10" s="33">
        <f>$C$30*'E Balans VL '!Y14/100/3.6*1000000</f>
        <v>561.99405457595083</v>
      </c>
      <c r="O10" s="33"/>
      <c r="P10" s="33"/>
      <c r="R10" s="32"/>
    </row>
    <row r="11" spans="1:18">
      <c r="A11" s="32" t="s">
        <v>55</v>
      </c>
      <c r="B11" s="37">
        <f t="shared" si="0"/>
        <v>94.676612460999991</v>
      </c>
      <c r="C11" s="33"/>
      <c r="D11" s="37">
        <f>IF(ISERROR(TER_onderwijs_gas_kWh/1000),0,TER_onderwijs_gas_kWh/1000)*0.902</f>
        <v>0</v>
      </c>
      <c r="E11" s="33">
        <f>$C$31*'E Balans VL '!I11/100/3.6*1000000</f>
        <v>0.16673344841652069</v>
      </c>
      <c r="F11" s="33">
        <f>$C$31*('E Balans VL '!L11+'E Balans VL '!N11)/100/3.6*1000000</f>
        <v>43.713905143712715</v>
      </c>
      <c r="G11" s="34"/>
      <c r="H11" s="33"/>
      <c r="I11" s="33"/>
      <c r="J11" s="33">
        <f>$C$31*('E Balans VL '!D11+'E Balans VL '!E11)/100/3.6*1000000</f>
        <v>0</v>
      </c>
      <c r="K11" s="33"/>
      <c r="L11" s="33"/>
      <c r="M11" s="33"/>
      <c r="N11" s="33">
        <f>$C$31*'E Balans VL '!Y11/100/3.6*1000000</f>
        <v>0.17638383827676582</v>
      </c>
      <c r="O11" s="33"/>
      <c r="P11" s="33"/>
      <c r="R11" s="32"/>
    </row>
    <row r="12" spans="1:18">
      <c r="A12" s="32" t="s">
        <v>260</v>
      </c>
      <c r="B12" s="37">
        <f t="shared" si="0"/>
        <v>4172.4249546000001</v>
      </c>
      <c r="C12" s="33"/>
      <c r="D12" s="37">
        <f>IF(ISERROR(TER_rest_gas_kWh/1000),0,TER_rest_gas_kWh/1000)*0.902</f>
        <v>5618.1456708145997</v>
      </c>
      <c r="E12" s="33">
        <f>$C$32*'E Balans VL '!I8/100/3.6*1000000</f>
        <v>73.461848396359784</v>
      </c>
      <c r="F12" s="33">
        <f>$C$32*('E Balans VL '!L8+'E Balans VL '!N8)/100/3.6*1000000</f>
        <v>1074.9473666280494</v>
      </c>
      <c r="G12" s="34"/>
      <c r="H12" s="33"/>
      <c r="I12" s="33"/>
      <c r="J12" s="33">
        <f>$C$32*('E Balans VL '!D8+'E Balans VL '!E8)/100/3.6*1000000</f>
        <v>0</v>
      </c>
      <c r="K12" s="33"/>
      <c r="L12" s="33"/>
      <c r="M12" s="33"/>
      <c r="N12" s="33">
        <f>$C$32*'E Balans VL '!Y8/100/3.6*1000000</f>
        <v>368.1829450089146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17556.267938790999</v>
      </c>
      <c r="C16" s="21">
        <f t="shared" ca="1" si="1"/>
        <v>0</v>
      </c>
      <c r="D16" s="21">
        <f t="shared" ca="1" si="1"/>
        <v>16861.356015964022</v>
      </c>
      <c r="E16" s="21">
        <f t="shared" si="1"/>
        <v>339.24178593823274</v>
      </c>
      <c r="F16" s="21">
        <f t="shared" ca="1" si="1"/>
        <v>4633.7739163746073</v>
      </c>
      <c r="G16" s="21">
        <f t="shared" si="1"/>
        <v>0</v>
      </c>
      <c r="H16" s="21">
        <f t="shared" si="1"/>
        <v>0</v>
      </c>
      <c r="I16" s="21">
        <f t="shared" si="1"/>
        <v>0</v>
      </c>
      <c r="J16" s="21">
        <f t="shared" si="1"/>
        <v>0</v>
      </c>
      <c r="K16" s="21">
        <f t="shared" si="1"/>
        <v>0</v>
      </c>
      <c r="L16" s="21">
        <f t="shared" ca="1" si="1"/>
        <v>0</v>
      </c>
      <c r="M16" s="21">
        <f t="shared" si="1"/>
        <v>0</v>
      </c>
      <c r="N16" s="21">
        <f t="shared" ca="1" si="1"/>
        <v>951.42778731222779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0.21586738071033415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3789.8255749956302</v>
      </c>
      <c r="C20" s="23">
        <f t="shared" ref="C20:P20" ca="1" si="2">C16*C18</f>
        <v>0</v>
      </c>
      <c r="D20" s="23">
        <f t="shared" ca="1" si="2"/>
        <v>3405.9939152247325</v>
      </c>
      <c r="E20" s="23">
        <f t="shared" si="2"/>
        <v>77.007885407978833</v>
      </c>
      <c r="F20" s="23">
        <f t="shared" ca="1" si="2"/>
        <v>1237.2176356720202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5843.7418637000001</v>
      </c>
      <c r="C26" s="39">
        <f>IF(ISERROR(B26*3.6/1000000/'E Balans VL '!Z12*100),0,B26*3.6/1000000/'E Balans VL '!Z12*100)</f>
        <v>0.12517749054672922</v>
      </c>
      <c r="D26" s="237" t="s">
        <v>660</v>
      </c>
      <c r="F26" s="6"/>
    </row>
    <row r="27" spans="1:18">
      <c r="A27" s="231" t="s">
        <v>53</v>
      </c>
      <c r="B27" s="33">
        <f>IF(ISERROR(TER_horeca_ele_kWh/1000),0,TER_horeca_ele_kWh/1000)</f>
        <v>2293.4507794000001</v>
      </c>
      <c r="C27" s="39">
        <f>IF(ISERROR(B27*3.6/1000000/'E Balans VL '!Z9*100),0,B27*3.6/1000000/'E Balans VL '!Z9*100)</f>
        <v>0.18404145309331185</v>
      </c>
      <c r="D27" s="237" t="s">
        <v>660</v>
      </c>
      <c r="F27" s="6"/>
    </row>
    <row r="28" spans="1:18">
      <c r="A28" s="171" t="s">
        <v>52</v>
      </c>
      <c r="B28" s="33">
        <f>IF(ISERROR(TER_handel_ele_kWh/1000),0,TER_handel_ele_kWh/1000)</f>
        <v>3549.4449568</v>
      </c>
      <c r="C28" s="39">
        <f>IF(ISERROR(B28*3.6/1000000/'E Balans VL '!Z13*100),0,B28*3.6/1000000/'E Balans VL '!Z13*100)</f>
        <v>0.10468826742137452</v>
      </c>
      <c r="D28" s="237" t="s">
        <v>660</v>
      </c>
      <c r="F28" s="6"/>
    </row>
    <row r="29" spans="1:18">
      <c r="A29" s="231" t="s">
        <v>51</v>
      </c>
      <c r="B29" s="33">
        <f>IF(ISERROR(TER_gezond_ele_kWh/1000),0,TER_gezond_ele_kWh/1000)</f>
        <v>889.39925055000003</v>
      </c>
      <c r="C29" s="39">
        <f>IF(ISERROR(B29*3.6/1000000/'E Balans VL '!Z10*100),0,B29*3.6/1000000/'E Balans VL '!Z10*100)</f>
        <v>9.4963994270626809E-2</v>
      </c>
      <c r="D29" s="237" t="s">
        <v>660</v>
      </c>
      <c r="F29" s="6"/>
    </row>
    <row r="30" spans="1:18">
      <c r="A30" s="231" t="s">
        <v>50</v>
      </c>
      <c r="B30" s="33">
        <f>IF(ISERROR(TER_ander_ele_kWh/1000),0,TER_ander_ele_kWh/1000)</f>
        <v>713.12952127999995</v>
      </c>
      <c r="C30" s="39">
        <f>IF(ISERROR(B30*3.6/1000000/'E Balans VL '!Z14*100),0,B30*3.6/1000000/'E Balans VL '!Z14*100)</f>
        <v>5.3865473088951794E-2</v>
      </c>
      <c r="D30" s="237" t="s">
        <v>660</v>
      </c>
      <c r="F30" s="6"/>
    </row>
    <row r="31" spans="1:18">
      <c r="A31" s="231" t="s">
        <v>55</v>
      </c>
      <c r="B31" s="33">
        <f>IF(ISERROR(TER_onderwijs_ele_kWh/1000),0,TER_onderwijs_ele_kWh/1000)</f>
        <v>94.676612460999991</v>
      </c>
      <c r="C31" s="39">
        <f>IF(ISERROR(B31*3.6/1000000/'E Balans VL '!Z11*100),0,B31*3.6/1000000/'E Balans VL '!Z11*100)</f>
        <v>1.9118368605365605E-2</v>
      </c>
      <c r="D31" s="237" t="s">
        <v>660</v>
      </c>
    </row>
    <row r="32" spans="1:18">
      <c r="A32" s="231" t="s">
        <v>260</v>
      </c>
      <c r="B32" s="33">
        <f>IF(ISERROR(TER_rest_ele_kWh/1000),0,TER_rest_ele_kWh/1000)</f>
        <v>4172.4249546000001</v>
      </c>
      <c r="C32" s="39">
        <f>IF(ISERROR(B32*3.6/1000000/'E Balans VL '!Z8*100),0,B32*3.6/1000000/'E Balans VL '!Z8*100)</f>
        <v>3.4595212933468809E-2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2089.7969689179999</v>
      </c>
      <c r="C5" s="17">
        <f>IF(ISERROR('Eigen informatie GS &amp; warmtenet'!B59),0,'Eigen informatie GS &amp; warmtenet'!B59)</f>
        <v>0</v>
      </c>
      <c r="D5" s="30">
        <f>SUM(D6:D15)</f>
        <v>1668.7235309881398</v>
      </c>
      <c r="E5" s="17">
        <f>SUM(E6:E15)</f>
        <v>277.72478944457424</v>
      </c>
      <c r="F5" s="17">
        <f>SUM(F6:F15)</f>
        <v>1025.3871296656641</v>
      </c>
      <c r="G5" s="18"/>
      <c r="H5" s="17"/>
      <c r="I5" s="17"/>
      <c r="J5" s="17">
        <f>SUM(J6:J15)</f>
        <v>8.3459842511984963</v>
      </c>
      <c r="K5" s="17"/>
      <c r="L5" s="17"/>
      <c r="M5" s="17"/>
      <c r="N5" s="17">
        <f>SUM(N6:N15)</f>
        <v>675.26083519612632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920.58057770000005</v>
      </c>
      <c r="C9" s="33"/>
      <c r="D9" s="37">
        <f>IF( ISERROR(IND_andere_gas_kWh/1000),0,IND_andere_gas_kWh/1000)*0.902</f>
        <v>933.26837652179995</v>
      </c>
      <c r="E9" s="33">
        <f>C31*'E Balans VL '!I19/100/3.6*1000000</f>
        <v>234.91133471007879</v>
      </c>
      <c r="F9" s="33">
        <f>C31*'E Balans VL '!L19/100/3.6*1000000+C31*'E Balans VL '!N19/100/3.6*1000000</f>
        <v>792.55068387346682</v>
      </c>
      <c r="G9" s="34"/>
      <c r="H9" s="33"/>
      <c r="I9" s="33"/>
      <c r="J9" s="40">
        <f>C31*'E Balans VL '!D19/100/3.6*1000000+C31*'E Balans VL '!E19/100/3.6*1000000</f>
        <v>0</v>
      </c>
      <c r="K9" s="33"/>
      <c r="L9" s="33"/>
      <c r="M9" s="33"/>
      <c r="N9" s="33">
        <f>C31*'E Balans VL '!Y19/100/3.6*1000000</f>
        <v>287.89707323897744</v>
      </c>
      <c r="O9" s="33"/>
      <c r="P9" s="33"/>
      <c r="R9" s="32"/>
    </row>
    <row r="10" spans="1:18">
      <c r="A10" s="6" t="s">
        <v>41</v>
      </c>
      <c r="B10" s="37">
        <f t="shared" si="0"/>
        <v>456.09328908999998</v>
      </c>
      <c r="C10" s="33"/>
      <c r="D10" s="37">
        <f>IF( ISERROR(IND_voed_gas_kWh/1000),0,IND_voed_gas_kWh/1000)*0.902</f>
        <v>0</v>
      </c>
      <c r="E10" s="33">
        <f>C32*'E Balans VL '!I20/100/3.6*1000000</f>
        <v>11.594517676075276</v>
      </c>
      <c r="F10" s="33">
        <f>C32*'E Balans VL '!L20/100/3.6*1000000+C32*'E Balans VL '!N20/100/3.6*1000000</f>
        <v>103.20706477035085</v>
      </c>
      <c r="G10" s="34"/>
      <c r="H10" s="33"/>
      <c r="I10" s="33"/>
      <c r="J10" s="40">
        <f>C32*'E Balans VL '!D20/100/3.6*1000000+C32*'E Balans VL '!E20/100/3.6*1000000</f>
        <v>0</v>
      </c>
      <c r="K10" s="33"/>
      <c r="L10" s="33"/>
      <c r="M10" s="33"/>
      <c r="N10" s="33">
        <f>C32*'E Balans VL '!Y20/100/3.6*1000000</f>
        <v>171.04734630362867</v>
      </c>
      <c r="O10" s="33"/>
      <c r="P10" s="33"/>
      <c r="R10" s="32"/>
    </row>
    <row r="11" spans="1:18">
      <c r="A11" s="6" t="s">
        <v>40</v>
      </c>
      <c r="B11" s="37">
        <f t="shared" si="0"/>
        <v>90.826146287</v>
      </c>
      <c r="C11" s="33"/>
      <c r="D11" s="37">
        <f>IF( ISERROR(IND_textiel_gas_kWh/1000),0,IND_textiel_gas_kWh/1000)*0.902</f>
        <v>0</v>
      </c>
      <c r="E11" s="33">
        <f>C33*'E Balans VL '!I21/100/3.6*1000000</f>
        <v>0.2493421967839459</v>
      </c>
      <c r="F11" s="33">
        <f>C33*'E Balans VL '!L21/100/3.6*1000000+C33*'E Balans VL '!N21/100/3.6*1000000</f>
        <v>4.8152237548111962</v>
      </c>
      <c r="G11" s="34"/>
      <c r="H11" s="33"/>
      <c r="I11" s="33"/>
      <c r="J11" s="40">
        <f>C33*'E Balans VL '!D21/100/3.6*1000000+C33*'E Balans VL '!E21/100/3.6*1000000</f>
        <v>0</v>
      </c>
      <c r="K11" s="33"/>
      <c r="L11" s="33"/>
      <c r="M11" s="33"/>
      <c r="N11" s="33">
        <f>C33*'E Balans VL '!Y21/100/3.6*1000000</f>
        <v>0.18254552388946615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56.102936930999995</v>
      </c>
      <c r="C13" s="33"/>
      <c r="D13" s="37">
        <f>IF( ISERROR(IND_papier_gas_kWh/1000),0,IND_papier_gas_kWh/1000)*0.902</f>
        <v>0</v>
      </c>
      <c r="E13" s="33">
        <f>C35*'E Balans VL '!I23/100/3.6*1000000</f>
        <v>0.24060917515499516</v>
      </c>
      <c r="F13" s="33">
        <f>C35*'E Balans VL '!L23/100/3.6*1000000+C35*'E Balans VL '!N23/100/3.6*1000000</f>
        <v>1.4100409375069856</v>
      </c>
      <c r="G13" s="34"/>
      <c r="H13" s="33"/>
      <c r="I13" s="33"/>
      <c r="J13" s="40">
        <f>C35*'E Balans VL '!D23/100/3.6*1000000+C35*'E Balans VL '!E23/100/3.6*1000000</f>
        <v>3.7557839155794097</v>
      </c>
      <c r="K13" s="33"/>
      <c r="L13" s="33"/>
      <c r="M13" s="33"/>
      <c r="N13" s="33">
        <f>C35*'E Balans VL '!Y23/100/3.6*1000000</f>
        <v>102.12068700184298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566.19401890999995</v>
      </c>
      <c r="C15" s="33"/>
      <c r="D15" s="37">
        <f>IF( ISERROR(IND_rest_gas_kWh/1000),0,IND_rest_gas_kWh/1000)*0.902</f>
        <v>735.45515446633999</v>
      </c>
      <c r="E15" s="33">
        <f>C37*'E Balans VL '!I15/100/3.6*1000000</f>
        <v>30.728985686481231</v>
      </c>
      <c r="F15" s="33">
        <f>C37*'E Balans VL '!L15/100/3.6*1000000+C37*'E Balans VL '!N15/100/3.6*1000000</f>
        <v>123.40411632952819</v>
      </c>
      <c r="G15" s="34"/>
      <c r="H15" s="33"/>
      <c r="I15" s="33"/>
      <c r="J15" s="40">
        <f>C37*'E Balans VL '!D15/100/3.6*1000000+C37*'E Balans VL '!E15/100/3.6*1000000</f>
        <v>4.5902003356190866</v>
      </c>
      <c r="K15" s="33"/>
      <c r="L15" s="33"/>
      <c r="M15" s="33"/>
      <c r="N15" s="33">
        <f>C37*'E Balans VL '!Y15/100/3.6*1000000</f>
        <v>114.01318312778777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2089.7969689179999</v>
      </c>
      <c r="C18" s="21">
        <f>C5+C16</f>
        <v>0</v>
      </c>
      <c r="D18" s="21">
        <f>MAX((D5+D16),0)</f>
        <v>1668.7235309881398</v>
      </c>
      <c r="E18" s="21">
        <f>MAX((E5+E16),0)</f>
        <v>277.72478944457424</v>
      </c>
      <c r="F18" s="21">
        <f>MAX((F5+F16),0)</f>
        <v>1025.3871296656641</v>
      </c>
      <c r="G18" s="21"/>
      <c r="H18" s="21"/>
      <c r="I18" s="21"/>
      <c r="J18" s="21">
        <f>MAX((J5+J16),0)</f>
        <v>8.3459842511984963</v>
      </c>
      <c r="K18" s="21"/>
      <c r="L18" s="21">
        <f>MAX((L5+L16),0)</f>
        <v>0</v>
      </c>
      <c r="M18" s="21"/>
      <c r="N18" s="21">
        <f>MAX((N5+N16),0)</f>
        <v>675.26083519612632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0.21586738071033415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451.11899789672424</v>
      </c>
      <c r="C22" s="23">
        <f ca="1">C18*C20</f>
        <v>0</v>
      </c>
      <c r="D22" s="23">
        <f>D18*D20</f>
        <v>337.08215325960424</v>
      </c>
      <c r="E22" s="23">
        <f>E18*E20</f>
        <v>63.043527203918352</v>
      </c>
      <c r="F22" s="23">
        <f>F18*F20</f>
        <v>273.77836362073236</v>
      </c>
      <c r="G22" s="23"/>
      <c r="H22" s="23"/>
      <c r="I22" s="23"/>
      <c r="J22" s="23">
        <f>J18*J20</f>
        <v>2.9544784249242677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920.58057770000005</v>
      </c>
      <c r="C31" s="39">
        <f>IF(ISERROR(B31*3.6/1000000/'E Balans VL '!Z19*100),0,B31*3.6/1000000/'E Balans VL '!Z19*100)</f>
        <v>3.8749326845615849E-2</v>
      </c>
      <c r="D31" s="237" t="s">
        <v>660</v>
      </c>
    </row>
    <row r="32" spans="1:18">
      <c r="A32" s="171" t="s">
        <v>41</v>
      </c>
      <c r="B32" s="37">
        <f>IF( ISERROR(IND_voed_ele_kWh/1000),0,IND_voed_ele_kWh/1000)</f>
        <v>456.09328908999998</v>
      </c>
      <c r="C32" s="39">
        <f>IF(ISERROR(B32*3.6/1000000/'E Balans VL '!Z20*100),0,B32*3.6/1000000/'E Balans VL '!Z20*100)</f>
        <v>7.6195544283139488E-2</v>
      </c>
      <c r="D32" s="237" t="s">
        <v>660</v>
      </c>
    </row>
    <row r="33" spans="1:5">
      <c r="A33" s="171" t="s">
        <v>40</v>
      </c>
      <c r="B33" s="37">
        <f>IF( ISERROR(IND_textiel_ele_kWh/1000),0,IND_textiel_ele_kWh/1000)</f>
        <v>90.826146287</v>
      </c>
      <c r="C33" s="39">
        <f>IF(ISERROR(B33*3.6/1000000/'E Balans VL '!Z21*100),0,B33*3.6/1000000/'E Balans VL '!Z21*100)</f>
        <v>5.3027022190113631E-3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56.102936930999995</v>
      </c>
      <c r="C35" s="39">
        <f>IF(ISERROR(B35*3.6/1000000/'E Balans VL '!Z22*100),0,B35*3.6/1000000/'E Balans VL '!Z22*100)</f>
        <v>7.1113498182495127E-3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566.19401890999995</v>
      </c>
      <c r="C37" s="39">
        <f>IF(ISERROR(B37*3.6/1000000/'E Balans VL '!Z15*100),0,B37*3.6/1000000/'E Balans VL '!Z15*100)</f>
        <v>4.5711035550331592E-3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291.45752104500002</v>
      </c>
      <c r="C5" s="17">
        <f>'Eigen informatie GS &amp; warmtenet'!B60</f>
        <v>0</v>
      </c>
      <c r="D5" s="30">
        <f>IF(ISERROR(SUM(LB_lb_gas_kWh,LB_rest_gas_kWh)/1000),0,SUM(LB_lb_gas_kWh,LB_rest_gas_kWh)/1000)*0.902</f>
        <v>90.536391816859989</v>
      </c>
      <c r="E5" s="17">
        <f>B17*'E Balans VL '!I25/3.6*1000000/100</f>
        <v>7.5155704002504535</v>
      </c>
      <c r="F5" s="17">
        <f>B17*('E Balans VL '!L25/3.6*1000000+'E Balans VL '!N25/3.6*1000000)/100</f>
        <v>1065.3327448080649</v>
      </c>
      <c r="G5" s="18"/>
      <c r="H5" s="17"/>
      <c r="I5" s="17"/>
      <c r="J5" s="17">
        <f>('E Balans VL '!D25+'E Balans VL '!E25)/3.6*1000000*landbouw!B17/100</f>
        <v>41.959161282601642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291.45752104500002</v>
      </c>
      <c r="C8" s="21">
        <f>C5+C6</f>
        <v>0</v>
      </c>
      <c r="D8" s="21">
        <f>MAX((D5+D6),0)</f>
        <v>90.536391816859989</v>
      </c>
      <c r="E8" s="21">
        <f>MAX((E5+E6),0)</f>
        <v>7.5155704002504535</v>
      </c>
      <c r="F8" s="21">
        <f>MAX((F5+F6),0)</f>
        <v>1065.3327448080649</v>
      </c>
      <c r="G8" s="21"/>
      <c r="H8" s="21"/>
      <c r="I8" s="21"/>
      <c r="J8" s="21">
        <f>MAX((J5+J6),0)</f>
        <v>41.959161282601642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0.21586738071033415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62.916171656311249</v>
      </c>
      <c r="C12" s="23">
        <f ca="1">C8*C10</f>
        <v>0</v>
      </c>
      <c r="D12" s="23">
        <f>D8*D10</f>
        <v>18.28835114700572</v>
      </c>
      <c r="E12" s="23">
        <f>E8*E10</f>
        <v>1.7060344808568531</v>
      </c>
      <c r="F12" s="23">
        <f>F8*F10</f>
        <v>284.44384286375333</v>
      </c>
      <c r="G12" s="23"/>
      <c r="H12" s="23"/>
      <c r="I12" s="23"/>
      <c r="J12" s="23">
        <f>J8*J10</f>
        <v>14.85354309404098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4.1097441038675443E-2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6.0452080568797966</v>
      </c>
      <c r="C26" s="247">
        <f>B26*'GWP N2O_CH4'!B5</f>
        <v>126.94936919447572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0.43104245179399597</v>
      </c>
      <c r="C27" s="247">
        <f>B27*'GWP N2O_CH4'!B5</f>
        <v>9.0518914876739149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7.6807466382848147E-2</v>
      </c>
      <c r="C28" s="247">
        <f>B28*'GWP N2O_CH4'!B4</f>
        <v>23.810314578682924</v>
      </c>
      <c r="D28" s="50"/>
    </row>
    <row r="29" spans="1:4">
      <c r="A29" s="41" t="s">
        <v>277</v>
      </c>
      <c r="B29" s="247">
        <f>B34*'ha_N2O bodem landbouw'!B4</f>
        <v>2.5138835394829435</v>
      </c>
      <c r="C29" s="247">
        <f>B29*'GWP N2O_CH4'!B4</f>
        <v>779.30389723971246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5.6576040478905363E-4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4.032452160837077E-5</v>
      </c>
      <c r="C5" s="463" t="s">
        <v>211</v>
      </c>
      <c r="D5" s="448">
        <f>SUM(D6:D11)</f>
        <v>9.1330896679057809E-5</v>
      </c>
      <c r="E5" s="448">
        <f>SUM(E6:E11)</f>
        <v>3.5180299896147519E-4</v>
      </c>
      <c r="F5" s="461" t="s">
        <v>211</v>
      </c>
      <c r="G5" s="448">
        <f>SUM(G6:G11)</f>
        <v>0.12983923503051856</v>
      </c>
      <c r="H5" s="448">
        <f>SUM(H6:H11)</f>
        <v>2.4529793936981081E-2</v>
      </c>
      <c r="I5" s="463" t="s">
        <v>211</v>
      </c>
      <c r="J5" s="463" t="s">
        <v>211</v>
      </c>
      <c r="K5" s="463" t="s">
        <v>211</v>
      </c>
      <c r="L5" s="463" t="s">
        <v>211</v>
      </c>
      <c r="M5" s="448">
        <f>SUM(M6:M11)</f>
        <v>4.8255052540747776E-3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3.3006806474906891E-5</v>
      </c>
      <c r="C6" s="449"/>
      <c r="D6" s="892">
        <f>vkm_2011_GW_PW*SUMIFS(TableVerdeelsleutelVkm[CNG],TableVerdeelsleutelVkm[Voertuigtype],"Lichte voertuigen")*SUMIFS(TableECFTransport[EnergieConsumptieFactor (PJ per km)],TableECFTransport[Index],CONCATENATE($A6,"_CNG_CNG"))</f>
        <v>6.5585102630503071E-5</v>
      </c>
      <c r="E6" s="892">
        <f>vkm_2011_GW_PW*SUMIFS(TableVerdeelsleutelVkm[LPG],TableVerdeelsleutelVkm[Voertuigtype],"Lichte voertuigen")*SUMIFS(TableECFTransport[EnergieConsumptieFactor (PJ per km)],TableECFTransport[Index],CONCATENATE($A6,"_LPG_LPG"))</f>
        <v>2.5810088934787078E-4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6.1367535529004216E-2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1.7755860366269086E-2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2.4655580797087575E-3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4.1227684803184658E-2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1.3318303170464341E-5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1.2990212666545808E-3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7.317715133463875E-6</v>
      </c>
      <c r="C8" s="449"/>
      <c r="D8" s="451">
        <f>vkm_2011_NGW_PW*SUMIFS(TableVerdeelsleutelVkm[CNG],TableVerdeelsleutelVkm[Voertuigtype],"Lichte voertuigen")*SUMIFS(TableECFTransport[EnergieConsumptieFactor (PJ per km)],TableECFTransport[Index],CONCATENATE($A8,"_CNG_CNG"))</f>
        <v>2.5745794048554744E-5</v>
      </c>
      <c r="E8" s="451">
        <f>vkm_2011_NGW_PW*SUMIFS(TableVerdeelsleutelVkm[LPG],TableVerdeelsleutelVkm[Voertuigtype],"Lichte voertuigen")*SUMIFS(TableECFTransport[EnergieConsumptieFactor (PJ per km)],TableECFTransport[Index],CONCATENATE($A8,"_LPG_LPG"))</f>
        <v>9.3702109613604413E-5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2.080450239642169E-2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6.7586479419319972E-3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8.5803011461461486E-4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6.4395123019079991E-3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1.9673256095361179E-6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2.0289579309682411E-4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11.201256002325215</v>
      </c>
      <c r="C14" s="21"/>
      <c r="D14" s="21">
        <f t="shared" ref="D14:M14" si="0">((D5)*10^9/3600)+D12</f>
        <v>25.369693521960503</v>
      </c>
      <c r="E14" s="21">
        <f t="shared" si="0"/>
        <v>97.723055267076447</v>
      </c>
      <c r="F14" s="21"/>
      <c r="G14" s="21">
        <f t="shared" si="0"/>
        <v>36066.454175144048</v>
      </c>
      <c r="H14" s="21">
        <f t="shared" si="0"/>
        <v>6813.8316491614114</v>
      </c>
      <c r="I14" s="21"/>
      <c r="J14" s="21"/>
      <c r="K14" s="21"/>
      <c r="L14" s="21"/>
      <c r="M14" s="21">
        <f t="shared" si="0"/>
        <v>1340.4181261318827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0.21586738071033415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2.4179857938878526</v>
      </c>
      <c r="C18" s="23"/>
      <c r="D18" s="23">
        <f t="shared" ref="D18:M18" si="1">D14*D16</f>
        <v>5.1246780914360217</v>
      </c>
      <c r="E18" s="23">
        <f t="shared" si="1"/>
        <v>22.183133545626355</v>
      </c>
      <c r="F18" s="23"/>
      <c r="G18" s="23">
        <f t="shared" si="1"/>
        <v>9629.7432647634614</v>
      </c>
      <c r="H18" s="23">
        <f t="shared" si="1"/>
        <v>1696.6440806411915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2.3238206022190323E-3</v>
      </c>
      <c r="H50" s="321">
        <f t="shared" si="2"/>
        <v>0</v>
      </c>
      <c r="I50" s="321">
        <f t="shared" si="2"/>
        <v>0</v>
      </c>
      <c r="J50" s="321">
        <f t="shared" si="2"/>
        <v>0</v>
      </c>
      <c r="K50" s="321">
        <f t="shared" si="2"/>
        <v>0</v>
      </c>
      <c r="L50" s="321">
        <f t="shared" si="2"/>
        <v>0</v>
      </c>
      <c r="M50" s="321">
        <f t="shared" si="2"/>
        <v>7.2079716271007064E-5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2.3238206022190323E-3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7.2079716271007064E-5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645.50572283862004</v>
      </c>
      <c r="H54" s="21">
        <f t="shared" si="3"/>
        <v>0</v>
      </c>
      <c r="I54" s="21">
        <f t="shared" si="3"/>
        <v>0</v>
      </c>
      <c r="J54" s="21">
        <f t="shared" si="3"/>
        <v>0</v>
      </c>
      <c r="K54" s="21">
        <f t="shared" si="3"/>
        <v>0</v>
      </c>
      <c r="L54" s="21">
        <f t="shared" si="3"/>
        <v>0</v>
      </c>
      <c r="M54" s="21">
        <f t="shared" si="3"/>
        <v>20.022143408613076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0.21586738071033415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172.35002799791155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18134.775938791001</v>
      </c>
      <c r="D10" s="1012">
        <f ca="1">tertiair!C16</f>
        <v>0</v>
      </c>
      <c r="E10" s="1012">
        <f ca="1">tertiair!D16</f>
        <v>16861.356015964022</v>
      </c>
      <c r="F10" s="1012">
        <f>tertiair!E16</f>
        <v>339.24178593823274</v>
      </c>
      <c r="G10" s="1012">
        <f ca="1">tertiair!F16</f>
        <v>4633.7739163746073</v>
      </c>
      <c r="H10" s="1012">
        <f>tertiair!G16</f>
        <v>0</v>
      </c>
      <c r="I10" s="1012">
        <f>tertiair!H16</f>
        <v>0</v>
      </c>
      <c r="J10" s="1012">
        <f>tertiair!I16</f>
        <v>0</v>
      </c>
      <c r="K10" s="1012">
        <f>tertiair!J16</f>
        <v>0</v>
      </c>
      <c r="L10" s="1012">
        <f>tertiair!K16</f>
        <v>0</v>
      </c>
      <c r="M10" s="1012">
        <f ca="1">tertiair!L16</f>
        <v>0</v>
      </c>
      <c r="N10" s="1012">
        <f>tertiair!M16</f>
        <v>0</v>
      </c>
      <c r="O10" s="1012">
        <f ca="1">tertiair!N16</f>
        <v>951.42778731222779</v>
      </c>
      <c r="P10" s="1012">
        <f>tertiair!O16</f>
        <v>1.5633333333333335</v>
      </c>
      <c r="Q10" s="1013">
        <f>tertiair!P16</f>
        <v>38.133333333333333</v>
      </c>
      <c r="R10" s="700">
        <f ca="1">SUM(C10:Q10)</f>
        <v>40960.272111046754</v>
      </c>
      <c r="S10" s="67"/>
    </row>
    <row r="11" spans="1:19" s="473" customFormat="1">
      <c r="A11" s="809" t="s">
        <v>225</v>
      </c>
      <c r="B11" s="814"/>
      <c r="C11" s="1012">
        <f>huishoudens!B8</f>
        <v>20193.444538996559</v>
      </c>
      <c r="D11" s="1012">
        <f>huishoudens!C8</f>
        <v>0</v>
      </c>
      <c r="E11" s="1012">
        <f>huishoudens!D8</f>
        <v>24745.914635222001</v>
      </c>
      <c r="F11" s="1012">
        <f>huishoudens!E8</f>
        <v>1744.4514562371362</v>
      </c>
      <c r="G11" s="1012">
        <f>huishoudens!F8</f>
        <v>32749.93417758933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1486.3071601050908</v>
      </c>
      <c r="P11" s="1012">
        <f>huishoudens!O8</f>
        <v>117.25</v>
      </c>
      <c r="Q11" s="1013">
        <f>huishoudens!P8</f>
        <v>1239.3333333333333</v>
      </c>
      <c r="R11" s="700">
        <f>SUM(C11:Q11)</f>
        <v>82276.635301483446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2089.7969689179999</v>
      </c>
      <c r="D13" s="1012">
        <f>industrie!C18</f>
        <v>0</v>
      </c>
      <c r="E13" s="1012">
        <f>industrie!D18</f>
        <v>1668.7235309881398</v>
      </c>
      <c r="F13" s="1012">
        <f>industrie!E18</f>
        <v>277.72478944457424</v>
      </c>
      <c r="G13" s="1012">
        <f>industrie!F18</f>
        <v>1025.3871296656641</v>
      </c>
      <c r="H13" s="1012">
        <f>industrie!G18</f>
        <v>0</v>
      </c>
      <c r="I13" s="1012">
        <f>industrie!H18</f>
        <v>0</v>
      </c>
      <c r="J13" s="1012">
        <f>industrie!I18</f>
        <v>0</v>
      </c>
      <c r="K13" s="1012">
        <f>industrie!J18</f>
        <v>8.3459842511984963</v>
      </c>
      <c r="L13" s="1012">
        <f>industrie!K18</f>
        <v>0</v>
      </c>
      <c r="M13" s="1012">
        <f>industrie!L18</f>
        <v>0</v>
      </c>
      <c r="N13" s="1012">
        <f>industrie!M18</f>
        <v>0</v>
      </c>
      <c r="O13" s="1012">
        <f>industrie!N18</f>
        <v>675.26083519612632</v>
      </c>
      <c r="P13" s="1012">
        <f>industrie!O18</f>
        <v>0</v>
      </c>
      <c r="Q13" s="1013">
        <f>industrie!P18</f>
        <v>0</v>
      </c>
      <c r="R13" s="700">
        <f>SUM(C13:Q13)</f>
        <v>5745.2392384637023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40418.017446705562</v>
      </c>
      <c r="D16" s="732">
        <f t="shared" ref="D16:R16" ca="1" si="0">SUM(D9:D15)</f>
        <v>0</v>
      </c>
      <c r="E16" s="732">
        <f t="shared" ca="1" si="0"/>
        <v>43275.994182174167</v>
      </c>
      <c r="F16" s="732">
        <f t="shared" si="0"/>
        <v>2361.4180316199431</v>
      </c>
      <c r="G16" s="732">
        <f t="shared" ca="1" si="0"/>
        <v>38409.0952236296</v>
      </c>
      <c r="H16" s="732">
        <f t="shared" si="0"/>
        <v>0</v>
      </c>
      <c r="I16" s="732">
        <f t="shared" si="0"/>
        <v>0</v>
      </c>
      <c r="J16" s="732">
        <f t="shared" si="0"/>
        <v>0</v>
      </c>
      <c r="K16" s="732">
        <f t="shared" si="0"/>
        <v>8.3459842511984963</v>
      </c>
      <c r="L16" s="732">
        <f t="shared" si="0"/>
        <v>0</v>
      </c>
      <c r="M16" s="732">
        <f t="shared" ca="1" si="0"/>
        <v>0</v>
      </c>
      <c r="N16" s="732">
        <f t="shared" si="0"/>
        <v>0</v>
      </c>
      <c r="O16" s="732">
        <f t="shared" ca="1" si="0"/>
        <v>3112.995782613445</v>
      </c>
      <c r="P16" s="732">
        <f t="shared" si="0"/>
        <v>118.81333333333333</v>
      </c>
      <c r="Q16" s="732">
        <f t="shared" si="0"/>
        <v>1277.4666666666667</v>
      </c>
      <c r="R16" s="732">
        <f t="shared" ca="1" si="0"/>
        <v>128982.14665099391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645.50572283862004</v>
      </c>
      <c r="I19" s="1012">
        <f>transport!H54</f>
        <v>0</v>
      </c>
      <c r="J19" s="1012">
        <f>transport!I54</f>
        <v>0</v>
      </c>
      <c r="K19" s="1012">
        <f>transport!J54</f>
        <v>0</v>
      </c>
      <c r="L19" s="1012">
        <f>transport!K54</f>
        <v>0</v>
      </c>
      <c r="M19" s="1012">
        <f>transport!L54</f>
        <v>0</v>
      </c>
      <c r="N19" s="1012">
        <f>transport!M54</f>
        <v>20.022143408613076</v>
      </c>
      <c r="O19" s="1012">
        <f>transport!N54</f>
        <v>0</v>
      </c>
      <c r="P19" s="1012">
        <f>transport!O54</f>
        <v>0</v>
      </c>
      <c r="Q19" s="1013">
        <f>transport!P54</f>
        <v>0</v>
      </c>
      <c r="R19" s="700">
        <f>SUM(C19:Q19)</f>
        <v>665.52786624723308</v>
      </c>
      <c r="S19" s="67"/>
    </row>
    <row r="20" spans="1:19" s="473" customFormat="1">
      <c r="A20" s="809" t="s">
        <v>307</v>
      </c>
      <c r="B20" s="814"/>
      <c r="C20" s="1012">
        <f>transport!B14</f>
        <v>11.201256002325215</v>
      </c>
      <c r="D20" s="1012">
        <f>transport!C14</f>
        <v>0</v>
      </c>
      <c r="E20" s="1012">
        <f>transport!D14</f>
        <v>25.369693521960503</v>
      </c>
      <c r="F20" s="1012">
        <f>transport!E14</f>
        <v>97.723055267076447</v>
      </c>
      <c r="G20" s="1012">
        <f>transport!F14</f>
        <v>0</v>
      </c>
      <c r="H20" s="1012">
        <f>transport!G14</f>
        <v>36066.454175144048</v>
      </c>
      <c r="I20" s="1012">
        <f>transport!H14</f>
        <v>6813.8316491614114</v>
      </c>
      <c r="J20" s="1012">
        <f>transport!I14</f>
        <v>0</v>
      </c>
      <c r="K20" s="1012">
        <f>transport!J14</f>
        <v>0</v>
      </c>
      <c r="L20" s="1012">
        <f>transport!K14</f>
        <v>0</v>
      </c>
      <c r="M20" s="1012">
        <f>transport!L14</f>
        <v>0</v>
      </c>
      <c r="N20" s="1012">
        <f>transport!M14</f>
        <v>1340.4181261318827</v>
      </c>
      <c r="O20" s="1012">
        <f>transport!N14</f>
        <v>0</v>
      </c>
      <c r="P20" s="1012">
        <f>transport!O14</f>
        <v>0</v>
      </c>
      <c r="Q20" s="1013">
        <f>transport!P14</f>
        <v>0</v>
      </c>
      <c r="R20" s="700">
        <f>SUM(C20:Q20)</f>
        <v>44354.997955228704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11.201256002325215</v>
      </c>
      <c r="D22" s="812">
        <f t="shared" ref="D22:R22" si="1">SUM(D18:D21)</f>
        <v>0</v>
      </c>
      <c r="E22" s="812">
        <f t="shared" si="1"/>
        <v>25.369693521960503</v>
      </c>
      <c r="F22" s="812">
        <f t="shared" si="1"/>
        <v>97.723055267076447</v>
      </c>
      <c r="G22" s="812">
        <f t="shared" si="1"/>
        <v>0</v>
      </c>
      <c r="H22" s="812">
        <f t="shared" si="1"/>
        <v>36711.95989798267</v>
      </c>
      <c r="I22" s="812">
        <f t="shared" si="1"/>
        <v>6813.8316491614114</v>
      </c>
      <c r="J22" s="812">
        <f t="shared" si="1"/>
        <v>0</v>
      </c>
      <c r="K22" s="812">
        <f t="shared" si="1"/>
        <v>0</v>
      </c>
      <c r="L22" s="812">
        <f t="shared" si="1"/>
        <v>0</v>
      </c>
      <c r="M22" s="812">
        <f t="shared" si="1"/>
        <v>0</v>
      </c>
      <c r="N22" s="812">
        <f t="shared" si="1"/>
        <v>1360.4402695404958</v>
      </c>
      <c r="O22" s="812">
        <f t="shared" si="1"/>
        <v>0</v>
      </c>
      <c r="P22" s="812">
        <f t="shared" si="1"/>
        <v>0</v>
      </c>
      <c r="Q22" s="812">
        <f t="shared" si="1"/>
        <v>0</v>
      </c>
      <c r="R22" s="812">
        <f t="shared" si="1"/>
        <v>45020.525821475938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291.45752104500002</v>
      </c>
      <c r="D24" s="1012">
        <f>+landbouw!C8</f>
        <v>0</v>
      </c>
      <c r="E24" s="1012">
        <f>+landbouw!D8</f>
        <v>90.536391816859989</v>
      </c>
      <c r="F24" s="1012">
        <f>+landbouw!E8</f>
        <v>7.5155704002504535</v>
      </c>
      <c r="G24" s="1012">
        <f>+landbouw!F8</f>
        <v>1065.3327448080649</v>
      </c>
      <c r="H24" s="1012">
        <f>+landbouw!G8</f>
        <v>0</v>
      </c>
      <c r="I24" s="1012">
        <f>+landbouw!H8</f>
        <v>0</v>
      </c>
      <c r="J24" s="1012">
        <f>+landbouw!I8</f>
        <v>0</v>
      </c>
      <c r="K24" s="1012">
        <f>+landbouw!J8</f>
        <v>41.959161282601642</v>
      </c>
      <c r="L24" s="1012">
        <f>+landbouw!K8</f>
        <v>0</v>
      </c>
      <c r="M24" s="1012">
        <f>+landbouw!L8</f>
        <v>0</v>
      </c>
      <c r="N24" s="1012">
        <f>+landbouw!M8</f>
        <v>0</v>
      </c>
      <c r="O24" s="1012">
        <f>+landbouw!N8</f>
        <v>0</v>
      </c>
      <c r="P24" s="1012">
        <f>+landbouw!O8</f>
        <v>0</v>
      </c>
      <c r="Q24" s="1013">
        <f>+landbouw!P8</f>
        <v>0</v>
      </c>
      <c r="R24" s="700">
        <f>SUM(C24:Q24)</f>
        <v>1496.8013893527771</v>
      </c>
      <c r="S24" s="67"/>
    </row>
    <row r="25" spans="1:19" s="473" customFormat="1" ht="15" thickBot="1">
      <c r="A25" s="831" t="s">
        <v>848</v>
      </c>
      <c r="B25" s="1015"/>
      <c r="C25" s="1016">
        <f>IF(Onbekend_ele_kWh="---",0,Onbekend_ele_kWh)/1000+IF(REST_rest_ele_kWh="---",0,REST_rest_ele_kWh)/1000</f>
        <v>872.55353654999999</v>
      </c>
      <c r="D25" s="1016"/>
      <c r="E25" s="1016">
        <f>IF(onbekend_gas_kWh="---",0,onbekend_gas_kWh)/1000+IF(REST_rest_gas_kWh="---",0,REST_rest_gas_kWh)/1000</f>
        <v>1137.8606775000001</v>
      </c>
      <c r="F25" s="1016"/>
      <c r="G25" s="1016"/>
      <c r="H25" s="1016"/>
      <c r="I25" s="1016"/>
      <c r="J25" s="1016"/>
      <c r="K25" s="1016"/>
      <c r="L25" s="1016"/>
      <c r="M25" s="1016"/>
      <c r="N25" s="1016"/>
      <c r="O25" s="1016"/>
      <c r="P25" s="1016"/>
      <c r="Q25" s="1017"/>
      <c r="R25" s="700">
        <f>SUM(C25:Q25)</f>
        <v>2010.4142140500001</v>
      </c>
      <c r="S25" s="67"/>
    </row>
    <row r="26" spans="1:19" s="473" customFormat="1" ht="15.75" thickBot="1">
      <c r="A26" s="705" t="s">
        <v>849</v>
      </c>
      <c r="B26" s="817"/>
      <c r="C26" s="812">
        <f>SUM(C24:C25)</f>
        <v>1164.011057595</v>
      </c>
      <c r="D26" s="812">
        <f t="shared" ref="D26:R26" si="2">SUM(D24:D25)</f>
        <v>0</v>
      </c>
      <c r="E26" s="812">
        <f t="shared" si="2"/>
        <v>1228.3970693168601</v>
      </c>
      <c r="F26" s="812">
        <f t="shared" si="2"/>
        <v>7.5155704002504535</v>
      </c>
      <c r="G26" s="812">
        <f t="shared" si="2"/>
        <v>1065.3327448080649</v>
      </c>
      <c r="H26" s="812">
        <f t="shared" si="2"/>
        <v>0</v>
      </c>
      <c r="I26" s="812">
        <f t="shared" si="2"/>
        <v>0</v>
      </c>
      <c r="J26" s="812">
        <f t="shared" si="2"/>
        <v>0</v>
      </c>
      <c r="K26" s="812">
        <f t="shared" si="2"/>
        <v>41.959161282601642</v>
      </c>
      <c r="L26" s="812">
        <f t="shared" si="2"/>
        <v>0</v>
      </c>
      <c r="M26" s="812">
        <f t="shared" si="2"/>
        <v>0</v>
      </c>
      <c r="N26" s="812">
        <f t="shared" si="2"/>
        <v>0</v>
      </c>
      <c r="O26" s="812">
        <f t="shared" si="2"/>
        <v>0</v>
      </c>
      <c r="P26" s="812">
        <f t="shared" si="2"/>
        <v>0</v>
      </c>
      <c r="Q26" s="812">
        <f t="shared" si="2"/>
        <v>0</v>
      </c>
      <c r="R26" s="812">
        <f t="shared" si="2"/>
        <v>3507.2156034027771</v>
      </c>
      <c r="S26" s="67"/>
    </row>
    <row r="27" spans="1:19" s="473" customFormat="1" ht="17.25" thickTop="1" thickBot="1">
      <c r="A27" s="706" t="s">
        <v>116</v>
      </c>
      <c r="B27" s="805"/>
      <c r="C27" s="707">
        <f ca="1">C22+C16+C26</f>
        <v>41593.229760302893</v>
      </c>
      <c r="D27" s="707">
        <f t="shared" ref="D27:R27" ca="1" si="3">D22+D16+D26</f>
        <v>0</v>
      </c>
      <c r="E27" s="707">
        <f t="shared" ca="1" si="3"/>
        <v>44529.760945012989</v>
      </c>
      <c r="F27" s="707">
        <f t="shared" si="3"/>
        <v>2466.6566572872698</v>
      </c>
      <c r="G27" s="707">
        <f t="shared" ca="1" si="3"/>
        <v>39474.427968437667</v>
      </c>
      <c r="H27" s="707">
        <f t="shared" si="3"/>
        <v>36711.95989798267</v>
      </c>
      <c r="I27" s="707">
        <f t="shared" si="3"/>
        <v>6813.8316491614114</v>
      </c>
      <c r="J27" s="707">
        <f t="shared" si="3"/>
        <v>0</v>
      </c>
      <c r="K27" s="707">
        <f t="shared" si="3"/>
        <v>50.305145533800136</v>
      </c>
      <c r="L27" s="707">
        <f t="shared" si="3"/>
        <v>0</v>
      </c>
      <c r="M27" s="707">
        <f t="shared" ca="1" si="3"/>
        <v>0</v>
      </c>
      <c r="N27" s="707">
        <f t="shared" si="3"/>
        <v>1360.4402695404958</v>
      </c>
      <c r="O27" s="707">
        <f t="shared" ca="1" si="3"/>
        <v>3112.995782613445</v>
      </c>
      <c r="P27" s="707">
        <f t="shared" si="3"/>
        <v>118.81333333333333</v>
      </c>
      <c r="Q27" s="707">
        <f t="shared" si="3"/>
        <v>1277.4666666666667</v>
      </c>
      <c r="R27" s="707">
        <f t="shared" ca="1" si="3"/>
        <v>177509.88807587264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3914.706581675604</v>
      </c>
      <c r="D40" s="1012">
        <f ca="1">tertiair!C20</f>
        <v>0</v>
      </c>
      <c r="E40" s="1012">
        <f ca="1">tertiair!D20</f>
        <v>3405.9939152247325</v>
      </c>
      <c r="F40" s="1012">
        <f>tertiair!E20</f>
        <v>77.007885407978833</v>
      </c>
      <c r="G40" s="1012">
        <f ca="1">tertiair!F20</f>
        <v>1237.2176356720202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8634.926017980335</v>
      </c>
    </row>
    <row r="41" spans="1:18">
      <c r="A41" s="822" t="s">
        <v>225</v>
      </c>
      <c r="B41" s="829"/>
      <c r="C41" s="1012">
        <f ca="1">huishoudens!B12</f>
        <v>4359.105980152588</v>
      </c>
      <c r="D41" s="1012">
        <f ca="1">huishoudens!C12</f>
        <v>0</v>
      </c>
      <c r="E41" s="1012">
        <f>huishoudens!D12</f>
        <v>4998.6747563148447</v>
      </c>
      <c r="F41" s="1012">
        <f>huishoudens!E12</f>
        <v>395.99048056582996</v>
      </c>
      <c r="G41" s="1012">
        <f>huishoudens!F12</f>
        <v>8744.2324254163523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18498.003642449614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451.11899789672424</v>
      </c>
      <c r="D43" s="1012">
        <f ca="1">industrie!C22</f>
        <v>0</v>
      </c>
      <c r="E43" s="1012">
        <f>industrie!D22</f>
        <v>337.08215325960424</v>
      </c>
      <c r="F43" s="1012">
        <f>industrie!E22</f>
        <v>63.043527203918352</v>
      </c>
      <c r="G43" s="1012">
        <f>industrie!F22</f>
        <v>273.77836362073236</v>
      </c>
      <c r="H43" s="1012">
        <f>industrie!G22</f>
        <v>0</v>
      </c>
      <c r="I43" s="1012">
        <f>industrie!H22</f>
        <v>0</v>
      </c>
      <c r="J43" s="1012">
        <f>industrie!I22</f>
        <v>0</v>
      </c>
      <c r="K43" s="1012">
        <f>industrie!J22</f>
        <v>2.9544784249242677</v>
      </c>
      <c r="L43" s="1012">
        <f>industrie!K22</f>
        <v>0</v>
      </c>
      <c r="M43" s="1012">
        <f>industrie!L22</f>
        <v>0</v>
      </c>
      <c r="N43" s="1012">
        <f>industrie!M22</f>
        <v>0</v>
      </c>
      <c r="O43" s="1012">
        <f>industrie!N22</f>
        <v>0</v>
      </c>
      <c r="P43" s="1012">
        <f>industrie!O22</f>
        <v>0</v>
      </c>
      <c r="Q43" s="774">
        <f>industrie!P22</f>
        <v>0</v>
      </c>
      <c r="R43" s="849">
        <f t="shared" ca="1" si="4"/>
        <v>1127.9775204059033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8724.931559724917</v>
      </c>
      <c r="D46" s="732">
        <f t="shared" ref="D46:Q46" ca="1" si="5">SUM(D39:D45)</f>
        <v>0</v>
      </c>
      <c r="E46" s="732">
        <f t="shared" ca="1" si="5"/>
        <v>8741.7508247991809</v>
      </c>
      <c r="F46" s="732">
        <f t="shared" si="5"/>
        <v>536.04189317772716</v>
      </c>
      <c r="G46" s="732">
        <f t="shared" ca="1" si="5"/>
        <v>10255.228424709107</v>
      </c>
      <c r="H46" s="732">
        <f t="shared" si="5"/>
        <v>0</v>
      </c>
      <c r="I46" s="732">
        <f t="shared" si="5"/>
        <v>0</v>
      </c>
      <c r="J46" s="732">
        <f t="shared" si="5"/>
        <v>0</v>
      </c>
      <c r="K46" s="732">
        <f t="shared" si="5"/>
        <v>2.9544784249242677</v>
      </c>
      <c r="L46" s="732">
        <f t="shared" si="5"/>
        <v>0</v>
      </c>
      <c r="M46" s="732">
        <f t="shared" ca="1" si="5"/>
        <v>0</v>
      </c>
      <c r="N46" s="732">
        <f t="shared" si="5"/>
        <v>0</v>
      </c>
      <c r="O46" s="732">
        <f t="shared" ca="1" si="5"/>
        <v>0</v>
      </c>
      <c r="P46" s="732">
        <f t="shared" si="5"/>
        <v>0</v>
      </c>
      <c r="Q46" s="732">
        <f t="shared" si="5"/>
        <v>0</v>
      </c>
      <c r="R46" s="732">
        <f ca="1">SUM(R39:R45)</f>
        <v>28260.907180835853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172.35002799791155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172.35002799791155</v>
      </c>
    </row>
    <row r="50" spans="1:18">
      <c r="A50" s="825" t="s">
        <v>307</v>
      </c>
      <c r="B50" s="835"/>
      <c r="C50" s="703">
        <f ca="1">transport!B18</f>
        <v>2.4179857938878526</v>
      </c>
      <c r="D50" s="703">
        <f>transport!C18</f>
        <v>0</v>
      </c>
      <c r="E50" s="703">
        <f>transport!D18</f>
        <v>5.1246780914360217</v>
      </c>
      <c r="F50" s="703">
        <f>transport!E18</f>
        <v>22.183133545626355</v>
      </c>
      <c r="G50" s="703">
        <f>transport!F18</f>
        <v>0</v>
      </c>
      <c r="H50" s="703">
        <f>transport!G18</f>
        <v>9629.7432647634614</v>
      </c>
      <c r="I50" s="703">
        <f>transport!H18</f>
        <v>1696.6440806411915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11356.113142835604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2.4179857938878526</v>
      </c>
      <c r="D52" s="732">
        <f t="shared" ref="D52:Q52" ca="1" si="6">SUM(D48:D51)</f>
        <v>0</v>
      </c>
      <c r="E52" s="732">
        <f t="shared" si="6"/>
        <v>5.1246780914360217</v>
      </c>
      <c r="F52" s="732">
        <f t="shared" si="6"/>
        <v>22.183133545626355</v>
      </c>
      <c r="G52" s="732">
        <f t="shared" si="6"/>
        <v>0</v>
      </c>
      <c r="H52" s="732">
        <f t="shared" si="6"/>
        <v>9802.0932927613721</v>
      </c>
      <c r="I52" s="732">
        <f t="shared" si="6"/>
        <v>1696.6440806411915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11528.463170833515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62.916171656311249</v>
      </c>
      <c r="D54" s="703">
        <f ca="1">+landbouw!C12</f>
        <v>0</v>
      </c>
      <c r="E54" s="703">
        <f>+landbouw!D12</f>
        <v>18.28835114700572</v>
      </c>
      <c r="F54" s="703">
        <f>+landbouw!E12</f>
        <v>1.7060344808568531</v>
      </c>
      <c r="G54" s="703">
        <f>+landbouw!F12</f>
        <v>284.44384286375333</v>
      </c>
      <c r="H54" s="703">
        <f>+landbouw!G12</f>
        <v>0</v>
      </c>
      <c r="I54" s="703">
        <f>+landbouw!H12</f>
        <v>0</v>
      </c>
      <c r="J54" s="703">
        <f>+landbouw!I12</f>
        <v>0</v>
      </c>
      <c r="K54" s="703">
        <f>+landbouw!J12</f>
        <v>14.85354309404098</v>
      </c>
      <c r="L54" s="703">
        <f>+landbouw!K12</f>
        <v>0</v>
      </c>
      <c r="M54" s="703">
        <f>+landbouw!L12</f>
        <v>0</v>
      </c>
      <c r="N54" s="703">
        <f>+landbouw!M12</f>
        <v>0</v>
      </c>
      <c r="O54" s="703">
        <f>+landbouw!N12</f>
        <v>0</v>
      </c>
      <c r="P54" s="703">
        <f>+landbouw!O12</f>
        <v>0</v>
      </c>
      <c r="Q54" s="704">
        <f>+landbouw!P12</f>
        <v>0</v>
      </c>
      <c r="R54" s="731">
        <f ca="1">SUM(C54:Q54)</f>
        <v>382.20794324196811</v>
      </c>
    </row>
    <row r="55" spans="1:18" ht="15" thickBot="1">
      <c r="A55" s="825" t="s">
        <v>848</v>
      </c>
      <c r="B55" s="835"/>
      <c r="C55" s="703">
        <f ca="1">C25*'EF ele_warmte'!B12</f>
        <v>188.3558464645873</v>
      </c>
      <c r="D55" s="703"/>
      <c r="E55" s="703">
        <f>E25*EF_CO2_aardgas</f>
        <v>229.84785685500003</v>
      </c>
      <c r="F55" s="703"/>
      <c r="G55" s="703"/>
      <c r="H55" s="703"/>
      <c r="I55" s="703"/>
      <c r="J55" s="703"/>
      <c r="K55" s="703"/>
      <c r="L55" s="703"/>
      <c r="M55" s="703"/>
      <c r="N55" s="703"/>
      <c r="O55" s="703"/>
      <c r="P55" s="703"/>
      <c r="Q55" s="704"/>
      <c r="R55" s="731">
        <f ca="1">SUM(C55:Q55)</f>
        <v>418.20370331958736</v>
      </c>
    </row>
    <row r="56" spans="1:18" ht="15.75" thickBot="1">
      <c r="A56" s="823" t="s">
        <v>849</v>
      </c>
      <c r="B56" s="836"/>
      <c r="C56" s="732">
        <f ca="1">SUM(C54:C55)</f>
        <v>251.27201812089857</v>
      </c>
      <c r="D56" s="732">
        <f t="shared" ref="D56:Q56" ca="1" si="7">SUM(D54:D55)</f>
        <v>0</v>
      </c>
      <c r="E56" s="732">
        <f t="shared" si="7"/>
        <v>248.13620800200576</v>
      </c>
      <c r="F56" s="732">
        <f t="shared" si="7"/>
        <v>1.7060344808568531</v>
      </c>
      <c r="G56" s="732">
        <f t="shared" si="7"/>
        <v>284.44384286375333</v>
      </c>
      <c r="H56" s="732">
        <f t="shared" si="7"/>
        <v>0</v>
      </c>
      <c r="I56" s="732">
        <f t="shared" si="7"/>
        <v>0</v>
      </c>
      <c r="J56" s="732">
        <f t="shared" si="7"/>
        <v>0</v>
      </c>
      <c r="K56" s="732">
        <f t="shared" si="7"/>
        <v>14.85354309404098</v>
      </c>
      <c r="L56" s="732">
        <f t="shared" si="7"/>
        <v>0</v>
      </c>
      <c r="M56" s="732">
        <f t="shared" si="7"/>
        <v>0</v>
      </c>
      <c r="N56" s="732">
        <f t="shared" si="7"/>
        <v>0</v>
      </c>
      <c r="O56" s="732">
        <f t="shared" si="7"/>
        <v>0</v>
      </c>
      <c r="P56" s="732">
        <f t="shared" si="7"/>
        <v>0</v>
      </c>
      <c r="Q56" s="733">
        <f t="shared" si="7"/>
        <v>0</v>
      </c>
      <c r="R56" s="734">
        <f ca="1">SUM(R54:R55)</f>
        <v>800.41164656155547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8978.6215636397028</v>
      </c>
      <c r="D61" s="740">
        <f t="shared" ref="D61:Q61" ca="1" si="8">D46+D52+D56</f>
        <v>0</v>
      </c>
      <c r="E61" s="740">
        <f t="shared" ca="1" si="8"/>
        <v>8995.0117108926224</v>
      </c>
      <c r="F61" s="740">
        <f t="shared" si="8"/>
        <v>559.93106120421032</v>
      </c>
      <c r="G61" s="740">
        <f t="shared" ca="1" si="8"/>
        <v>10539.67226757286</v>
      </c>
      <c r="H61" s="740">
        <f t="shared" si="8"/>
        <v>9802.0932927613721</v>
      </c>
      <c r="I61" s="740">
        <f t="shared" si="8"/>
        <v>1696.6440806411915</v>
      </c>
      <c r="J61" s="740">
        <f t="shared" si="8"/>
        <v>0</v>
      </c>
      <c r="K61" s="740">
        <f t="shared" si="8"/>
        <v>17.808021518965248</v>
      </c>
      <c r="L61" s="740">
        <f t="shared" si="8"/>
        <v>0</v>
      </c>
      <c r="M61" s="740">
        <f t="shared" ca="1" si="8"/>
        <v>0</v>
      </c>
      <c r="N61" s="740">
        <f t="shared" si="8"/>
        <v>0</v>
      </c>
      <c r="O61" s="740">
        <f t="shared" ca="1" si="8"/>
        <v>0</v>
      </c>
      <c r="P61" s="740">
        <f t="shared" si="8"/>
        <v>0</v>
      </c>
      <c r="Q61" s="740">
        <f t="shared" si="8"/>
        <v>0</v>
      </c>
      <c r="R61" s="740">
        <f ca="1">R46+R52+R56</f>
        <v>40589.781998230923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0.21586738071033409</v>
      </c>
      <c r="D63" s="781">
        <f t="shared" ca="1" si="9"/>
        <v>0</v>
      </c>
      <c r="E63" s="1023">
        <f t="shared" ca="1" si="9"/>
        <v>0.20199999999999996</v>
      </c>
      <c r="F63" s="781">
        <f t="shared" si="9"/>
        <v>0.22700000000000004</v>
      </c>
      <c r="G63" s="781">
        <f t="shared" ca="1" si="9"/>
        <v>0.26700000000000007</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965.98286600558458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965.98286600558458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965.98286600558458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965.98286600558458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20193.444538996559</v>
      </c>
      <c r="C4" s="477">
        <f>huishoudens!C8</f>
        <v>0</v>
      </c>
      <c r="D4" s="477">
        <f>huishoudens!D8</f>
        <v>24745.914635222001</v>
      </c>
      <c r="E4" s="477">
        <f>huishoudens!E8</f>
        <v>1744.4514562371362</v>
      </c>
      <c r="F4" s="477">
        <f>huishoudens!F8</f>
        <v>32749.93417758933</v>
      </c>
      <c r="G4" s="477">
        <f>huishoudens!G8</f>
        <v>0</v>
      </c>
      <c r="H4" s="477">
        <f>huishoudens!H8</f>
        <v>0</v>
      </c>
      <c r="I4" s="477">
        <f>huishoudens!I8</f>
        <v>0</v>
      </c>
      <c r="J4" s="477">
        <f>huishoudens!J8</f>
        <v>0</v>
      </c>
      <c r="K4" s="477">
        <f>huishoudens!K8</f>
        <v>0</v>
      </c>
      <c r="L4" s="477">
        <f>huishoudens!L8</f>
        <v>0</v>
      </c>
      <c r="M4" s="477">
        <f>huishoudens!M8</f>
        <v>0</v>
      </c>
      <c r="N4" s="477">
        <f>huishoudens!N8</f>
        <v>1486.3071601050908</v>
      </c>
      <c r="O4" s="477">
        <f>huishoudens!O8</f>
        <v>117.25</v>
      </c>
      <c r="P4" s="478">
        <f>huishoudens!P8</f>
        <v>1239.3333333333333</v>
      </c>
      <c r="Q4" s="479">
        <f>SUM(B4:P4)</f>
        <v>82276.635301483446</v>
      </c>
    </row>
    <row r="5" spans="1:17">
      <c r="A5" s="476" t="s">
        <v>156</v>
      </c>
      <c r="B5" s="477">
        <f ca="1">tertiair!B16</f>
        <v>17556.267938790999</v>
      </c>
      <c r="C5" s="477">
        <f ca="1">tertiair!C16</f>
        <v>0</v>
      </c>
      <c r="D5" s="477">
        <f ca="1">tertiair!D16</f>
        <v>16861.356015964022</v>
      </c>
      <c r="E5" s="477">
        <f>tertiair!E16</f>
        <v>339.24178593823274</v>
      </c>
      <c r="F5" s="477">
        <f ca="1">tertiair!F16</f>
        <v>4633.7739163746073</v>
      </c>
      <c r="G5" s="477">
        <f>tertiair!G16</f>
        <v>0</v>
      </c>
      <c r="H5" s="477">
        <f>tertiair!H16</f>
        <v>0</v>
      </c>
      <c r="I5" s="477">
        <f>tertiair!I16</f>
        <v>0</v>
      </c>
      <c r="J5" s="477">
        <f>tertiair!J16</f>
        <v>0</v>
      </c>
      <c r="K5" s="477">
        <f>tertiair!K16</f>
        <v>0</v>
      </c>
      <c r="L5" s="477">
        <f ca="1">tertiair!L16</f>
        <v>0</v>
      </c>
      <c r="M5" s="477">
        <f>tertiair!M16</f>
        <v>0</v>
      </c>
      <c r="N5" s="477">
        <f ca="1">tertiair!N16</f>
        <v>951.42778731222779</v>
      </c>
      <c r="O5" s="477">
        <f>tertiair!O16</f>
        <v>1.5633333333333335</v>
      </c>
      <c r="P5" s="478">
        <f>tertiair!P16</f>
        <v>38.133333333333333</v>
      </c>
      <c r="Q5" s="476">
        <f t="shared" ref="Q5:Q14" ca="1" si="0">SUM(B5:P5)</f>
        <v>40381.764111046752</v>
      </c>
    </row>
    <row r="6" spans="1:17">
      <c r="A6" s="476" t="s">
        <v>194</v>
      </c>
      <c r="B6" s="477">
        <f>'openbare verlichting'!B8</f>
        <v>578.50800000000004</v>
      </c>
      <c r="C6" s="477"/>
      <c r="D6" s="477"/>
      <c r="E6" s="477"/>
      <c r="F6" s="477"/>
      <c r="G6" s="477"/>
      <c r="H6" s="477"/>
      <c r="I6" s="477"/>
      <c r="J6" s="477"/>
      <c r="K6" s="477"/>
      <c r="L6" s="477"/>
      <c r="M6" s="477"/>
      <c r="N6" s="477"/>
      <c r="O6" s="477"/>
      <c r="P6" s="478"/>
      <c r="Q6" s="476">
        <f t="shared" si="0"/>
        <v>578.50800000000004</v>
      </c>
    </row>
    <row r="7" spans="1:17">
      <c r="A7" s="476" t="s">
        <v>112</v>
      </c>
      <c r="B7" s="477">
        <f>landbouw!B8</f>
        <v>291.45752104500002</v>
      </c>
      <c r="C7" s="477">
        <f>landbouw!C8</f>
        <v>0</v>
      </c>
      <c r="D7" s="477">
        <f>landbouw!D8</f>
        <v>90.536391816859989</v>
      </c>
      <c r="E7" s="477">
        <f>landbouw!E8</f>
        <v>7.5155704002504535</v>
      </c>
      <c r="F7" s="477">
        <f>landbouw!F8</f>
        <v>1065.3327448080649</v>
      </c>
      <c r="G7" s="477">
        <f>landbouw!G8</f>
        <v>0</v>
      </c>
      <c r="H7" s="477">
        <f>landbouw!H8</f>
        <v>0</v>
      </c>
      <c r="I7" s="477">
        <f>landbouw!I8</f>
        <v>0</v>
      </c>
      <c r="J7" s="477">
        <f>landbouw!J8</f>
        <v>41.959161282601642</v>
      </c>
      <c r="K7" s="477">
        <f>landbouw!K8</f>
        <v>0</v>
      </c>
      <c r="L7" s="477">
        <f>landbouw!L8</f>
        <v>0</v>
      </c>
      <c r="M7" s="477">
        <f>landbouw!M8</f>
        <v>0</v>
      </c>
      <c r="N7" s="477">
        <f>landbouw!N8</f>
        <v>0</v>
      </c>
      <c r="O7" s="477">
        <f>landbouw!O8</f>
        <v>0</v>
      </c>
      <c r="P7" s="478">
        <f>landbouw!P8</f>
        <v>0</v>
      </c>
      <c r="Q7" s="476">
        <f t="shared" si="0"/>
        <v>1496.8013893527771</v>
      </c>
    </row>
    <row r="8" spans="1:17">
      <c r="A8" s="476" t="s">
        <v>638</v>
      </c>
      <c r="B8" s="477">
        <f>industrie!B18</f>
        <v>2089.7969689179999</v>
      </c>
      <c r="C8" s="477">
        <f>industrie!C18</f>
        <v>0</v>
      </c>
      <c r="D8" s="477">
        <f>industrie!D18</f>
        <v>1668.7235309881398</v>
      </c>
      <c r="E8" s="477">
        <f>industrie!E18</f>
        <v>277.72478944457424</v>
      </c>
      <c r="F8" s="477">
        <f>industrie!F18</f>
        <v>1025.3871296656641</v>
      </c>
      <c r="G8" s="477">
        <f>industrie!G18</f>
        <v>0</v>
      </c>
      <c r="H8" s="477">
        <f>industrie!H18</f>
        <v>0</v>
      </c>
      <c r="I8" s="477">
        <f>industrie!I18</f>
        <v>0</v>
      </c>
      <c r="J8" s="477">
        <f>industrie!J18</f>
        <v>8.3459842511984963</v>
      </c>
      <c r="K8" s="477">
        <f>industrie!K18</f>
        <v>0</v>
      </c>
      <c r="L8" s="477">
        <f>industrie!L18</f>
        <v>0</v>
      </c>
      <c r="M8" s="477">
        <f>industrie!M18</f>
        <v>0</v>
      </c>
      <c r="N8" s="477">
        <f>industrie!N18</f>
        <v>675.26083519612632</v>
      </c>
      <c r="O8" s="477">
        <f>industrie!O18</f>
        <v>0</v>
      </c>
      <c r="P8" s="478">
        <f>industrie!P18</f>
        <v>0</v>
      </c>
      <c r="Q8" s="476">
        <f t="shared" si="0"/>
        <v>5745.2392384637023</v>
      </c>
    </row>
    <row r="9" spans="1:17" s="482" customFormat="1">
      <c r="A9" s="480" t="s">
        <v>564</v>
      </c>
      <c r="B9" s="481">
        <f>transport!B14</f>
        <v>11.201256002325215</v>
      </c>
      <c r="C9" s="481">
        <f>transport!C14</f>
        <v>0</v>
      </c>
      <c r="D9" s="481">
        <f>transport!D14</f>
        <v>25.369693521960503</v>
      </c>
      <c r="E9" s="481">
        <f>transport!E14</f>
        <v>97.723055267076447</v>
      </c>
      <c r="F9" s="481">
        <f>transport!F14</f>
        <v>0</v>
      </c>
      <c r="G9" s="481">
        <f>transport!G14</f>
        <v>36066.454175144048</v>
      </c>
      <c r="H9" s="481">
        <f>transport!H14</f>
        <v>6813.8316491614114</v>
      </c>
      <c r="I9" s="481">
        <f>transport!I14</f>
        <v>0</v>
      </c>
      <c r="J9" s="481">
        <f>transport!J14</f>
        <v>0</v>
      </c>
      <c r="K9" s="481">
        <f>transport!K14</f>
        <v>0</v>
      </c>
      <c r="L9" s="481">
        <f>transport!L14</f>
        <v>0</v>
      </c>
      <c r="M9" s="481">
        <f>transport!M14</f>
        <v>1340.4181261318827</v>
      </c>
      <c r="N9" s="481">
        <f>transport!N14</f>
        <v>0</v>
      </c>
      <c r="O9" s="481">
        <f>transport!O14</f>
        <v>0</v>
      </c>
      <c r="P9" s="481">
        <f>transport!P14</f>
        <v>0</v>
      </c>
      <c r="Q9" s="480">
        <f>SUM(B9:P9)</f>
        <v>44354.997955228704</v>
      </c>
    </row>
    <row r="10" spans="1:17">
      <c r="A10" s="476" t="s">
        <v>554</v>
      </c>
      <c r="B10" s="477">
        <f>transport!B54</f>
        <v>0</v>
      </c>
      <c r="C10" s="477">
        <f>transport!C54</f>
        <v>0</v>
      </c>
      <c r="D10" s="477">
        <f>transport!D54</f>
        <v>0</v>
      </c>
      <c r="E10" s="477">
        <f>transport!E54</f>
        <v>0</v>
      </c>
      <c r="F10" s="477">
        <f>transport!F54</f>
        <v>0</v>
      </c>
      <c r="G10" s="477">
        <f>transport!G54</f>
        <v>645.50572283862004</v>
      </c>
      <c r="H10" s="477">
        <f>transport!H54</f>
        <v>0</v>
      </c>
      <c r="I10" s="477">
        <f>transport!I54</f>
        <v>0</v>
      </c>
      <c r="J10" s="477">
        <f>transport!J54</f>
        <v>0</v>
      </c>
      <c r="K10" s="477">
        <f>transport!K54</f>
        <v>0</v>
      </c>
      <c r="L10" s="477">
        <f>transport!L54</f>
        <v>0</v>
      </c>
      <c r="M10" s="477">
        <f>transport!M54</f>
        <v>20.022143408613076</v>
      </c>
      <c r="N10" s="477">
        <f>transport!N54</f>
        <v>0</v>
      </c>
      <c r="O10" s="477">
        <f>transport!O54</f>
        <v>0</v>
      </c>
      <c r="P10" s="478">
        <f>transport!P54</f>
        <v>0</v>
      </c>
      <c r="Q10" s="476">
        <f t="shared" si="0"/>
        <v>665.52786624723308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872.55353654999999</v>
      </c>
      <c r="C14" s="484"/>
      <c r="D14" s="484">
        <f>'SEAP template'!E25</f>
        <v>1137.8606775000001</v>
      </c>
      <c r="E14" s="484"/>
      <c r="F14" s="484"/>
      <c r="G14" s="484"/>
      <c r="H14" s="484"/>
      <c r="I14" s="484"/>
      <c r="J14" s="484"/>
      <c r="K14" s="484"/>
      <c r="L14" s="484"/>
      <c r="M14" s="484"/>
      <c r="N14" s="484"/>
      <c r="O14" s="484"/>
      <c r="P14" s="485"/>
      <c r="Q14" s="476">
        <f t="shared" si="0"/>
        <v>2010.4142140500001</v>
      </c>
    </row>
    <row r="15" spans="1:17" s="486" customFormat="1">
      <c r="A15" s="1038" t="s">
        <v>558</v>
      </c>
      <c r="B15" s="978">
        <f ca="1">SUM(B4:B14)</f>
        <v>41593.229760302886</v>
      </c>
      <c r="C15" s="978">
        <f t="shared" ref="C15:Q15" ca="1" si="1">SUM(C4:C14)</f>
        <v>0</v>
      </c>
      <c r="D15" s="978">
        <f t="shared" ca="1" si="1"/>
        <v>44529.760945012989</v>
      </c>
      <c r="E15" s="978">
        <f t="shared" si="1"/>
        <v>2466.6566572872698</v>
      </c>
      <c r="F15" s="978">
        <f t="shared" ca="1" si="1"/>
        <v>39474.427968437667</v>
      </c>
      <c r="G15" s="978">
        <f t="shared" si="1"/>
        <v>36711.95989798267</v>
      </c>
      <c r="H15" s="978">
        <f t="shared" si="1"/>
        <v>6813.8316491614114</v>
      </c>
      <c r="I15" s="978">
        <f t="shared" si="1"/>
        <v>0</v>
      </c>
      <c r="J15" s="978">
        <f t="shared" si="1"/>
        <v>50.305145533800136</v>
      </c>
      <c r="K15" s="978">
        <f t="shared" si="1"/>
        <v>0</v>
      </c>
      <c r="L15" s="978">
        <f t="shared" ca="1" si="1"/>
        <v>0</v>
      </c>
      <c r="M15" s="978">
        <f t="shared" si="1"/>
        <v>1360.4402695404958</v>
      </c>
      <c r="N15" s="978">
        <f t="shared" ca="1" si="1"/>
        <v>3112.995782613445</v>
      </c>
      <c r="O15" s="978">
        <f t="shared" si="1"/>
        <v>118.81333333333333</v>
      </c>
      <c r="P15" s="978">
        <f t="shared" si="1"/>
        <v>1277.4666666666667</v>
      </c>
      <c r="Q15" s="978">
        <f t="shared" ca="1" si="1"/>
        <v>177509.88807587262</v>
      </c>
    </row>
    <row r="17" spans="1:17">
      <c r="A17" s="487" t="s">
        <v>559</v>
      </c>
      <c r="B17" s="786">
        <f ca="1">huishoudens!B10</f>
        <v>0.21586738071033415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4359.105980152588</v>
      </c>
      <c r="C22" s="477">
        <f t="shared" ref="C22:C32" ca="1" si="3">C4*$C$17</f>
        <v>0</v>
      </c>
      <c r="D22" s="477">
        <f t="shared" ref="D22:D32" si="4">D4*$D$17</f>
        <v>4998.6747563148447</v>
      </c>
      <c r="E22" s="477">
        <f t="shared" ref="E22:E32" si="5">E4*$E$17</f>
        <v>395.99048056582996</v>
      </c>
      <c r="F22" s="477">
        <f t="shared" ref="F22:F32" si="6">F4*$F$17</f>
        <v>8744.2324254163523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18498.003642449614</v>
      </c>
    </row>
    <row r="23" spans="1:17">
      <c r="A23" s="476" t="s">
        <v>156</v>
      </c>
      <c r="B23" s="477">
        <f t="shared" ca="1" si="2"/>
        <v>3789.8255749956302</v>
      </c>
      <c r="C23" s="477">
        <f t="shared" ca="1" si="3"/>
        <v>0</v>
      </c>
      <c r="D23" s="477">
        <f t="shared" ca="1" si="4"/>
        <v>3405.9939152247325</v>
      </c>
      <c r="E23" s="477">
        <f t="shared" si="5"/>
        <v>77.007885407978833</v>
      </c>
      <c r="F23" s="477">
        <f t="shared" ca="1" si="6"/>
        <v>1237.2176356720202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8510.0450113003608</v>
      </c>
    </row>
    <row r="24" spans="1:17">
      <c r="A24" s="476" t="s">
        <v>194</v>
      </c>
      <c r="B24" s="477">
        <f t="shared" ca="1" si="2"/>
        <v>124.88100667997399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124.88100667997399</v>
      </c>
    </row>
    <row r="25" spans="1:17">
      <c r="A25" s="476" t="s">
        <v>112</v>
      </c>
      <c r="B25" s="477">
        <f t="shared" ca="1" si="2"/>
        <v>62.916171656311249</v>
      </c>
      <c r="C25" s="477">
        <f t="shared" ca="1" si="3"/>
        <v>0</v>
      </c>
      <c r="D25" s="477">
        <f t="shared" si="4"/>
        <v>18.28835114700572</v>
      </c>
      <c r="E25" s="477">
        <f t="shared" si="5"/>
        <v>1.7060344808568531</v>
      </c>
      <c r="F25" s="477">
        <f t="shared" si="6"/>
        <v>284.44384286375333</v>
      </c>
      <c r="G25" s="477">
        <f t="shared" si="7"/>
        <v>0</v>
      </c>
      <c r="H25" s="477">
        <f t="shared" si="8"/>
        <v>0</v>
      </c>
      <c r="I25" s="477">
        <f t="shared" si="9"/>
        <v>0</v>
      </c>
      <c r="J25" s="477">
        <f t="shared" si="10"/>
        <v>14.85354309404098</v>
      </c>
      <c r="K25" s="477">
        <f t="shared" si="11"/>
        <v>0</v>
      </c>
      <c r="L25" s="477">
        <f t="shared" si="12"/>
        <v>0</v>
      </c>
      <c r="M25" s="477">
        <f t="shared" si="13"/>
        <v>0</v>
      </c>
      <c r="N25" s="477">
        <f t="shared" si="14"/>
        <v>0</v>
      </c>
      <c r="O25" s="477">
        <f t="shared" si="15"/>
        <v>0</v>
      </c>
      <c r="P25" s="478">
        <f t="shared" si="16"/>
        <v>0</v>
      </c>
      <c r="Q25" s="476">
        <f t="shared" ca="1" si="17"/>
        <v>382.20794324196811</v>
      </c>
    </row>
    <row r="26" spans="1:17">
      <c r="A26" s="476" t="s">
        <v>638</v>
      </c>
      <c r="B26" s="477">
        <f t="shared" ca="1" si="2"/>
        <v>451.11899789672424</v>
      </c>
      <c r="C26" s="477">
        <f t="shared" ca="1" si="3"/>
        <v>0</v>
      </c>
      <c r="D26" s="477">
        <f t="shared" si="4"/>
        <v>337.08215325960424</v>
      </c>
      <c r="E26" s="477">
        <f t="shared" si="5"/>
        <v>63.043527203918352</v>
      </c>
      <c r="F26" s="477">
        <f t="shared" si="6"/>
        <v>273.77836362073236</v>
      </c>
      <c r="G26" s="477">
        <f t="shared" si="7"/>
        <v>0</v>
      </c>
      <c r="H26" s="477">
        <f t="shared" si="8"/>
        <v>0</v>
      </c>
      <c r="I26" s="477">
        <f t="shared" si="9"/>
        <v>0</v>
      </c>
      <c r="J26" s="477">
        <f t="shared" si="10"/>
        <v>2.9544784249242677</v>
      </c>
      <c r="K26" s="477">
        <f t="shared" si="11"/>
        <v>0</v>
      </c>
      <c r="L26" s="477">
        <f t="shared" si="12"/>
        <v>0</v>
      </c>
      <c r="M26" s="477">
        <f t="shared" si="13"/>
        <v>0</v>
      </c>
      <c r="N26" s="477">
        <f t="shared" si="14"/>
        <v>0</v>
      </c>
      <c r="O26" s="477">
        <f t="shared" si="15"/>
        <v>0</v>
      </c>
      <c r="P26" s="478">
        <f t="shared" si="16"/>
        <v>0</v>
      </c>
      <c r="Q26" s="476">
        <f t="shared" ca="1" si="17"/>
        <v>1127.9775204059033</v>
      </c>
    </row>
    <row r="27" spans="1:17" s="482" customFormat="1">
      <c r="A27" s="480" t="s">
        <v>564</v>
      </c>
      <c r="B27" s="780">
        <f t="shared" ca="1" si="2"/>
        <v>2.4179857938878526</v>
      </c>
      <c r="C27" s="481">
        <f t="shared" ca="1" si="3"/>
        <v>0</v>
      </c>
      <c r="D27" s="481">
        <f t="shared" si="4"/>
        <v>5.1246780914360217</v>
      </c>
      <c r="E27" s="481">
        <f t="shared" si="5"/>
        <v>22.183133545626355</v>
      </c>
      <c r="F27" s="481">
        <f t="shared" si="6"/>
        <v>0</v>
      </c>
      <c r="G27" s="481">
        <f t="shared" si="7"/>
        <v>9629.7432647634614</v>
      </c>
      <c r="H27" s="481">
        <f t="shared" si="8"/>
        <v>1696.6440806411915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11356.113142835604</v>
      </c>
    </row>
    <row r="28" spans="1:17">
      <c r="A28" s="476" t="s">
        <v>554</v>
      </c>
      <c r="B28" s="477">
        <f t="shared" ca="1" si="2"/>
        <v>0</v>
      </c>
      <c r="C28" s="477">
        <f t="shared" ca="1" si="3"/>
        <v>0</v>
      </c>
      <c r="D28" s="477">
        <f t="shared" si="4"/>
        <v>0</v>
      </c>
      <c r="E28" s="477">
        <f t="shared" si="5"/>
        <v>0</v>
      </c>
      <c r="F28" s="477">
        <f t="shared" si="6"/>
        <v>0</v>
      </c>
      <c r="G28" s="477">
        <f t="shared" si="7"/>
        <v>172.35002799791155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172.35002799791155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188.3558464645873</v>
      </c>
      <c r="C32" s="477">
        <f t="shared" ca="1" si="3"/>
        <v>0</v>
      </c>
      <c r="D32" s="477">
        <f t="shared" si="4"/>
        <v>229.84785685500003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418.20370331958736</v>
      </c>
    </row>
    <row r="33" spans="1:17" s="486" customFormat="1">
      <c r="A33" s="1038" t="s">
        <v>558</v>
      </c>
      <c r="B33" s="978">
        <f ca="1">SUM(B22:B32)</f>
        <v>8978.6215636397028</v>
      </c>
      <c r="C33" s="978">
        <f t="shared" ref="C33:Q33" ca="1" si="18">SUM(C22:C32)</f>
        <v>0</v>
      </c>
      <c r="D33" s="978">
        <f t="shared" ca="1" si="18"/>
        <v>8995.0117108926224</v>
      </c>
      <c r="E33" s="978">
        <f t="shared" si="18"/>
        <v>559.93106120421032</v>
      </c>
      <c r="F33" s="978">
        <f t="shared" ca="1" si="18"/>
        <v>10539.67226757286</v>
      </c>
      <c r="G33" s="978">
        <f t="shared" si="18"/>
        <v>9802.0932927613721</v>
      </c>
      <c r="H33" s="978">
        <f t="shared" si="18"/>
        <v>1696.6440806411915</v>
      </c>
      <c r="I33" s="978">
        <f t="shared" si="18"/>
        <v>0</v>
      </c>
      <c r="J33" s="978">
        <f t="shared" si="18"/>
        <v>17.808021518965248</v>
      </c>
      <c r="K33" s="978">
        <f t="shared" si="18"/>
        <v>0</v>
      </c>
      <c r="L33" s="978">
        <f t="shared" ca="1" si="18"/>
        <v>0</v>
      </c>
      <c r="M33" s="978">
        <f t="shared" si="18"/>
        <v>0</v>
      </c>
      <c r="N33" s="978">
        <f t="shared" ca="1" si="18"/>
        <v>0</v>
      </c>
      <c r="O33" s="978">
        <f t="shared" si="18"/>
        <v>0</v>
      </c>
      <c r="P33" s="978">
        <f t="shared" si="18"/>
        <v>0</v>
      </c>
      <c r="Q33" s="978">
        <f t="shared" ca="1" si="18"/>
        <v>40589.781998230923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965.98286600558458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965.98286600558458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0.21586738071033415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0.21586738071033415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2019-08-12T08:25:42Z</dcterms:modified>
</cp:coreProperties>
</file>