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<sst xmlns="http://schemas.openxmlformats.org/spreadsheetml/2006/main" count="2392" uniqueCount="890">
  <si>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</si>
  <si>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</si>
  <si>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</si>
  <si>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</si>
  <si>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</si>
  <si>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</si>
  <si>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</si>
  <si>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</si>
  <si>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</si>
  <si>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</si>
  <si>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</si>
  <si>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</si>
  <si>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</si>
  <si>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</si>
  <si>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</si>
  <si>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</si>
  <si>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</si>
  <si>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</si>
  <si>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</si>
  <si>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</si>
  <si>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</si>
  <si>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</si>
  <si>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</si>
  <si>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</si>
  <si>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</si>
  <si>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</si>
  <si>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</si>
  <si>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</si>
  <si>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</si>
  <si>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</si>
  <si>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</si>
  <si>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</si>
  <si>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</si>
  <si>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</si>
  <si>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</si>
  <si>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</si>
  <si>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</si>
  <si>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</si>
  <si>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</si>
  <si>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</si>
  <si>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</si>
  <si>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</si>
  <si>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</si>
  <si>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</si>
  <si>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</si>
  <si>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</si>
  <si>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</si>
  <si>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</si>
  <si>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</si>
  <si>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</si>
  <si>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</si>
  <si>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</si>
  <si>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</si>
  <si>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</si>
  <si>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</si>
  <si>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</si>
  <si>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</si>
  <si>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</si>
  <si>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</si>
  <si>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</si>
  <si>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</si>
  <si>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</si>
  <si>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</si>
  <si>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</si>
  <si>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</si>
  <si>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</si>
  <si>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</si>
  <si>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</si>
  <si>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</si>
  <si>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</si>
  <si>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</si>
  <si>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</si>
  <si>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</si>
  <si>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</si>
  <si>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</si>
  <si>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</si>
  <si>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</si>
  <si>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</si>
  <si>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</si>
  <si>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</si>
  <si>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</si>
  <si>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</si>
  <si>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</si>
  <si>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</si>
  <si>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</si>
  <si>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</si>
  <si>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</si>
  <si>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</si>
  <si>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</si>
  <si>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</si>
  <si>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</si>
  <si>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</si>
  <si>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</si>
  <si>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</si>
  <si>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</si>
  <si>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</si>
  <si>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</si>
  <si>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</si>
  <si>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</si>
  <si>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</si>
  <si>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</si>
  <si>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</si>
  <si>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</si>
  <si>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</si>
  <si>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</si>
  <si>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</si>
  <si>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</si>
  <si>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</si>
  <si>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</si>
  <si>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</si>
  <si>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</si>
  <si>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</si>
  <si>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</si>
  <si>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</si>
  <si>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</si>
  <si>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</si>
  <si>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</si>
  <si>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</si>
  <si>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</si>
  <si>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</si>
  <si>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</si>
  <si>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</si>
  <si>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</si>
  <si>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</si>
  <si>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</si>
  <si>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</si>
  <si>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</si>
  <si>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</si>
  <si>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</si>
  <si>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</si>
  <si>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</si>
  <si>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</si>
  <si>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</si>
  <si>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</si>
  <si>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</si>
  <si>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</si>
  <si>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</si>
  <si>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</si>
  <si>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</si>
  <si>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</si>
  <si>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</si>
  <si>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</si>
  <si>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</si>
  <si>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</si>
  <si>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</si>
  <si>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</si>
  <si>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</si>
  <si>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</si>
  <si>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</si>
  <si>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</si>
  <si>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</si>
  <si>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</si>
  <si>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</si>
  <si>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</si>
  <si>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</si>
  <si>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</si>
  <si>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</si>
  <si>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</si>
  <si>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</si>
  <si>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</si>
  <si>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</si>
  <si>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</si>
  <si>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</si>
  <si>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</si>
  <si>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</si>
  <si>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</si>
  <si>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</si>
  <si>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</si>
  <si>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</si>
  <si>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</si>
  <si>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</si>
  <si>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</si>
  <si>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</si>
  <si>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</si>
  <si>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</si>
  <si>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</si>
  <si>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</si>
  <si>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</si>
  <si>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</si>
  <si>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</si>
  <si>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</si>
  <si>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</si>
  <si>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</si>
  <si>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</si>
  <si>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</si>
  <si>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</si>
  <si>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</si>
  <si>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</si>
  <si>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</si>
  <si>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</si>
  <si>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</si>
  <si>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</si>
  <si>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</si>
  <si>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</si>
  <si>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</si>
  <si>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</si>
  <si>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</si>
  <si>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</si>
  <si>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</si>
  <si>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</si>
  <si>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</si>
  <si>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</si>
  <si>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</si>
  <si>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</si>
  <si>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</si>
  <si>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</si>
  <si>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</si>
  <si>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</si>
  <si>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</si>
  <si>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</si>
  <si>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</si>
  <si>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</si>
  <si>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</si>
  <si>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</si>
  <si>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</si>
  <si>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</si>
  <si>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</si>
  <si>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</si>
  <si>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</si>
  <si>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</si>
  <si>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</si>
  <si>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</si>
  <si>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</si>
  <si>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</si>
  <si>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</si>
  <si>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</si>
  <si>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</si>
  <si>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</si>
  <si>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</si>
  <si>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</si>
  <si>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</si>
  <si>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</si>
  <si>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</si>
  <si>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</si>
  <si>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</si>
  <si>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</si>
  <si>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</si>
  <si>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</si>
  <si>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</si>
  <si>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</si>
  <si>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</si>
  <si>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</si>
  <si>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</si>
  <si>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</si>
  <si>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</si>
  <si>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</si>
  <si>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</si>
  <si>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</si>
  <si>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</si>
  <si>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</si>
  <si>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</si>
  <si>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</si>
  <si>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</si>
  <si>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</si>
  <si>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</si>
  <si>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</si>
  <si>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</si>
  <si>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</si>
  <si>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</si>
  <si>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</si>
  <si>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</si>
  <si>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</si>
  <si>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</si>
  <si>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</si>
  <si>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</si>
  <si>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</si>
  <si>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</si>
  <si>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</si>
  <si>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</si>
  <si>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</si>
  <si>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</si>
  <si>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</si>
  <si>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</si>
  <si>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</si>
  <si>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</si>
  <si>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</si>
  <si>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</si>
  <si>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</si>
  <si>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</si>
  <si>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</si>
  <si>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</si>
  <si>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</si>
  <si>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</si>
  <si>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</si>
  <si>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</si>
  <si>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</si>
  <si>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</si>
  <si>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</si>
  <si>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</si>
  <si>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</si>
  <si>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</si>
  <si>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</si>
  <si>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</si>
  <si>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</si>
  <si>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</si>
  <si>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</si>
  <si>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</si>
  <si>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</si>
  <si>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</si>
  <si>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</si>
  <si>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</si>
  <si>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</si>
  <si>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</si>
  <si>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</si>
  <si>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</si>
  <si>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</si>
  <si>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</si>
  <si>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</si>
  <si>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</si>
  <si>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</si>
  <si>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</si>
  <si>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</si>
  <si>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</si>
  <si>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</si>
  <si>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</si>
  <si>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</si>
  <si>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</si>
  <si>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</si>
  <si>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</si>
  <si>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</si>
  <si>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</si>
  <si>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</si>
  <si>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</si>
  <si>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</si>
  <si>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</si>
  <si>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</si>
  <si>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</si>
  <si>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</si>
  <si>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</si>
  <si>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</si>
  <si>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</si>
  <si>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</si>
  <si>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</si>
  <si>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</si>
  <si>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</si>
  <si>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</si>
  <si>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</si>
  <si>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</si>
  <si>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</si>
  <si>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</si>
  <si>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</si>
  <si>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</si>
  <si>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</si>
  <si>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</si>
  <si>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</si>
  <si>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</si>
  <si>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</si>
  <si>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</si>
  <si>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</si>
  <si>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</si>
  <si>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</si>
  <si>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</si>
  <si>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</si>
  <si>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</si>
  <si>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</si>
  <si>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</si>
  <si>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</si>
  <si>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</si>
  <si>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</si>
  <si>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</si>
  <si>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</si>
  <si>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</si>
  <si>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</si>
  <si>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</si>
  <si>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</si>
  <si>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</si>
  <si>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</si>
  <si>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</si>
  <si>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</si>
  <si>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</si>
  <si>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</si>
  <si>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</si>
  <si>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</si>
  <si>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</si>
  <si>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</si>
  <si>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</si>
  <si>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</si>
  <si>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</si>
  <si>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</si>
  <si>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</si>
  <si>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</si>
  <si>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</si>
  <si>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</si>
  <si>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</si>
  <si>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</si>
  <si>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</si>
  <si>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</si>
  <si>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</si>
  <si>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</si>
  <si>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</si>
  <si>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</si>
  <si>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</si>
  <si>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</si>
  <si>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</si>
  <si>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</si>
  <si>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</si>
  <si>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</si>
  <si>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</si>
  <si>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</si>
  <si>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</si>
  <si>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</si>
  <si>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</si>
  <si>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</si>
  <si>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</si>
  <si>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</si>
  <si>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</si>
  <si>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</si>
  <si>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</si>
  <si>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</si>
  <si>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</si>
  <si>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</si>
  <si>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</si>
  <si>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</si>
  <si>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</si>
  <si>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</si>
  <si>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</si>
  <si>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</si>
  <si>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</si>
  <si>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</si>
  <si>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</si>
  <si>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</si>
  <si>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</si>
  <si>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</si>
  <si>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</si>
  <si>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</si>
  <si>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</si>
  <si>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</si>
  <si>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</si>
  <si>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</si>
  <si>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</si>
  <si>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</si>
  <si>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</si>
  <si>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</si>
  <si>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</si>
  <si>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</si>
  <si>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</si>
  <si>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</si>
  <si>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</si>
  <si>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</si>
  <si>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</si>
  <si>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</si>
  <si>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</si>
  <si>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</si>
  <si>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</si>
  <si>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</si>
  <si>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</si>
  <si>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</si>
  <si>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</si>
  <si>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</si>
  <si>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</si>
  <si>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</si>
  <si>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</si>
  <si>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</si>
  <si>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</si>
  <si>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</si>
  <si>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</si>
  <si>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</si>
  <si>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</si>
  <si>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</si>
  <si>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</si>
  <si>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</si>
  <si>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</si>
  <si>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</si>
  <si>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</si>
  <si>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</si>
  <si>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</si>
  <si>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</si>
  <si>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</si>
  <si>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</si>
  <si>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</si>
  <si>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</si>
  <si>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</si>
  <si>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</si>
  <si>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</si>
  <si>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</si>
  <si>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</si>
  <si>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</si>
  <si>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</si>
  <si>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</si>
  <si>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</si>
  <si>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</si>
  <si>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</si>
  <si>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</si>
  <si>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</si>
  <si>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</si>
  <si>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</si>
  <si>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</si>
  <si>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</si>
  <si>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</si>
  <si>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</si>
  <si>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</si>
  <si>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</si>
  <si>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</si>
  <si>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</si>
  <si>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</si>
  <si>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</si>
  <si>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</si>
  <si>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</si>
  <si>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</si>
  <si>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</si>
  <si>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</si>
  <si>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</si>
  <si>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</si>
  <si>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</si>
  <si>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</si>
  <si>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</si>
  <si>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</si>
  <si>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</si>
  <si>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</si>
  <si>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</si>
  <si>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</si>
  <si>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</si>
  <si>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</si>
  <si>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</si>
  <si>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</si>
  <si>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</si>
  <si>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</si>
  <si>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</si>
  <si>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</si>
  <si>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</si>
  <si>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</si>
  <si>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</si>
  <si>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</si>
  <si>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</si>
  <si>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</si>
  <si>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</si>
  <si>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</si>
  <si>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</si>
  <si>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</si>
  <si>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</si>
  <si>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</si>
  <si>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</si>
  <si>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</si>
  <si>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</si>
  <si>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</si>
  <si>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</si>
  <si>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</si>
  <si>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</si>
  <si>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</si>
  <si>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</si>
  <si>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</si>
  <si>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</si>
  <si>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</si>
  <si>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</si>
  <si>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</si>
  <si>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</si>
  <si>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</si>
  <si>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</si>
  <si>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</si>
  <si>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</si>
  <si>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</si>
  <si>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</si>
  <si>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</si>
  <si>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</si>
  <si>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</si>
  <si>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</si>
  <si>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</si>
  <si>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</si>
  <si>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</si>
  <si>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</si>
  <si>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</si>
  <si>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</si>
  <si>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</si>
  <si>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</si>
  <si>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</si>
  <si>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</si>
  <si>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</si>
  <si>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</si>
  <si>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</si>
  <si>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</si>
  <si>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</si>
  <si>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</si>
  <si>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</si>
  <si>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</si>
  <si>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</si>
  <si>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</si>
  <si>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</si>
  <si>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</si>
  <si>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</si>
  <si>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</si>
  <si>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</si>
  <si>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</si>
  <si>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</si>
  <si>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</si>
  <si>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</si>
  <si>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</si>
  <si>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</si>
  <si>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</si>
  <si>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</si>
  <si>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</si>
  <si>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</si>
  <si>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</si>
  <si>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</si>
  <si>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</si>
  <si>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</si>
  <si>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</si>
  <si>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</si>
  <si>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</si>
  <si>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</si>
  <si>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</si>
  <si>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</si>
  <si>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</si>
  <si>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</si>
  <si>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</si>
  <si>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</si>
  <si>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</si>
  <si>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</si>
  <si>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</si>
  <si>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</si>
  <si>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</si>
  <si>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</si>
  <si>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</si>
  <si>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</si>
  <si>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</si>
  <si>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</si>
  <si>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</si>
  <si>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</si>
  <si>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</si>
  <si>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</si>
  <si>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</si>
  <si>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</si>
  <si>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</si>
  <si>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</si>
  <si>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</si>
  <si>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</si>
  <si>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</si>
  <si>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</si>
  <si>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</si>
  <si>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</si>
  <si>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</si>
  <si>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</si>
  <si>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</si>
  <si>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</si>
  <si>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</si>
  <si>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</si>
  <si>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</si>
  <si>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</si>
  <si>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</si>
  <si>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</si>
  <si>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</si>
  <si>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</si>
  <si>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</si>
  <si>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</si>
  <si>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</si>
  <si>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</si>
  <si>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</si>
  <si>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</si>
  <si>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</si>
  <si>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</si>
  <si>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</si>
  <si>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</si>
  <si>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</si>
  <si>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</si>
  <si>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</si>
  <si>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</si>
  <si>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</si>
  <si>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</si>
  <si>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</si>
  <si>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</si>
  <si>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</si>
  <si>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</si>
  <si>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</si>
  <si>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</si>
  <si>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</si>
  <si>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</si>
  <si>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</si>
  <si>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</si>
  <si>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</si>
  <si>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</si>
  <si>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</si>
  <si>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</si>
  <si>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</si>
  <si>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</si>
  <si>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</si>
  <si>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</si>
  <si>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</si>
  <si>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</si>
  <si>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</si>
  <si>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</si>
  <si>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</si>
  <si>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</si>
  <si>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</si>
  <si>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</si>
  <si>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</si>
  <si>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</si>
  <si>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</si>
  <si>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</si>
  <si>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</si>
  <si>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</si>
  <si>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</si>
  <si>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</si>
  <si>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</si>
  <si>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</si>
  <si>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</si>
  <si>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</si>
  <si>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</si>
  <si>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</si>
  <si>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</si>
  <si>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</si>
  <si>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</si>
  <si>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</si>
  <si>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</si>
  <si>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</si>
  <si>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</si>
  <si>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</si>
  <si>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</si>
  <si>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</si>
  <si>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</si>
  <si>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</si>
  <si>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</si>
  <si>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</si>
  <si>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</si>
  <si>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</si>
  <si>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</si>
  <si>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</si>
  <si>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</si>
  <si>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</si>
  <si>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</si>
  <si>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</si>
  <si>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</si>
  <si>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</si>
  <si>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</si>
  <si>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</si>
  <si>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</si>
  <si>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</si>
  <si>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</si>
  <si>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</si>
  <si>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</si>
  <si>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</si>
  <si>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</si>
  <si>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</si>
  <si>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</si>
  <si>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</si>
  <si>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</si>
  <si>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</si>
  <si>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</si>
  <si>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</si>
  <si>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</si>
  <si>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</si>
  <si>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</si>
  <si>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</si>
  <si>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</si>
  <si>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</si>
  <si>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</si>
  <si>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</si>
  <si>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</si>
  <si>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</si>
  <si>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</si>
  <si>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</si>
  <si>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</si>
  <si>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</si>
  <si>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</si>
  <si>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</si>
  <si>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</si>
  <si>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</si>
  <si>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</si>
  <si>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</si>
  <si>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</si>
  <si>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</si>
  <si>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</si>
  <si>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</si>
  <si>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</si>
  <si>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</si>
  <si>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</si>
  <si>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</si>
  <si>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</si>
  <si>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</si>
  <si>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</si>
  <si>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</si>
  <si>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</si>
  <si>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</si>
  <si>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</si>
  <si>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</si>
  <si>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</si>
  <si>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</si>
  <si>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</si>
  <si>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</si>
  <si>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</si>
  <si>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</si>
  <si>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</si>
  <si>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</si>
  <si>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</si>
  <si>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</si>
  <si>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</si>
  <si>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</si>
  <si>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</si>
  <si>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</si>
  <si>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</si>
  <si>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</si>
  <si>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</si>
  <si>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</si>
  <si>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</si>
  <si>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</si>
  <si>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</si>
  <si>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</si>
  <si>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</si>
  <si>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</si>
  <si>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</si>
  <si>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</si>
  <si>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</si>
  <si>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</si>
  <si>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</si>
  <si>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</si>
  <si>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</si>
  <si>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</si>
  <si>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</si>
  <si>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</si>
  <si>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</si>
  <si>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</si>
  <si>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</si>
  <si>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</si>
  <si>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</si>
  <si>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</si>
  <si>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</si>
  <si>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</si>
  <si>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</si>
  <si>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</si>
  <si>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</si>
  <si>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</si>
  <si>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</si>
  <si>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</si>
  <si>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</si>
  <si>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</si>
  <si>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</si>
  <si>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</si>
  <si>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</si>
  <si>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</si>
  <si>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</si>
  <si>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</si>
  <si>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</si>
  <si>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</si>
  <si>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</si>
  <si>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</si>
  <si>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</si>
  <si>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</si>
  <si>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</si>
  <si>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</si>
  <si>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</si>
  <si>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</si>
  <si>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</si>
  <si>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</si>
  <si>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</si>
  <si>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</si>
  <si>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</si>
  <si>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</si>
  <si>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</si>
  <si>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</si>
  <si>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</si>
  <si>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</si>
  <si>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</si>
  <si>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</si>
  <si>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</si>
  <si>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</si>
  <si>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</si>
  <si>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</si>
  <si>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</si>
  <si>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</si>
  <si>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</si>
  <si>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</si>
  <si>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</si>
  <si>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</si>
  <si>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</si>
  <si>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</si>
  <si>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</si>
  <si>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</si>
  <si>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</si>
  <si>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</si>
  <si>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</si>
  <si>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</si>
  <si>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</si>
  <si>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</si>
  <si>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</si>
  <si>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</si>
  <si>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</si>
  <si>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</si>
  <si>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</si>
  <si>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</si>
  <si>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</si>
  <si>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</si>
  <si>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</si>
  <si>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</si>
  <si>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</si>
  <si>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44040</t>
  </si>
  <si>
    <t>MELLE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</si>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</sst>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76695.551656740849</c:v>
                </c:pt>
                <c:pt idx="1">
                  <c:v>42471.480247024891</c:v>
                </c:pt>
                <c:pt idx="2">
                  <c:v>861.548</c:v>
                </c:pt>
                <c:pt idx="3">
                  <c:v>3248.8562932662958</c:v>
                </c:pt>
                <c:pt idx="4">
                  <c:v>19420.541441304453</c:v>
                </c:pt>
                <c:pt idx="5">
                  <c:v>238291.44649498473</c:v>
                </c:pt>
                <c:pt idx="6">
                  <c:v>1443.2723979181987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76695.551656740849</c:v>
                </c:pt>
                <c:pt idx="1">
                  <c:v>42471.480247024891</c:v>
                </c:pt>
                <c:pt idx="2">
                  <c:v>861.548</c:v>
                </c:pt>
                <c:pt idx="3">
                  <c:v>3248.8562932662958</c:v>
                </c:pt>
                <c:pt idx="4">
                  <c:v>19420.541441304453</c:v>
                </c:pt>
                <c:pt idx="5">
                  <c:v>238291.44649498473</c:v>
                </c:pt>
                <c:pt idx="6">
                  <c:v>1443.2723979181987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12741.883776619341</c:v>
                </c:pt>
                <c:pt idx="2">
                  <c:v>7704.2637467538179</c:v>
                </c:pt>
                <c:pt idx="3">
                  <c:v>119.81423074526285</c:v>
                </c:pt>
                <c:pt idx="4">
                  <c:v>708.60326961409044</c:v>
                </c:pt>
                <c:pt idx="5">
                  <c:v>3367.0570077751149</c:v>
                </c:pt>
                <c:pt idx="6">
                  <c:v>61044.321088280725</c:v>
                </c:pt>
                <c:pt idx="7">
                  <c:v>330.38997955052366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12741.883776619341</c:v>
                </c:pt>
                <c:pt idx="2">
                  <c:v>7704.2637467538179</c:v>
                </c:pt>
                <c:pt idx="3">
                  <c:v>119.81423074526285</c:v>
                </c:pt>
                <c:pt idx="4">
                  <c:v>708.60326961409044</c:v>
                </c:pt>
                <c:pt idx="5">
                  <c:v>3367.0570077751149</c:v>
                </c:pt>
                <c:pt idx="6">
                  <c:v>61044.321088280725</c:v>
                </c:pt>
                <c:pt idx="7">
                  <c:v>330.38997955052366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44040</v>
      </c>
      <c r="B6" s="415"/>
      <c r="C6" s="416"/>
    </row>
    <row r="7" spans="1:7" s="413" customFormat="1" ht="15.75" customHeight="1">
      <c r="A7" s="417" t="str">
        <f>txtMunicipality</f>
        <v>MELLE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0.13906854957038128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0.13906854957038128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4594</v>
      </c>
      <c r="C9" s="342">
        <v>4613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472.01</v>
      </c>
    </row>
    <row r="15" spans="1:6">
      <c r="A15" s="348" t="s">
        <v>184</v>
      </c>
      <c r="B15" s="334">
        <v>8</v>
      </c>
    </row>
    <row r="16" spans="1:6">
      <c r="A16" s="348" t="s">
        <v>6</v>
      </c>
      <c r="B16" s="334">
        <v>221</v>
      </c>
    </row>
    <row r="17" spans="1:6">
      <c r="A17" s="348" t="s">
        <v>7</v>
      </c>
      <c r="B17" s="334">
        <v>95</v>
      </c>
    </row>
    <row r="18" spans="1:6">
      <c r="A18" s="348" t="s">
        <v>8</v>
      </c>
      <c r="B18" s="334">
        <v>145</v>
      </c>
    </row>
    <row r="19" spans="1:6">
      <c r="A19" s="348" t="s">
        <v>9</v>
      </c>
      <c r="B19" s="334">
        <v>142</v>
      </c>
    </row>
    <row r="20" spans="1:6">
      <c r="A20" s="348" t="s">
        <v>10</v>
      </c>
      <c r="B20" s="334">
        <v>79</v>
      </c>
    </row>
    <row r="21" spans="1:6">
      <c r="A21" s="348" t="s">
        <v>11</v>
      </c>
      <c r="B21" s="334">
        <v>685</v>
      </c>
    </row>
    <row r="22" spans="1:6">
      <c r="A22" s="348" t="s">
        <v>12</v>
      </c>
      <c r="B22" s="334">
        <v>652</v>
      </c>
    </row>
    <row r="23" spans="1:6">
      <c r="A23" s="348" t="s">
        <v>13</v>
      </c>
      <c r="B23" s="334">
        <v>86</v>
      </c>
    </row>
    <row r="24" spans="1:6">
      <c r="A24" s="348" t="s">
        <v>14</v>
      </c>
      <c r="B24" s="334">
        <v>1</v>
      </c>
    </row>
    <row r="25" spans="1:6">
      <c r="A25" s="348" t="s">
        <v>15</v>
      </c>
      <c r="B25" s="334">
        <v>117</v>
      </c>
    </row>
    <row r="26" spans="1:6">
      <c r="A26" s="348" t="s">
        <v>16</v>
      </c>
      <c r="B26" s="334">
        <v>55</v>
      </c>
    </row>
    <row r="27" spans="1:6">
      <c r="A27" s="348" t="s">
        <v>17</v>
      </c>
      <c r="B27" s="334">
        <v>27</v>
      </c>
    </row>
    <row r="28" spans="1:6" s="356" customFormat="1">
      <c r="A28" s="355" t="s">
        <v>18</v>
      </c>
      <c r="B28" s="355">
        <v>189</v>
      </c>
    </row>
    <row r="29" spans="1:6">
      <c r="A29" s="355" t="s">
        <v>884</v>
      </c>
      <c r="B29" s="355">
        <v>129</v>
      </c>
      <c r="C29" s="356"/>
      <c r="D29" s="356"/>
      <c r="E29" s="356"/>
      <c r="F29" s="356"/>
    </row>
    <row r="30" spans="1:6">
      <c r="A30" s="355" t="s">
        <v>885</v>
      </c>
      <c r="B30" s="341">
        <v>24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1563996.9328000001</v>
      </c>
      <c r="E36" s="334">
        <v>10</v>
      </c>
      <c r="F36" s="334">
        <v>2467579.7842000001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3278</v>
      </c>
      <c r="D39" s="334">
        <v>53293481.781000003</v>
      </c>
      <c r="E39" s="334">
        <v>4417</v>
      </c>
      <c r="F39" s="334">
        <v>18057406.260000002</v>
      </c>
    </row>
    <row r="40" spans="1:6">
      <c r="A40" s="348" t="s">
        <v>30</v>
      </c>
      <c r="B40" s="348" t="s">
        <v>29</v>
      </c>
      <c r="C40" s="334">
        <v>0</v>
      </c>
      <c r="D40" s="334">
        <v>0</v>
      </c>
      <c r="E40" s="334">
        <v>0</v>
      </c>
      <c r="F40" s="334">
        <v>0</v>
      </c>
    </row>
    <row r="41" spans="1:6">
      <c r="A41" s="348" t="s">
        <v>32</v>
      </c>
      <c r="B41" s="348" t="s">
        <v>33</v>
      </c>
      <c r="C41" s="334">
        <v>46</v>
      </c>
      <c r="D41" s="334">
        <v>1455983.6632999999</v>
      </c>
      <c r="E41" s="334">
        <v>110</v>
      </c>
      <c r="F41" s="334">
        <v>1234864.0405999999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290298.08817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73475.929392000005</v>
      </c>
      <c r="E47" s="334">
        <v>4</v>
      </c>
      <c r="F47" s="334">
        <v>20300.079516000002</v>
      </c>
    </row>
    <row r="48" spans="1:6">
      <c r="A48" s="348" t="s">
        <v>32</v>
      </c>
      <c r="B48" s="348" t="s">
        <v>29</v>
      </c>
      <c r="C48" s="334">
        <v>23</v>
      </c>
      <c r="D48" s="334">
        <v>914505.76479000004</v>
      </c>
      <c r="E48" s="334">
        <v>27</v>
      </c>
      <c r="F48" s="334">
        <v>871670.96415999997</v>
      </c>
    </row>
    <row r="49" spans="1:6">
      <c r="A49" s="348" t="s">
        <v>32</v>
      </c>
      <c r="B49" s="348" t="s">
        <v>40</v>
      </c>
      <c r="C49" s="334">
        <v>0</v>
      </c>
      <c r="D49" s="334">
        <v>0</v>
      </c>
      <c r="E49" s="334">
        <v>0</v>
      </c>
      <c r="F49" s="334">
        <v>0</v>
      </c>
    </row>
    <row r="50" spans="1:6">
      <c r="A50" s="348" t="s">
        <v>32</v>
      </c>
      <c r="B50" s="348" t="s">
        <v>41</v>
      </c>
      <c r="C50" s="334">
        <v>7</v>
      </c>
      <c r="D50" s="334">
        <v>8214095.1935000001</v>
      </c>
      <c r="E50" s="334">
        <v>7</v>
      </c>
      <c r="F50" s="334">
        <v>3082783.6801999998</v>
      </c>
    </row>
    <row r="51" spans="1:6">
      <c r="A51" s="348" t="s">
        <v>42</v>
      </c>
      <c r="B51" s="348" t="s">
        <v>43</v>
      </c>
      <c r="C51" s="334">
        <v>6</v>
      </c>
      <c r="D51" s="334">
        <v>1007370.7898</v>
      </c>
      <c r="E51" s="334">
        <v>21</v>
      </c>
      <c r="F51" s="334">
        <v>148439.06492</v>
      </c>
    </row>
    <row r="52" spans="1:6">
      <c r="A52" s="348" t="s">
        <v>42</v>
      </c>
      <c r="B52" s="348" t="s">
        <v>29</v>
      </c>
      <c r="C52" s="334">
        <v>3</v>
      </c>
      <c r="D52" s="334">
        <v>1174746.6998999999</v>
      </c>
      <c r="E52" s="334">
        <v>5</v>
      </c>
      <c r="F52" s="334">
        <v>116970.73639999999</v>
      </c>
    </row>
    <row r="53" spans="1:6">
      <c r="A53" s="348" t="s">
        <v>44</v>
      </c>
      <c r="B53" s="348" t="s">
        <v>45</v>
      </c>
      <c r="C53" s="334">
        <v>79</v>
      </c>
      <c r="D53" s="334">
        <v>4386570.7851999998</v>
      </c>
      <c r="E53" s="334">
        <v>147</v>
      </c>
      <c r="F53" s="334">
        <v>519044.59101999999</v>
      </c>
    </row>
    <row r="54" spans="1:6">
      <c r="A54" s="348" t="s">
        <v>46</v>
      </c>
      <c r="B54" s="348" t="s">
        <v>47</v>
      </c>
      <c r="C54" s="334">
        <v>0</v>
      </c>
      <c r="D54" s="334">
        <v>0</v>
      </c>
      <c r="E54" s="334">
        <v>2</v>
      </c>
      <c r="F54" s="334">
        <v>861548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943664.88014000002</v>
      </c>
      <c r="E57" s="334">
        <v>83</v>
      </c>
      <c r="F57" s="334">
        <v>1130022.0804000001</v>
      </c>
    </row>
    <row r="58" spans="1:6">
      <c r="A58" s="348" t="s">
        <v>49</v>
      </c>
      <c r="B58" s="348" t="s">
        <v>51</v>
      </c>
      <c r="C58" s="334">
        <v>21</v>
      </c>
      <c r="D58" s="334">
        <v>4820461.4310999997</v>
      </c>
      <c r="E58" s="334">
        <v>32</v>
      </c>
      <c r="F58" s="334">
        <v>295941.49780000001</v>
      </c>
    </row>
    <row r="59" spans="1:6">
      <c r="A59" s="348" t="s">
        <v>49</v>
      </c>
      <c r="B59" s="348" t="s">
        <v>52</v>
      </c>
      <c r="C59" s="334">
        <v>49</v>
      </c>
      <c r="D59" s="334">
        <v>5477041.9868999999</v>
      </c>
      <c r="E59" s="334">
        <v>100</v>
      </c>
      <c r="F59" s="334">
        <v>3110769.6902999999</v>
      </c>
    </row>
    <row r="60" spans="1:6">
      <c r="A60" s="348" t="s">
        <v>49</v>
      </c>
      <c r="B60" s="348" t="s">
        <v>53</v>
      </c>
      <c r="C60" s="334">
        <v>32</v>
      </c>
      <c r="D60" s="334">
        <v>1096012.1532999999</v>
      </c>
      <c r="E60" s="334">
        <v>40</v>
      </c>
      <c r="F60" s="334">
        <v>1176878.6181999999</v>
      </c>
    </row>
    <row r="61" spans="1:6">
      <c r="A61" s="348" t="s">
        <v>49</v>
      </c>
      <c r="B61" s="348" t="s">
        <v>54</v>
      </c>
      <c r="C61" s="334">
        <v>115</v>
      </c>
      <c r="D61" s="334">
        <v>4429534.5582999997</v>
      </c>
      <c r="E61" s="334">
        <v>235</v>
      </c>
      <c r="F61" s="334">
        <v>3285862.1173999999</v>
      </c>
    </row>
    <row r="62" spans="1:6">
      <c r="A62" s="348" t="s">
        <v>49</v>
      </c>
      <c r="B62" s="348" t="s">
        <v>55</v>
      </c>
      <c r="C62" s="334">
        <v>6</v>
      </c>
      <c r="D62" s="334">
        <v>663310.55668000004</v>
      </c>
      <c r="E62" s="334">
        <v>11</v>
      </c>
      <c r="F62" s="334">
        <v>1241619.4713000001</v>
      </c>
    </row>
    <row r="63" spans="1:6">
      <c r="A63" s="348" t="s">
        <v>49</v>
      </c>
      <c r="B63" s="348" t="s">
        <v>29</v>
      </c>
      <c r="C63" s="334">
        <v>92</v>
      </c>
      <c r="D63" s="334">
        <v>8388725.3096999992</v>
      </c>
      <c r="E63" s="334">
        <v>116</v>
      </c>
      <c r="F63" s="334">
        <v>3663554.3639000002</v>
      </c>
    </row>
    <row r="64" spans="1:6">
      <c r="A64" s="348" t="s">
        <v>56</v>
      </c>
      <c r="B64" s="348" t="s">
        <v>57</v>
      </c>
      <c r="C64" s="334">
        <v>0</v>
      </c>
      <c r="D64" s="334">
        <v>0</v>
      </c>
      <c r="E64" s="334">
        <v>0</v>
      </c>
      <c r="F64" s="334">
        <v>0</v>
      </c>
    </row>
    <row r="65" spans="1:6">
      <c r="A65" s="348" t="s">
        <v>56</v>
      </c>
      <c r="B65" s="348" t="s">
        <v>29</v>
      </c>
      <c r="C65" s="334">
        <v>1</v>
      </c>
      <c r="D65" s="334">
        <v>9082.2683507999991</v>
      </c>
      <c r="E65" s="334">
        <v>3</v>
      </c>
      <c r="F65" s="334">
        <v>238197.71192</v>
      </c>
    </row>
    <row r="66" spans="1:6">
      <c r="A66" s="348" t="s">
        <v>56</v>
      </c>
      <c r="B66" s="348" t="s">
        <v>58</v>
      </c>
      <c r="C66" s="334">
        <v>3</v>
      </c>
      <c r="D66" s="334">
        <v>5703675.0198999997</v>
      </c>
      <c r="E66" s="334">
        <v>16</v>
      </c>
      <c r="F66" s="334">
        <v>2549930.5770999999</v>
      </c>
    </row>
    <row r="67" spans="1:6">
      <c r="A67" s="355" t="s">
        <v>56</v>
      </c>
      <c r="B67" s="355" t="s">
        <v>59</v>
      </c>
      <c r="C67" s="334">
        <v>0</v>
      </c>
      <c r="D67" s="334">
        <v>0</v>
      </c>
      <c r="E67" s="334">
        <v>0</v>
      </c>
      <c r="F67" s="334">
        <v>0</v>
      </c>
    </row>
    <row r="68" spans="1:6">
      <c r="A68" s="341" t="s">
        <v>56</v>
      </c>
      <c r="B68" s="341" t="s">
        <v>60</v>
      </c>
      <c r="C68" s="334">
        <v>0</v>
      </c>
      <c r="D68" s="334">
        <v>0</v>
      </c>
      <c r="E68" s="334">
        <v>8</v>
      </c>
      <c r="F68" s="334">
        <v>88518.065352999998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40921886</v>
      </c>
      <c r="E73" s="475">
        <v>36234949.9774727</v>
      </c>
    </row>
    <row r="74" spans="1:6">
      <c r="A74" s="348" t="s">
        <v>64</v>
      </c>
      <c r="B74" s="348" t="s">
        <v>667</v>
      </c>
      <c r="C74" s="1294" t="s">
        <v>669</v>
      </c>
      <c r="D74" s="475">
        <v>3540193.691603614</v>
      </c>
      <c r="E74" s="475">
        <v>3290797.7016824908</v>
      </c>
    </row>
    <row r="75" spans="1:6">
      <c r="A75" s="348" t="s">
        <v>65</v>
      </c>
      <c r="B75" s="348" t="s">
        <v>666</v>
      </c>
      <c r="C75" s="1294" t="s">
        <v>670</v>
      </c>
      <c r="D75" s="475">
        <v>9422443</v>
      </c>
      <c r="E75" s="475">
        <v>8392855.010643594</v>
      </c>
    </row>
    <row r="76" spans="1:6">
      <c r="A76" s="348" t="s">
        <v>65</v>
      </c>
      <c r="B76" s="348" t="s">
        <v>667</v>
      </c>
      <c r="C76" s="1294" t="s">
        <v>671</v>
      </c>
      <c r="D76" s="475">
        <v>623579.69160361378</v>
      </c>
      <c r="E76" s="475">
        <v>553501.43491449161</v>
      </c>
    </row>
    <row r="77" spans="1:6">
      <c r="A77" s="348" t="s">
        <v>66</v>
      </c>
      <c r="B77" s="348" t="s">
        <v>666</v>
      </c>
      <c r="C77" s="1294" t="s">
        <v>672</v>
      </c>
      <c r="D77" s="475">
        <v>197092823</v>
      </c>
      <c r="E77" s="475">
        <v>195389887.04291761</v>
      </c>
    </row>
    <row r="78" spans="1:6">
      <c r="A78" s="341" t="s">
        <v>66</v>
      </c>
      <c r="B78" s="341" t="s">
        <v>667</v>
      </c>
      <c r="C78" s="341" t="s">
        <v>673</v>
      </c>
      <c r="D78" s="1295">
        <v>23608119</v>
      </c>
      <c r="E78" s="1295">
        <v>23438687.542012043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290488.61679277237</v>
      </c>
      <c r="C83" s="475">
        <v>290488.61679277237</v>
      </c>
    </row>
    <row r="84" spans="1:6">
      <c r="A84" s="341" t="s">
        <v>337</v>
      </c>
      <c r="B84" s="1295">
        <v>102617.30588442668</v>
      </c>
      <c r="C84" s="1295">
        <v>102617.30588442668</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12170.573935654025</v>
      </c>
    </row>
    <row r="91" spans="1:6">
      <c r="A91" s="348" t="s">
        <v>68</v>
      </c>
      <c r="B91" s="334">
        <v>1804.4390188680011</v>
      </c>
    </row>
    <row r="92" spans="1:6">
      <c r="A92" s="341" t="s">
        <v>69</v>
      </c>
      <c r="B92" s="342">
        <v>1348.0670136261267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1</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41332.1216114653</v>
      </c>
      <c r="C3" s="43" t="s">
        <v>170</v>
      </c>
      <c r="D3" s="43"/>
      <c r="E3" s="154"/>
      <c r="F3" s="43"/>
      <c r="G3" s="43"/>
      <c r="H3" s="43"/>
      <c r="I3" s="43"/>
      <c r="J3" s="43"/>
      <c r="K3" s="96"/>
    </row>
    <row r="4" spans="1:11">
      <c r="A4" s="383" t="s">
        <v>171</v>
      </c>
      <c r="B4" s="49">
        <f>IF(ISERROR('SEAP template'!B78+'SEAP template'!C78),0,'SEAP template'!B78+'SEAP template'!C78)</f>
        <v>15323.079968148153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0.13906854957038128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861.548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861.548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0.13906854957038128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119.81423074526285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18057.406260000003</v>
      </c>
      <c r="C5" s="17">
        <f>IF(ISERROR('Eigen informatie GS &amp; warmtenet'!B57),0,'Eigen informatie GS &amp; warmtenet'!B57)</f>
        <v>0</v>
      </c>
      <c r="D5" s="30">
        <f>(SUM(HH_hh_gas_kWh,HH_rest_gas_kWh)/1000)*0.902</f>
        <v>48070.720566462005</v>
      </c>
      <c r="E5" s="17">
        <f>B46*B57</f>
        <v>1186.9612663899493</v>
      </c>
      <c r="F5" s="17">
        <f>B51*B62</f>
        <v>0</v>
      </c>
      <c r="G5" s="18"/>
      <c r="H5" s="17"/>
      <c r="I5" s="17"/>
      <c r="J5" s="17">
        <f>B50*B61+C50*C61</f>
        <v>0</v>
      </c>
      <c r="K5" s="17"/>
      <c r="L5" s="17"/>
      <c r="M5" s="17"/>
      <c r="N5" s="17">
        <f>B48*B59+C48*C59</f>
        <v>7035.2312116875519</v>
      </c>
      <c r="O5" s="17">
        <f>B69*B70*B71</f>
        <v>159.46</v>
      </c>
      <c r="P5" s="17">
        <f>B77*B78*B79/1000-B77*B78*B79/1000/B80</f>
        <v>381.33333333333337</v>
      </c>
    </row>
    <row r="6" spans="1:16">
      <c r="A6" s="16" t="s">
        <v>624</v>
      </c>
      <c r="B6" s="788">
        <f>kWh_PV_kleiner_dan_10kW</f>
        <v>1804.4390188680011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19861.845278868004</v>
      </c>
      <c r="C8" s="21">
        <f>C5</f>
        <v>0</v>
      </c>
      <c r="D8" s="21">
        <f>D5</f>
        <v>48070.720566462005</v>
      </c>
      <c r="E8" s="21">
        <f>E5</f>
        <v>1186.9612663899493</v>
      </c>
      <c r="F8" s="21">
        <f>F5</f>
        <v>0</v>
      </c>
      <c r="G8" s="21"/>
      <c r="H8" s="21"/>
      <c r="I8" s="21"/>
      <c r="J8" s="21">
        <f>J5</f>
        <v>0</v>
      </c>
      <c r="K8" s="21"/>
      <c r="L8" s="21">
        <f>L5</f>
        <v>0</v>
      </c>
      <c r="M8" s="21">
        <f>M5</f>
        <v>0</v>
      </c>
      <c r="N8" s="21">
        <f>N5</f>
        <v>7035.2312116875519</v>
      </c>
      <c r="O8" s="21">
        <f>O5</f>
        <v>159.46</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0.13906854957038128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2762.1580147234986</v>
      </c>
      <c r="C12" s="23">
        <f ca="1">C10*C8</f>
        <v>0</v>
      </c>
      <c r="D12" s="23">
        <f>D8*D10</f>
        <v>9710.2855544253252</v>
      </c>
      <c r="E12" s="23">
        <f>E10*E8</f>
        <v>269.44020747051849</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4594</v>
      </c>
      <c r="C28" s="36"/>
      <c r="D28" s="228"/>
    </row>
    <row r="29" spans="1:7" s="15" customFormat="1">
      <c r="A29" s="230" t="s">
        <v>699</v>
      </c>
      <c r="B29" s="37">
        <f>SUM(HH_hh_gas_aantal,HH_rest_gas_aantal)</f>
        <v>3278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3278</v>
      </c>
      <c r="C32" s="167">
        <f>IF(ISERROR(B32/SUM($B$32,$B$34,$B$35,$B$36,$B$38,$B$39)*100),0,B32/SUM($B$32,$B$34,$B$35,$B$36,$B$38,$B$39)*100)</f>
        <v>71.665937909925645</v>
      </c>
      <c r="D32" s="233"/>
      <c r="G32" s="15"/>
    </row>
    <row r="33" spans="1:7">
      <c r="A33" s="171" t="s">
        <v>72</v>
      </c>
      <c r="B33" s="34" t="s">
        <v>111</v>
      </c>
      <c r="C33" s="167"/>
      <c r="D33" s="233"/>
      <c r="G33" s="15"/>
    </row>
    <row r="34" spans="1:7">
      <c r="A34" s="171" t="s">
        <v>73</v>
      </c>
      <c r="B34" s="33">
        <f>IF((($B$28-$B$32-$B$39-$B$77-$B$38)*C20/100)&lt;0,0,($B$28-$B$32-$B$39-$B$77-$B$38)*C20/100)</f>
        <v>52.478873239436624</v>
      </c>
      <c r="C34" s="167">
        <f>IF(ISERROR(B34/SUM($B$32,$B$34,$B$35,$B$36,$B$38,$B$39)*100),0,B34/SUM($B$32,$B$34,$B$35,$B$36,$B$38,$B$39)*100)</f>
        <v>1.1473299789994886</v>
      </c>
      <c r="D34" s="233"/>
      <c r="G34" s="15"/>
    </row>
    <row r="35" spans="1:7">
      <c r="A35" s="171" t="s">
        <v>74</v>
      </c>
      <c r="B35" s="33">
        <f>IF((($B$28-$B$32-$B$39-$B$77-$B$38)*C21/100)&lt;0,0,($B$28-$B$32-$B$39-$B$77-$B$38)*C21/100)</f>
        <v>1134</v>
      </c>
      <c r="C35" s="167">
        <f>IF(ISERROR(B35/SUM($B$32,$B$34,$B$35,$B$36,$B$38,$B$39)*100),0,B35/SUM($B$32,$B$34,$B$35,$B$36,$B$38,$B$39)*100)</f>
        <v>24.792304328815039</v>
      </c>
      <c r="D35" s="233"/>
      <c r="G35" s="15"/>
    </row>
    <row r="36" spans="1:7">
      <c r="A36" s="171" t="s">
        <v>75</v>
      </c>
      <c r="B36" s="33">
        <f>IF((($B$28-$B$32-$B$39-$B$77-$B$38)*C22/100)&lt;0,0,($B$28-$B$32-$B$39-$B$77-$B$38)*C22/100)</f>
        <v>109.52112676056336</v>
      </c>
      <c r="C36" s="167">
        <f>IF(ISERROR(B36/SUM($B$32,$B$34,$B$35,$B$36,$B$38,$B$39)*100),0,B36/SUM($B$32,$B$34,$B$35,$B$36,$B$38,$B$39)*100)</f>
        <v>2.3944277822598021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3278</v>
      </c>
      <c r="C44" s="34" t="s">
        <v>111</v>
      </c>
      <c r="D44" s="174"/>
    </row>
    <row r="45" spans="1:7">
      <c r="A45" s="171" t="s">
        <v>72</v>
      </c>
      <c r="B45" s="33" t="str">
        <f t="shared" si="0"/>
        <v>-</v>
      </c>
      <c r="C45" s="34" t="s">
        <v>111</v>
      </c>
      <c r="D45" s="174"/>
    </row>
    <row r="46" spans="1:7">
      <c r="A46" s="171" t="s">
        <v>73</v>
      </c>
      <c r="B46" s="33">
        <f t="shared" si="0"/>
        <v>52.478873239436624</v>
      </c>
      <c r="C46" s="34" t="s">
        <v>111</v>
      </c>
      <c r="D46" s="174"/>
    </row>
    <row r="47" spans="1:7">
      <c r="A47" s="171" t="s">
        <v>74</v>
      </c>
      <c r="B47" s="33">
        <f t="shared" si="0"/>
        <v>1134</v>
      </c>
      <c r="C47" s="34" t="s">
        <v>111</v>
      </c>
      <c r="D47" s="174"/>
    </row>
    <row r="48" spans="1:7">
      <c r="A48" s="171" t="s">
        <v>75</v>
      </c>
      <c r="B48" s="33">
        <f t="shared" si="0"/>
        <v>109.52112676056336</v>
      </c>
      <c r="C48" s="33">
        <f>B48*10</f>
        <v>1095.2112676056336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13904.647839300002</v>
      </c>
      <c r="C5" s="17">
        <f>IF(ISERROR('Eigen informatie GS &amp; warmtenet'!B58),0,'Eigen informatie GS &amp; warmtenet'!B58)</f>
        <v>0</v>
      </c>
      <c r="D5" s="30">
        <f>SUM(D6:D12)</f>
        <v>23288.513290260238</v>
      </c>
      <c r="E5" s="17">
        <f>SUM(E6:E12)</f>
        <v>248.57033580886866</v>
      </c>
      <c r="F5" s="17">
        <f>SUM(F6:F12)</f>
        <v>3782.2449011020553</v>
      </c>
      <c r="G5" s="18"/>
      <c r="H5" s="17"/>
      <c r="I5" s="17"/>
      <c r="J5" s="17">
        <f>SUM(J6:J12)</f>
        <v>0</v>
      </c>
      <c r="K5" s="17"/>
      <c r="L5" s="17"/>
      <c r="M5" s="17"/>
      <c r="N5" s="17">
        <f>SUM(N6:N12)</f>
        <v>1226.8738805537243</v>
      </c>
      <c r="O5" s="17">
        <f>B38*B39*B40</f>
        <v>1.5633333333333335</v>
      </c>
      <c r="P5" s="17">
        <f>B46*B47*B48/1000-B46*B47*B48/1000/B49</f>
        <v>19.066666666666666</v>
      </c>
      <c r="R5" s="32"/>
    </row>
    <row r="6" spans="1:18">
      <c r="A6" s="32" t="s">
        <v>54</v>
      </c>
      <c r="B6" s="37">
        <f>B26</f>
        <v>3285.8621174</v>
      </c>
      <c r="C6" s="33"/>
      <c r="D6" s="37">
        <f>IF(ISERROR(TER_kantoor_gas_kWh/1000),0,TER_kantoor_gas_kWh/1000)*0.902</f>
        <v>3995.4401715866002</v>
      </c>
      <c r="E6" s="33">
        <f>$C$26*'E Balans VL '!I12/100/3.6*1000000</f>
        <v>43.015982711977045</v>
      </c>
      <c r="F6" s="33">
        <f>$C$26*('E Balans VL '!L12+'E Balans VL '!N12)/100/3.6*1000000</f>
        <v>837.86088510625837</v>
      </c>
      <c r="G6" s="34"/>
      <c r="H6" s="33"/>
      <c r="I6" s="33"/>
      <c r="J6" s="33">
        <f>$C$26*('E Balans VL '!D12+'E Balans VL '!E12)/100/3.6*1000000</f>
        <v>0</v>
      </c>
      <c r="K6" s="33"/>
      <c r="L6" s="33"/>
      <c r="M6" s="33"/>
      <c r="N6" s="33">
        <f>$C$26*'E Balans VL '!Y12/100/3.6*1000000</f>
        <v>3.2969270820803387</v>
      </c>
      <c r="O6" s="33"/>
      <c r="P6" s="33"/>
      <c r="R6" s="32"/>
    </row>
    <row r="7" spans="1:18">
      <c r="A7" s="32" t="s">
        <v>53</v>
      </c>
      <c r="B7" s="37">
        <f t="shared" ref="B7:B12" si="0">B27</f>
        <v>1176.8786181999999</v>
      </c>
      <c r="C7" s="33"/>
      <c r="D7" s="37">
        <f>IF(ISERROR(TER_horeca_gas_kWh/1000),0,TER_horeca_gas_kWh/1000)*0.902</f>
        <v>988.6029622765999</v>
      </c>
      <c r="E7" s="33">
        <f>$C$27*'E Balans VL '!I9/100/3.6*1000000</f>
        <v>38.94752354993124</v>
      </c>
      <c r="F7" s="33">
        <f>$C$27*('E Balans VL '!L9+'E Balans VL '!N9)/100/3.6*1000000</f>
        <v>506.05329548080488</v>
      </c>
      <c r="G7" s="34"/>
      <c r="H7" s="33"/>
      <c r="I7" s="33"/>
      <c r="J7" s="33">
        <f>$C$27*('E Balans VL '!D9+'E Balans VL '!E9)/100/3.6*1000000</f>
        <v>0</v>
      </c>
      <c r="K7" s="33"/>
      <c r="L7" s="33"/>
      <c r="M7" s="33"/>
      <c r="N7" s="33">
        <f>$C$27*'E Balans VL '!Y9/100/3.6*1000000</f>
        <v>0.28329177355376467</v>
      </c>
      <c r="O7" s="33"/>
      <c r="P7" s="33"/>
      <c r="R7" s="32"/>
    </row>
    <row r="8" spans="1:18">
      <c r="A8" s="6" t="s">
        <v>52</v>
      </c>
      <c r="B8" s="37">
        <f t="shared" si="0"/>
        <v>3110.7696903000001</v>
      </c>
      <c r="C8" s="33"/>
      <c r="D8" s="37">
        <f>IF(ISERROR(TER_handel_gas_kWh/1000),0,TER_handel_gas_kWh/1000)*0.902</f>
        <v>4940.2918721837996</v>
      </c>
      <c r="E8" s="33">
        <f>$C$28*'E Balans VL '!I13/100/3.6*1000000</f>
        <v>98.180644540470794</v>
      </c>
      <c r="F8" s="33">
        <f>$C$28*('E Balans VL '!L13+'E Balans VL '!N13)/100/3.6*1000000</f>
        <v>610.07671352120281</v>
      </c>
      <c r="G8" s="34"/>
      <c r="H8" s="33"/>
      <c r="I8" s="33"/>
      <c r="J8" s="33">
        <f>$C$28*('E Balans VL '!D13+'E Balans VL '!E13)/100/3.6*1000000</f>
        <v>0</v>
      </c>
      <c r="K8" s="33"/>
      <c r="L8" s="33"/>
      <c r="M8" s="33"/>
      <c r="N8" s="33">
        <f>$C$28*'E Balans VL '!Y13/100/3.6*1000000</f>
        <v>3.6918796738650821</v>
      </c>
      <c r="O8" s="33"/>
      <c r="P8" s="33"/>
      <c r="R8" s="32"/>
    </row>
    <row r="9" spans="1:18">
      <c r="A9" s="32" t="s">
        <v>51</v>
      </c>
      <c r="B9" s="37">
        <f t="shared" si="0"/>
        <v>295.94149780000004</v>
      </c>
      <c r="C9" s="33"/>
      <c r="D9" s="37">
        <f>IF(ISERROR(TER_gezond_gas_kWh/1000),0,TER_gezond_gas_kWh/1000)*0.902</f>
        <v>4348.0562108521999</v>
      </c>
      <c r="E9" s="33">
        <f>$C$29*'E Balans VL '!I10/100/3.6*1000000</f>
        <v>3.788916929482275E-2</v>
      </c>
      <c r="F9" s="33">
        <f>$C$29*('E Balans VL '!L10+'E Balans VL '!N10)/100/3.6*1000000</f>
        <v>61.657018036661434</v>
      </c>
      <c r="G9" s="34"/>
      <c r="H9" s="33"/>
      <c r="I9" s="33"/>
      <c r="J9" s="33">
        <f>$C$29*('E Balans VL '!D10+'E Balans VL '!E10)/100/3.6*1000000</f>
        <v>0</v>
      </c>
      <c r="K9" s="33"/>
      <c r="L9" s="33"/>
      <c r="M9" s="33"/>
      <c r="N9" s="33">
        <f>$C$29*'E Balans VL '!Y10/100/3.6*1000000</f>
        <v>3.4759727720023443</v>
      </c>
      <c r="O9" s="33"/>
      <c r="P9" s="33"/>
      <c r="R9" s="32"/>
    </row>
    <row r="10" spans="1:18">
      <c r="A10" s="32" t="s">
        <v>50</v>
      </c>
      <c r="B10" s="37">
        <f t="shared" si="0"/>
        <v>1130.0220804</v>
      </c>
      <c r="C10" s="33"/>
      <c r="D10" s="37">
        <f>IF(ISERROR(TER_ander_gas_kWh/1000),0,TER_ander_gas_kWh/1000)*0.902</f>
        <v>851.18572188628002</v>
      </c>
      <c r="E10" s="33">
        <f>$C$30*'E Balans VL '!I14/100/3.6*1000000</f>
        <v>1.6992874666146998</v>
      </c>
      <c r="F10" s="33">
        <f>$C$30*('E Balans VL '!L14+'E Balans VL '!N14)/100/3.6*1000000</f>
        <v>249.47244954597133</v>
      </c>
      <c r="G10" s="34"/>
      <c r="H10" s="33"/>
      <c r="I10" s="33"/>
      <c r="J10" s="33">
        <f>$C$30*('E Balans VL '!D14+'E Balans VL '!E14)/100/3.6*1000000</f>
        <v>0</v>
      </c>
      <c r="K10" s="33"/>
      <c r="L10" s="33"/>
      <c r="M10" s="33"/>
      <c r="N10" s="33">
        <f>$C$30*'E Balans VL '!Y14/100/3.6*1000000</f>
        <v>890.53344697393027</v>
      </c>
      <c r="O10" s="33"/>
      <c r="P10" s="33"/>
      <c r="R10" s="32"/>
    </row>
    <row r="11" spans="1:18">
      <c r="A11" s="32" t="s">
        <v>55</v>
      </c>
      <c r="B11" s="37">
        <f t="shared" si="0"/>
        <v>1241.6194713</v>
      </c>
      <c r="C11" s="33"/>
      <c r="D11" s="37">
        <f>IF(ISERROR(TER_onderwijs_gas_kWh/1000),0,TER_onderwijs_gas_kWh/1000)*0.902</f>
        <v>598.30612212536005</v>
      </c>
      <c r="E11" s="33">
        <f>$C$31*'E Balans VL '!I11/100/3.6*1000000</f>
        <v>2.1865959363113405</v>
      </c>
      <c r="F11" s="33">
        <f>$C$31*('E Balans VL '!L11+'E Balans VL '!N11)/100/3.6*1000000</f>
        <v>573.27817696638419</v>
      </c>
      <c r="G11" s="34"/>
      <c r="H11" s="33"/>
      <c r="I11" s="33"/>
      <c r="J11" s="33">
        <f>$C$31*('E Balans VL '!D11+'E Balans VL '!E11)/100/3.6*1000000</f>
        <v>0</v>
      </c>
      <c r="K11" s="33"/>
      <c r="L11" s="33"/>
      <c r="M11" s="33"/>
      <c r="N11" s="33">
        <f>$C$31*'E Balans VL '!Y11/100/3.6*1000000</f>
        <v>2.3131542451128118</v>
      </c>
      <c r="O11" s="33"/>
      <c r="P11" s="33"/>
      <c r="R11" s="32"/>
    </row>
    <row r="12" spans="1:18">
      <c r="A12" s="32" t="s">
        <v>260</v>
      </c>
      <c r="B12" s="37">
        <f t="shared" si="0"/>
        <v>3663.5543639000002</v>
      </c>
      <c r="C12" s="33"/>
      <c r="D12" s="37">
        <f>IF(ISERROR(TER_rest_gas_kWh/1000),0,TER_rest_gas_kWh/1000)*0.902</f>
        <v>7566.6302293494</v>
      </c>
      <c r="E12" s="33">
        <f>$C$32*'E Balans VL '!I8/100/3.6*1000000</f>
        <v>64.50241243426872</v>
      </c>
      <c r="F12" s="33">
        <f>$C$32*('E Balans VL '!L8+'E Balans VL '!N8)/100/3.6*1000000</f>
        <v>943.84636244477269</v>
      </c>
      <c r="G12" s="34"/>
      <c r="H12" s="33"/>
      <c r="I12" s="33"/>
      <c r="J12" s="33">
        <f>$C$32*('E Balans VL '!D8+'E Balans VL '!E8)/100/3.6*1000000</f>
        <v>0</v>
      </c>
      <c r="K12" s="33"/>
      <c r="L12" s="33"/>
      <c r="M12" s="33"/>
      <c r="N12" s="33">
        <f>$C$32*'E Balans VL '!Y8/100/3.6*1000000</f>
        <v>323.2792080331796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13904.647839300002</v>
      </c>
      <c r="C16" s="21">
        <f t="shared" ca="1" si="1"/>
        <v>0</v>
      </c>
      <c r="D16" s="21">
        <f t="shared" ca="1" si="1"/>
        <v>23288.513290260238</v>
      </c>
      <c r="E16" s="21">
        <f t="shared" si="1"/>
        <v>248.57033580886866</v>
      </c>
      <c r="F16" s="21">
        <f t="shared" ca="1" si="1"/>
        <v>3782.2449011020553</v>
      </c>
      <c r="G16" s="21">
        <f t="shared" si="1"/>
        <v>0</v>
      </c>
      <c r="H16" s="21">
        <f t="shared" si="1"/>
        <v>0</v>
      </c>
      <c r="I16" s="21">
        <f t="shared" si="1"/>
        <v>0</v>
      </c>
      <c r="J16" s="21">
        <f t="shared" si="1"/>
        <v>0</v>
      </c>
      <c r="K16" s="21">
        <f t="shared" si="1"/>
        <v>0</v>
      </c>
      <c r="L16" s="21">
        <f t="shared" ca="1" si="1"/>
        <v>0</v>
      </c>
      <c r="M16" s="21">
        <f t="shared" si="1"/>
        <v>0</v>
      </c>
      <c r="N16" s="21">
        <f t="shared" ca="1" si="1"/>
        <v>1226.8738805537243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0.13906854957038128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1933.6992072983874</v>
      </c>
      <c r="C20" s="23">
        <f t="shared" ref="C20:P20" ca="1" si="2">C16*C18</f>
        <v>0</v>
      </c>
      <c r="D20" s="23">
        <f t="shared" ca="1" si="2"/>
        <v>4704.2796846325682</v>
      </c>
      <c r="E20" s="23">
        <f t="shared" si="2"/>
        <v>56.425466228613189</v>
      </c>
      <c r="F20" s="23">
        <f t="shared" ca="1" si="2"/>
        <v>1009.8593885942488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3285.8621174</v>
      </c>
      <c r="C26" s="39">
        <f>IF(ISERROR(B26*3.6/1000000/'E Balans VL '!Z12*100),0,B26*3.6/1000000/'E Balans VL '!Z12*100)</f>
        <v>7.0385719241586597E-2</v>
      </c>
      <c r="D26" s="237" t="s">
        <v>660</v>
      </c>
      <c r="F26" s="6"/>
    </row>
    <row r="27" spans="1:18">
      <c r="A27" s="231" t="s">
        <v>53</v>
      </c>
      <c r="B27" s="33">
        <f>IF(ISERROR(TER_horeca_ele_kWh/1000),0,TER_horeca_ele_kWh/1000)</f>
        <v>1176.8786181999999</v>
      </c>
      <c r="C27" s="39">
        <f>IF(ISERROR(B27*3.6/1000000/'E Balans VL '!Z9*100),0,B27*3.6/1000000/'E Balans VL '!Z9*100)</f>
        <v>9.4440418322228492E-2</v>
      </c>
      <c r="D27" s="237" t="s">
        <v>660</v>
      </c>
      <c r="F27" s="6"/>
    </row>
    <row r="28" spans="1:18">
      <c r="A28" s="171" t="s">
        <v>52</v>
      </c>
      <c r="B28" s="33">
        <f>IF(ISERROR(TER_handel_ele_kWh/1000),0,TER_handel_ele_kWh/1000)</f>
        <v>3110.7696903000001</v>
      </c>
      <c r="C28" s="39">
        <f>IF(ISERROR(B28*3.6/1000000/'E Balans VL '!Z13*100),0,B28*3.6/1000000/'E Balans VL '!Z13*100)</f>
        <v>9.1749863200592474E-2</v>
      </c>
      <c r="D28" s="237" t="s">
        <v>660</v>
      </c>
      <c r="F28" s="6"/>
    </row>
    <row r="29" spans="1:18">
      <c r="A29" s="231" t="s">
        <v>51</v>
      </c>
      <c r="B29" s="33">
        <f>IF(ISERROR(TER_gezond_ele_kWh/1000),0,TER_gezond_ele_kWh/1000)</f>
        <v>295.94149780000004</v>
      </c>
      <c r="C29" s="39">
        <f>IF(ISERROR(B29*3.6/1000000/'E Balans VL '!Z10*100),0,B29*3.6/1000000/'E Balans VL '!Z10*100)</f>
        <v>3.1598617475943093E-2</v>
      </c>
      <c r="D29" s="237" t="s">
        <v>660</v>
      </c>
      <c r="F29" s="6"/>
    </row>
    <row r="30" spans="1:18">
      <c r="A30" s="231" t="s">
        <v>50</v>
      </c>
      <c r="B30" s="33">
        <f>IF(ISERROR(TER_ander_ele_kWh/1000),0,TER_ander_ele_kWh/1000)</f>
        <v>1130.0220804</v>
      </c>
      <c r="C30" s="39">
        <f>IF(ISERROR(B30*3.6/1000000/'E Balans VL '!Z14*100),0,B30*3.6/1000000/'E Balans VL '!Z14*100)</f>
        <v>8.5355005150331065E-2</v>
      </c>
      <c r="D30" s="237" t="s">
        <v>660</v>
      </c>
      <c r="F30" s="6"/>
    </row>
    <row r="31" spans="1:18">
      <c r="A31" s="231" t="s">
        <v>55</v>
      </c>
      <c r="B31" s="33">
        <f>IF(ISERROR(TER_onderwijs_ele_kWh/1000),0,TER_onderwijs_ele_kWh/1000)</f>
        <v>1241.6194713</v>
      </c>
      <c r="C31" s="39">
        <f>IF(ISERROR(B31*3.6/1000000/'E Balans VL '!Z11*100),0,B31*3.6/1000000/'E Balans VL '!Z11*100)</f>
        <v>0.25072441971549009</v>
      </c>
      <c r="D31" s="237" t="s">
        <v>660</v>
      </c>
    </row>
    <row r="32" spans="1:18">
      <c r="A32" s="231" t="s">
        <v>260</v>
      </c>
      <c r="B32" s="33">
        <f>IF(ISERROR(TER_rest_ele_kWh/1000),0,TER_rest_ele_kWh/1000)</f>
        <v>3663.5543639000002</v>
      </c>
      <c r="C32" s="39">
        <f>IF(ISERROR(B32*3.6/1000000/'E Balans VL '!Z8*100),0,B32*3.6/1000000/'E Balans VL '!Z8*100)</f>
        <v>3.0375967139380174E-2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5499.9168526459998</v>
      </c>
      <c r="C5" s="17">
        <f>IF(ISERROR('Eigen informatie GS &amp; warmtenet'!B59),0,'Eigen informatie GS &amp; warmtenet'!B59)</f>
        <v>0</v>
      </c>
      <c r="D5" s="30">
        <f>SUM(D6:D15)</f>
        <v>9613.570616985764</v>
      </c>
      <c r="E5" s="17">
        <f>SUM(E6:E15)</f>
        <v>451.31892462072454</v>
      </c>
      <c r="F5" s="17">
        <f>SUM(F6:F15)</f>
        <v>2077.9707275698538</v>
      </c>
      <c r="G5" s="18"/>
      <c r="H5" s="17"/>
      <c r="I5" s="17"/>
      <c r="J5" s="17">
        <f>SUM(J6:J15)</f>
        <v>8.4257162111840547</v>
      </c>
      <c r="K5" s="17"/>
      <c r="L5" s="17"/>
      <c r="M5" s="17"/>
      <c r="N5" s="17">
        <f>SUM(N6:N15)</f>
        <v>1769.3386032709282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290.29808817000003</v>
      </c>
      <c r="C8" s="33"/>
      <c r="D8" s="37">
        <f>IF( ISERROR(IND_metaal_Gas_kWH/1000),0,IND_metaal_Gas_kWH/1000)*0.902</f>
        <v>0</v>
      </c>
      <c r="E8" s="33">
        <f>C30*'E Balans VL '!I18/100/3.6*1000000</f>
        <v>10.445803423605504</v>
      </c>
      <c r="F8" s="33">
        <f>C30*'E Balans VL '!L18/100/3.6*1000000+C30*'E Balans VL '!N18/100/3.6*1000000</f>
        <v>126.76376465228979</v>
      </c>
      <c r="G8" s="34"/>
      <c r="H8" s="33"/>
      <c r="I8" s="33"/>
      <c r="J8" s="40">
        <f>C30*'E Balans VL '!D18/100/3.6*1000000+C30*'E Balans VL '!E18/100/3.6*1000000</f>
        <v>0</v>
      </c>
      <c r="K8" s="33"/>
      <c r="L8" s="33"/>
      <c r="M8" s="33"/>
      <c r="N8" s="33">
        <f>C30*'E Balans VL '!Y18/100/3.6*1000000</f>
        <v>14.549542900625942</v>
      </c>
      <c r="O8" s="33"/>
      <c r="P8" s="33"/>
      <c r="R8" s="32"/>
    </row>
    <row r="9" spans="1:18">
      <c r="A9" s="6" t="s">
        <v>33</v>
      </c>
      <c r="B9" s="37">
        <f t="shared" si="0"/>
        <v>1234.8640406</v>
      </c>
      <c r="C9" s="33"/>
      <c r="D9" s="37">
        <f>IF( ISERROR(IND_andere_gas_kWh/1000),0,IND_andere_gas_kWh/1000)*0.902</f>
        <v>1313.2972642966001</v>
      </c>
      <c r="E9" s="33">
        <f>C31*'E Balans VL '!I19/100/3.6*1000000</f>
        <v>315.10936357964277</v>
      </c>
      <c r="F9" s="33">
        <f>C31*'E Balans VL '!L19/100/3.6*1000000+C31*'E Balans VL '!N19/100/3.6*1000000</f>
        <v>1063.1251229669326</v>
      </c>
      <c r="G9" s="34"/>
      <c r="H9" s="33"/>
      <c r="I9" s="33"/>
      <c r="J9" s="40">
        <f>C31*'E Balans VL '!D19/100/3.6*1000000+C31*'E Balans VL '!E19/100/3.6*1000000</f>
        <v>0</v>
      </c>
      <c r="K9" s="33"/>
      <c r="L9" s="33"/>
      <c r="M9" s="33"/>
      <c r="N9" s="33">
        <f>C31*'E Balans VL '!Y19/100/3.6*1000000</f>
        <v>386.18427517232828</v>
      </c>
      <c r="O9" s="33"/>
      <c r="P9" s="33"/>
      <c r="R9" s="32"/>
    </row>
    <row r="10" spans="1:18">
      <c r="A10" s="6" t="s">
        <v>41</v>
      </c>
      <c r="B10" s="37">
        <f t="shared" si="0"/>
        <v>3082.7836801999997</v>
      </c>
      <c r="C10" s="33"/>
      <c r="D10" s="37">
        <f>IF( ISERROR(IND_voed_gas_kWh/1000),0,IND_voed_gas_kWh/1000)*0.902</f>
        <v>7409.1138645369992</v>
      </c>
      <c r="E10" s="33">
        <f>C32*'E Balans VL '!I20/100/3.6*1000000</f>
        <v>78.368594159564822</v>
      </c>
      <c r="F10" s="33">
        <f>C32*'E Balans VL '!L20/100/3.6*1000000+C32*'E Balans VL '!N20/100/3.6*1000000</f>
        <v>697.58767025532575</v>
      </c>
      <c r="G10" s="34"/>
      <c r="H10" s="33"/>
      <c r="I10" s="33"/>
      <c r="J10" s="40">
        <f>C32*'E Balans VL '!D20/100/3.6*1000000+C32*'E Balans VL '!E20/100/3.6*1000000</f>
        <v>0</v>
      </c>
      <c r="K10" s="33"/>
      <c r="L10" s="33"/>
      <c r="M10" s="33"/>
      <c r="N10" s="33">
        <f>C32*'E Balans VL '!Y20/100/3.6*1000000</f>
        <v>1156.1274422134563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20.300079516</v>
      </c>
      <c r="C13" s="33"/>
      <c r="D13" s="37">
        <f>IF( ISERROR(IND_papier_gas_kWh/1000),0,IND_papier_gas_kWh/1000)*0.902</f>
        <v>66.275288311584006</v>
      </c>
      <c r="E13" s="33">
        <f>C35*'E Balans VL '!I23/100/3.6*1000000</f>
        <v>8.7061135389984889E-2</v>
      </c>
      <c r="F13" s="33">
        <f>C35*'E Balans VL '!L23/100/3.6*1000000+C35*'E Balans VL '!N23/100/3.6*1000000</f>
        <v>0.51020400567284174</v>
      </c>
      <c r="G13" s="34"/>
      <c r="H13" s="33"/>
      <c r="I13" s="33"/>
      <c r="J13" s="40">
        <f>C35*'E Balans VL '!D23/100/3.6*1000000+C35*'E Balans VL '!E23/100/3.6*1000000</f>
        <v>1.3589789822401885</v>
      </c>
      <c r="K13" s="33"/>
      <c r="L13" s="33"/>
      <c r="M13" s="33"/>
      <c r="N13" s="33">
        <f>C35*'E Balans VL '!Y23/100/3.6*1000000</f>
        <v>36.95097226221111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871.67096415999993</v>
      </c>
      <c r="C15" s="33"/>
      <c r="D15" s="37">
        <f>IF( ISERROR(IND_rest_gas_kWh/1000),0,IND_rest_gas_kWh/1000)*0.902</f>
        <v>824.8841998405801</v>
      </c>
      <c r="E15" s="33">
        <f>C37*'E Balans VL '!I15/100/3.6*1000000</f>
        <v>47.308102322521464</v>
      </c>
      <c r="F15" s="33">
        <f>C37*'E Balans VL '!L15/100/3.6*1000000+C37*'E Balans VL '!N15/100/3.6*1000000</f>
        <v>189.98396568963261</v>
      </c>
      <c r="G15" s="34"/>
      <c r="H15" s="33"/>
      <c r="I15" s="33"/>
      <c r="J15" s="40">
        <f>C37*'E Balans VL '!D15/100/3.6*1000000+C37*'E Balans VL '!E15/100/3.6*1000000</f>
        <v>7.0667372289438664</v>
      </c>
      <c r="K15" s="33"/>
      <c r="L15" s="33"/>
      <c r="M15" s="33"/>
      <c r="N15" s="33">
        <f>C37*'E Balans VL '!Y15/100/3.6*1000000</f>
        <v>175.52637072230672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5499.9168526459998</v>
      </c>
      <c r="C18" s="21">
        <f>C5+C16</f>
        <v>0</v>
      </c>
      <c r="D18" s="21">
        <f>MAX((D5+D16),0)</f>
        <v>9613.570616985764</v>
      </c>
      <c r="E18" s="21">
        <f>MAX((E5+E16),0)</f>
        <v>451.31892462072454</v>
      </c>
      <c r="F18" s="21">
        <f>MAX((F5+F16),0)</f>
        <v>2077.9707275698538</v>
      </c>
      <c r="G18" s="21"/>
      <c r="H18" s="21"/>
      <c r="I18" s="21"/>
      <c r="J18" s="21">
        <f>MAX((J5+J16),0)</f>
        <v>8.4257162111840547</v>
      </c>
      <c r="K18" s="21"/>
      <c r="L18" s="21">
        <f>MAX((L5+L16),0)</f>
        <v>0</v>
      </c>
      <c r="M18" s="21"/>
      <c r="N18" s="21">
        <f>MAX((N5+N16),0)</f>
        <v>1769.3386032709282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0.13906854957038128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764.8654594551756</v>
      </c>
      <c r="C22" s="23">
        <f ca="1">C18*C20</f>
        <v>0</v>
      </c>
      <c r="D22" s="23">
        <f>D18*D20</f>
        <v>1941.9412646311243</v>
      </c>
      <c r="E22" s="23">
        <f>E18*E20</f>
        <v>102.44939588890448</v>
      </c>
      <c r="F22" s="23">
        <f>F18*F20</f>
        <v>554.81818426115103</v>
      </c>
      <c r="G22" s="23"/>
      <c r="H22" s="23"/>
      <c r="I22" s="23"/>
      <c r="J22" s="23">
        <f>J18*J20</f>
        <v>2.9827035387591554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290.29808817000003</v>
      </c>
      <c r="C30" s="39">
        <f>IF(ISERROR(B30*3.6/1000000/'E Balans VL '!Z18*100),0,B30*3.6/1000000/'E Balans VL '!Z18*100)</f>
        <v>6.1507941056244977E-2</v>
      </c>
      <c r="D30" s="237" t="s">
        <v>660</v>
      </c>
    </row>
    <row r="31" spans="1:18">
      <c r="A31" s="6" t="s">
        <v>33</v>
      </c>
      <c r="B31" s="37">
        <f>IF( ISERROR(IND_ander_ele_kWh/1000),0,IND_ander_ele_kWh/1000)</f>
        <v>1234.8640406</v>
      </c>
      <c r="C31" s="39">
        <f>IF(ISERROR(B31*3.6/1000000/'E Balans VL '!Z19*100),0,B31*3.6/1000000/'E Balans VL '!Z19*100)</f>
        <v>5.1978231431578932E-2</v>
      </c>
      <c r="D31" s="237" t="s">
        <v>660</v>
      </c>
    </row>
    <row r="32" spans="1:18">
      <c r="A32" s="171" t="s">
        <v>41</v>
      </c>
      <c r="B32" s="37">
        <f>IF( ISERROR(IND_voed_ele_kWh/1000),0,IND_voed_ele_kWh/1000)</f>
        <v>3082.7836801999997</v>
      </c>
      <c r="C32" s="39">
        <f>IF(ISERROR(B32*3.6/1000000/'E Balans VL '!Z20*100),0,B32*3.6/1000000/'E Balans VL '!Z20*100)</f>
        <v>0.51501389307586931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20.300079516</v>
      </c>
      <c r="C35" s="39">
        <f>IF(ISERROR(B35*3.6/1000000/'E Balans VL '!Z22*100),0,B35*3.6/1000000/'E Balans VL '!Z22*100)</f>
        <v>2.5731445566584909E-3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871.67096415999993</v>
      </c>
      <c r="C37" s="39">
        <f>IF(ISERROR(B37*3.6/1000000/'E Balans VL '!Z15*100),0,B37*3.6/1000000/'E Balans VL '!Z15*100)</f>
        <v>7.0373372201311046E-3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265.40980131999999</v>
      </c>
      <c r="C5" s="17">
        <f>'Eigen informatie GS &amp; warmtenet'!B60</f>
        <v>0</v>
      </c>
      <c r="D5" s="30">
        <f>IF(ISERROR(SUM(LB_lb_gas_kWh,LB_rest_gas_kWh)/1000),0,SUM(LB_lb_gas_kWh,LB_rest_gas_kWh)/1000)*0.902</f>
        <v>1968.2699757093997</v>
      </c>
      <c r="E5" s="17">
        <f>B17*'E Balans VL '!I25/3.6*1000000/100</f>
        <v>6.8438997202236225</v>
      </c>
      <c r="F5" s="17">
        <f>B17*('E Balans VL '!L25/3.6*1000000+'E Balans VL '!N25/3.6*1000000)/100</f>
        <v>970.12336866593751</v>
      </c>
      <c r="G5" s="18"/>
      <c r="H5" s="17"/>
      <c r="I5" s="17"/>
      <c r="J5" s="17">
        <f>('E Balans VL '!D25+'E Balans VL '!E25)/3.6*1000000*landbouw!B17/100</f>
        <v>38.209247850734734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265.40980131999999</v>
      </c>
      <c r="C8" s="21">
        <f>C5+C6</f>
        <v>0</v>
      </c>
      <c r="D8" s="21">
        <f>MAX((D5+D6),0)</f>
        <v>1968.2699757093997</v>
      </c>
      <c r="E8" s="21">
        <f>MAX((E5+E6),0)</f>
        <v>6.8438997202236225</v>
      </c>
      <c r="F8" s="21">
        <f>MAX((F5+F6),0)</f>
        <v>970.12336866593751</v>
      </c>
      <c r="G8" s="21"/>
      <c r="H8" s="21"/>
      <c r="I8" s="21"/>
      <c r="J8" s="21">
        <f>MAX((J5+J6),0)</f>
        <v>38.209247850734734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0.13906854957038128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36.910156111335468</v>
      </c>
      <c r="C12" s="23">
        <f ca="1">C8*C10</f>
        <v>0</v>
      </c>
      <c r="D12" s="23">
        <f>D8*D10</f>
        <v>397.59053509329874</v>
      </c>
      <c r="E12" s="23">
        <f>E8*E10</f>
        <v>1.5535652364907624</v>
      </c>
      <c r="F12" s="23">
        <f>F8*F10</f>
        <v>259.02293943380533</v>
      </c>
      <c r="G12" s="23"/>
      <c r="H12" s="23"/>
      <c r="I12" s="23"/>
      <c r="J12" s="23">
        <f>J8*J10</f>
        <v>13.526073739160095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3.7424540021223744E-2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62.544385083054323</v>
      </c>
      <c r="C26" s="247">
        <f>B26*'GWP N2O_CH4'!B5</f>
        <v>1313.4320867441409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16.141907343939742</v>
      </c>
      <c r="C27" s="247">
        <f>B27*'GWP N2O_CH4'!B5</f>
        <v>338.98005422273457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0.68911823711400089</v>
      </c>
      <c r="C28" s="247">
        <f>B28*'GWP N2O_CH4'!B4</f>
        <v>213.62665350534027</v>
      </c>
      <c r="D28" s="50"/>
    </row>
    <row r="29" spans="1:4">
      <c r="A29" s="41" t="s">
        <v>277</v>
      </c>
      <c r="B29" s="247">
        <f>B34*'ha_N2O bodem landbouw'!B4</f>
        <v>3.1138880214962055</v>
      </c>
      <c r="C29" s="247">
        <f>B29*'GWP N2O_CH4'!B4</f>
        <v>965.30528666382372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7.0079401843405552E-4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2.087396822472866E-4</v>
      </c>
      <c r="C5" s="463" t="s">
        <v>211</v>
      </c>
      <c r="D5" s="448">
        <f>SUM(D6:D11)</f>
        <v>4.4241700326841859E-4</v>
      </c>
      <c r="E5" s="448">
        <f>SUM(E6:E11)</f>
        <v>2.0677118723260702E-3</v>
      </c>
      <c r="F5" s="461" t="s">
        <v>211</v>
      </c>
      <c r="G5" s="448">
        <f>SUM(G6:G11)</f>
        <v>0.70564305780463732</v>
      </c>
      <c r="H5" s="448">
        <f>SUM(H6:H11)</f>
        <v>0.12355458445560756</v>
      </c>
      <c r="I5" s="463" t="s">
        <v>211</v>
      </c>
      <c r="J5" s="463" t="s">
        <v>211</v>
      </c>
      <c r="K5" s="463" t="s">
        <v>211</v>
      </c>
      <c r="L5" s="463" t="s">
        <v>211</v>
      </c>
      <c r="M5" s="448">
        <f>SUM(M6:M11)</f>
        <v>2.5932696563858271E-2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3.4521984316242402E-5</v>
      </c>
      <c r="C6" s="449"/>
      <c r="D6" s="892">
        <f>vkm_2011_GW_PW*SUMIFS(TableVerdeelsleutelVkm[CNG],TableVerdeelsleutelVkm[Voertuigtype],"Lichte voertuigen")*SUMIFS(TableECFTransport[EnergieConsumptieFactor (PJ per km)],TableECFTransport[Index],CONCATENATE($A6,"_CNG_CNG"))</f>
        <v>6.8595787541901596E-5</v>
      </c>
      <c r="E6" s="892">
        <f>vkm_2011_GW_PW*SUMIFS(TableVerdeelsleutelVkm[LPG],TableVerdeelsleutelVkm[Voertuigtype],"Lichte voertuigen")*SUMIFS(TableECFTransport[EnergieConsumptieFactor (PJ per km)],TableECFTransport[Index],CONCATENATE($A6,"_LPG_LPG"))</f>
        <v>2.6994901372385936E-4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6.4184612972761332E-2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1.8570943346237812E-2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2.5787395524980287E-3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3.3922835794771004E-2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1.0958524925021758E-5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1.0688566513740989E-3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7.9488376822780836E-6</v>
      </c>
      <c r="C8" s="449"/>
      <c r="D8" s="451">
        <f>vkm_2011_NGW_PW*SUMIFS(TableVerdeelsleutelVkm[CNG],TableVerdeelsleutelVkm[Voertuigtype],"Lichte voertuigen")*SUMIFS(TableECFTransport[EnergieConsumptieFactor (PJ per km)],TableECFTransport[Index],CONCATENATE($A8,"_CNG_CNG"))</f>
        <v>2.7966261894708539E-5</v>
      </c>
      <c r="E8" s="451">
        <f>vkm_2011_NGW_PW*SUMIFS(TableVerdeelsleutelVkm[LPG],TableVerdeelsleutelVkm[Voertuigtype],"Lichte voertuigen")*SUMIFS(TableECFTransport[EnergieConsumptieFactor (PJ per km)],TableECFTransport[Index],CONCATENATE($A8,"_LPG_LPG"))</f>
        <v>1.0178352753846607E-4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2.2598804352669852E-2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7.3415532665932117E-3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9.320316496591463E-4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7.6268428150192621E-3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2.330065148792117E-6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2.4030613643204684E-4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1.6626886024876612E-4</v>
      </c>
      <c r="C10" s="449"/>
      <c r="D10" s="451">
        <f>vkm_2011_SW_PW*SUMIFS(TableVerdeelsleutelVkm[CNG],TableVerdeelsleutelVkm[Voertuigtype],"Lichte voertuigen")*SUMIFS(TableECFTransport[EnergieConsumptieFactor (PJ per km)],TableECFTransport[Index],CONCATENATE($A10,"_CNG_CNG"))</f>
        <v>3.4585495383180844E-4</v>
      </c>
      <c r="E10" s="451">
        <f>vkm_2011_SW_PW*SUMIFS(TableVerdeelsleutelVkm[LPG],TableVerdeelsleutelVkm[Voertuigtype],"Lichte voertuigen")*SUMIFS(TableECFTransport[EnergieConsumptieFactor (PJ per km)],TableECFTransport[Index],CONCATENATE($A10,"_LPG_LPG"))</f>
        <v>1.6959793310637448E-3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0.3612241249200262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9.7553588742590014E-2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1.4304066349355852E-2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0.21608583694938963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7.5210510112711911E-5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6.8086962245390978E-3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57.983245068690721</v>
      </c>
      <c r="C14" s="21"/>
      <c r="D14" s="21">
        <f t="shared" ref="D14:M14" si="0">((D5)*10^9/3600)+D12</f>
        <v>122.89361201900516</v>
      </c>
      <c r="E14" s="21">
        <f t="shared" si="0"/>
        <v>574.36440897946397</v>
      </c>
      <c r="F14" s="21"/>
      <c r="G14" s="21">
        <f t="shared" si="0"/>
        <v>196011.96050128815</v>
      </c>
      <c r="H14" s="21">
        <f t="shared" si="0"/>
        <v>34320.717904335434</v>
      </c>
      <c r="I14" s="21"/>
      <c r="J14" s="21"/>
      <c r="K14" s="21"/>
      <c r="L14" s="21"/>
      <c r="M14" s="21">
        <f t="shared" si="0"/>
        <v>7203.5268232939643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0.13906854957038128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8.0636457910867811</v>
      </c>
      <c r="C18" s="23"/>
      <c r="D18" s="23">
        <f t="shared" ref="D18:M18" si="1">D14*D16</f>
        <v>24.824509627839046</v>
      </c>
      <c r="E18" s="23">
        <f t="shared" si="1"/>
        <v>130.38072083833833</v>
      </c>
      <c r="F18" s="23"/>
      <c r="G18" s="23">
        <f t="shared" si="1"/>
        <v>52335.193453843938</v>
      </c>
      <c r="H18" s="23">
        <f t="shared" si="1"/>
        <v>8545.8587581795236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1.3022136116733745E-3</v>
      </c>
      <c r="C50" s="321">
        <f t="shared" ref="C50:P50" si="2">SUM(C51:C52)</f>
        <v>0</v>
      </c>
      <c r="D50" s="321">
        <f t="shared" si="2"/>
        <v>0</v>
      </c>
      <c r="E50" s="321">
        <f t="shared" si="2"/>
        <v>0</v>
      </c>
      <c r="F50" s="321">
        <f t="shared" si="2"/>
        <v>0</v>
      </c>
      <c r="G50" s="321">
        <f t="shared" si="2"/>
        <v>3.7764305924182068E-3</v>
      </c>
      <c r="H50" s="321">
        <f t="shared" si="2"/>
        <v>0</v>
      </c>
      <c r="I50" s="321">
        <f t="shared" si="2"/>
        <v>0</v>
      </c>
      <c r="J50" s="321">
        <f t="shared" si="2"/>
        <v>0</v>
      </c>
      <c r="K50" s="321">
        <f t="shared" si="2"/>
        <v>0</v>
      </c>
      <c r="L50" s="321">
        <f t="shared" si="2"/>
        <v>0</v>
      </c>
      <c r="M50" s="321">
        <f t="shared" si="2"/>
        <v>1.1713642841393434E-4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3.7764305924182068E-3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1.1713642841393434E-4</v>
      </c>
      <c r="N51" s="323"/>
      <c r="O51" s="323"/>
      <c r="P51" s="326"/>
    </row>
    <row r="52" spans="1:18">
      <c r="A52" s="4" t="s">
        <v>330</v>
      </c>
      <c r="B52" s="893">
        <f>vkm_2011_tram*SUMIFS(TableECFTransport[EnergieConsumptieFactor (PJ per km)],TableECFTransport[Index],"Tram_gemiddeld_Electric_Electric")</f>
        <v>1.3022136116733745E-3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361.72600324260401</v>
      </c>
      <c r="C54" s="21">
        <f t="shared" ref="C54:P54" si="3">(C50)*10^9/3600</f>
        <v>0</v>
      </c>
      <c r="D54" s="21">
        <f t="shared" si="3"/>
        <v>0</v>
      </c>
      <c r="E54" s="21">
        <f t="shared" si="3"/>
        <v>0</v>
      </c>
      <c r="F54" s="21">
        <f t="shared" si="3"/>
        <v>0</v>
      </c>
      <c r="G54" s="21">
        <f t="shared" si="3"/>
        <v>1049.0084978939462</v>
      </c>
      <c r="H54" s="21">
        <f t="shared" si="3"/>
        <v>0</v>
      </c>
      <c r="I54" s="21">
        <f t="shared" si="3"/>
        <v>0</v>
      </c>
      <c r="J54" s="21">
        <f t="shared" si="3"/>
        <v>0</v>
      </c>
      <c r="K54" s="21">
        <f t="shared" si="3"/>
        <v>0</v>
      </c>
      <c r="L54" s="21">
        <f t="shared" si="3"/>
        <v>0</v>
      </c>
      <c r="M54" s="21">
        <f t="shared" si="3"/>
        <v>32.537896781648428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0.13906854957038128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50.304710612839976</v>
      </c>
      <c r="C58" s="23">
        <f t="shared" ref="C58:P58" ca="1" si="4">C54*C56</f>
        <v>0</v>
      </c>
      <c r="D58" s="23">
        <f t="shared" si="4"/>
        <v>0</v>
      </c>
      <c r="E58" s="23">
        <f t="shared" si="4"/>
        <v>0</v>
      </c>
      <c r="F58" s="23">
        <f t="shared" si="4"/>
        <v>0</v>
      </c>
      <c r="G58" s="23">
        <f t="shared" si="4"/>
        <v>280.08526893768368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14766.195839300002</v>
      </c>
      <c r="D10" s="1012">
        <f ca="1">tertiair!C16</f>
        <v>0</v>
      </c>
      <c r="E10" s="1012">
        <f ca="1">tertiair!D16</f>
        <v>23288.513290260238</v>
      </c>
      <c r="F10" s="1012">
        <f>tertiair!E16</f>
        <v>248.57033580886866</v>
      </c>
      <c r="G10" s="1012">
        <f ca="1">tertiair!F16</f>
        <v>3782.2449011020553</v>
      </c>
      <c r="H10" s="1012">
        <f>tertiair!G16</f>
        <v>0</v>
      </c>
      <c r="I10" s="1012">
        <f>tertiair!H16</f>
        <v>0</v>
      </c>
      <c r="J10" s="1012">
        <f>tertiair!I16</f>
        <v>0</v>
      </c>
      <c r="K10" s="1012">
        <f>tertiair!J16</f>
        <v>0</v>
      </c>
      <c r="L10" s="1012">
        <f>tertiair!K16</f>
        <v>0</v>
      </c>
      <c r="M10" s="1012">
        <f ca="1">tertiair!L16</f>
        <v>0</v>
      </c>
      <c r="N10" s="1012">
        <f>tertiair!M16</f>
        <v>0</v>
      </c>
      <c r="O10" s="1012">
        <f ca="1">tertiair!N16</f>
        <v>1226.8738805537243</v>
      </c>
      <c r="P10" s="1012">
        <f>tertiair!O16</f>
        <v>1.5633333333333335</v>
      </c>
      <c r="Q10" s="1013">
        <f>tertiair!P16</f>
        <v>19.066666666666666</v>
      </c>
      <c r="R10" s="700">
        <f ca="1">SUM(C10:Q10)</f>
        <v>43333.028247024893</v>
      </c>
      <c r="S10" s="67"/>
    </row>
    <row r="11" spans="1:19" s="473" customFormat="1">
      <c r="A11" s="809" t="s">
        <v>225</v>
      </c>
      <c r="B11" s="814"/>
      <c r="C11" s="1012">
        <f>huishoudens!B8</f>
        <v>19861.845278868004</v>
      </c>
      <c r="D11" s="1012">
        <f>huishoudens!C8</f>
        <v>0</v>
      </c>
      <c r="E11" s="1012">
        <f>huishoudens!D8</f>
        <v>48070.720566462005</v>
      </c>
      <c r="F11" s="1012">
        <f>huishoudens!E8</f>
        <v>1186.9612663899493</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7035.2312116875519</v>
      </c>
      <c r="P11" s="1012">
        <f>huishoudens!O8</f>
        <v>159.46</v>
      </c>
      <c r="Q11" s="1013">
        <f>huishoudens!P8</f>
        <v>381.33333333333337</v>
      </c>
      <c r="R11" s="700">
        <f>SUM(C11:Q11)</f>
        <v>76695.551656740849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5499.9168526459998</v>
      </c>
      <c r="D13" s="1012">
        <f>industrie!C18</f>
        <v>0</v>
      </c>
      <c r="E13" s="1012">
        <f>industrie!D18</f>
        <v>9613.570616985764</v>
      </c>
      <c r="F13" s="1012">
        <f>industrie!E18</f>
        <v>451.31892462072454</v>
      </c>
      <c r="G13" s="1012">
        <f>industrie!F18</f>
        <v>2077.9707275698538</v>
      </c>
      <c r="H13" s="1012">
        <f>industrie!G18</f>
        <v>0</v>
      </c>
      <c r="I13" s="1012">
        <f>industrie!H18</f>
        <v>0</v>
      </c>
      <c r="J13" s="1012">
        <f>industrie!I18</f>
        <v>0</v>
      </c>
      <c r="K13" s="1012">
        <f>industrie!J18</f>
        <v>8.4257162111840547</v>
      </c>
      <c r="L13" s="1012">
        <f>industrie!K18</f>
        <v>0</v>
      </c>
      <c r="M13" s="1012">
        <f>industrie!L18</f>
        <v>0</v>
      </c>
      <c r="N13" s="1012">
        <f>industrie!M18</f>
        <v>0</v>
      </c>
      <c r="O13" s="1012">
        <f>industrie!N18</f>
        <v>1769.3386032709282</v>
      </c>
      <c r="P13" s="1012">
        <f>industrie!O18</f>
        <v>0</v>
      </c>
      <c r="Q13" s="1013">
        <f>industrie!P18</f>
        <v>0</v>
      </c>
      <c r="R13" s="700">
        <f>SUM(C13:Q13)</f>
        <v>19420.541441304453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40127.957970814008</v>
      </c>
      <c r="D16" s="732">
        <f t="shared" ref="D16:R16" ca="1" si="0">SUM(D9:D15)</f>
        <v>0</v>
      </c>
      <c r="E16" s="732">
        <f t="shared" ca="1" si="0"/>
        <v>80972.804473708005</v>
      </c>
      <c r="F16" s="732">
        <f t="shared" si="0"/>
        <v>1886.8505268195424</v>
      </c>
      <c r="G16" s="732">
        <f t="shared" ca="1" si="0"/>
        <v>5860.2156286719091</v>
      </c>
      <c r="H16" s="732">
        <f t="shared" si="0"/>
        <v>0</v>
      </c>
      <c r="I16" s="732">
        <f t="shared" si="0"/>
        <v>0</v>
      </c>
      <c r="J16" s="732">
        <f t="shared" si="0"/>
        <v>0</v>
      </c>
      <c r="K16" s="732">
        <f t="shared" si="0"/>
        <v>8.4257162111840547</v>
      </c>
      <c r="L16" s="732">
        <f t="shared" si="0"/>
        <v>0</v>
      </c>
      <c r="M16" s="732">
        <f t="shared" ca="1" si="0"/>
        <v>0</v>
      </c>
      <c r="N16" s="732">
        <f t="shared" si="0"/>
        <v>0</v>
      </c>
      <c r="O16" s="732">
        <f t="shared" ca="1" si="0"/>
        <v>10031.443695512204</v>
      </c>
      <c r="P16" s="732">
        <f t="shared" si="0"/>
        <v>161.02333333333334</v>
      </c>
      <c r="Q16" s="732">
        <f t="shared" si="0"/>
        <v>400.40000000000003</v>
      </c>
      <c r="R16" s="732">
        <f t="shared" ca="1" si="0"/>
        <v>139449.12134507019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361.72600324260401</v>
      </c>
      <c r="D19" s="1012">
        <f>transport!C54</f>
        <v>0</v>
      </c>
      <c r="E19" s="1012">
        <f>transport!D54</f>
        <v>0</v>
      </c>
      <c r="F19" s="1012">
        <f>transport!E54</f>
        <v>0</v>
      </c>
      <c r="G19" s="1012">
        <f>transport!F54</f>
        <v>0</v>
      </c>
      <c r="H19" s="1012">
        <f>transport!G54</f>
        <v>1049.0084978939462</v>
      </c>
      <c r="I19" s="1012">
        <f>transport!H54</f>
        <v>0</v>
      </c>
      <c r="J19" s="1012">
        <f>transport!I54</f>
        <v>0</v>
      </c>
      <c r="K19" s="1012">
        <f>transport!J54</f>
        <v>0</v>
      </c>
      <c r="L19" s="1012">
        <f>transport!K54</f>
        <v>0</v>
      </c>
      <c r="M19" s="1012">
        <f>transport!L54</f>
        <v>0</v>
      </c>
      <c r="N19" s="1012">
        <f>transport!M54</f>
        <v>32.537896781648428</v>
      </c>
      <c r="O19" s="1012">
        <f>transport!N54</f>
        <v>0</v>
      </c>
      <c r="P19" s="1012">
        <f>transport!O54</f>
        <v>0</v>
      </c>
      <c r="Q19" s="1013">
        <f>transport!P54</f>
        <v>0</v>
      </c>
      <c r="R19" s="700">
        <f>SUM(C19:Q19)</f>
        <v>1443.2723979181987</v>
      </c>
      <c r="S19" s="67"/>
    </row>
    <row r="20" spans="1:19" s="473" customFormat="1">
      <c r="A20" s="809" t="s">
        <v>307</v>
      </c>
      <c r="B20" s="814"/>
      <c r="C20" s="1012">
        <f>transport!B14</f>
        <v>57.983245068690721</v>
      </c>
      <c r="D20" s="1012">
        <f>transport!C14</f>
        <v>0</v>
      </c>
      <c r="E20" s="1012">
        <f>transport!D14</f>
        <v>122.89361201900516</v>
      </c>
      <c r="F20" s="1012">
        <f>transport!E14</f>
        <v>574.36440897946397</v>
      </c>
      <c r="G20" s="1012">
        <f>transport!F14</f>
        <v>0</v>
      </c>
      <c r="H20" s="1012">
        <f>transport!G14</f>
        <v>196011.96050128815</v>
      </c>
      <c r="I20" s="1012">
        <f>transport!H14</f>
        <v>34320.717904335434</v>
      </c>
      <c r="J20" s="1012">
        <f>transport!I14</f>
        <v>0</v>
      </c>
      <c r="K20" s="1012">
        <f>transport!J14</f>
        <v>0</v>
      </c>
      <c r="L20" s="1012">
        <f>transport!K14</f>
        <v>0</v>
      </c>
      <c r="M20" s="1012">
        <f>transport!L14</f>
        <v>0</v>
      </c>
      <c r="N20" s="1012">
        <f>transport!M14</f>
        <v>7203.5268232939643</v>
      </c>
      <c r="O20" s="1012">
        <f>transport!N14</f>
        <v>0</v>
      </c>
      <c r="P20" s="1012">
        <f>transport!O14</f>
        <v>0</v>
      </c>
      <c r="Q20" s="1013">
        <f>transport!P14</f>
        <v>0</v>
      </c>
      <c r="R20" s="700">
        <f>SUM(C20:Q20)</f>
        <v>238291.44649498473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419.70924831129474</v>
      </c>
      <c r="D22" s="812">
        <f t="shared" ref="D22:R22" si="1">SUM(D18:D21)</f>
        <v>0</v>
      </c>
      <c r="E22" s="812">
        <f t="shared" si="1"/>
        <v>122.89361201900516</v>
      </c>
      <c r="F22" s="812">
        <f t="shared" si="1"/>
        <v>574.36440897946397</v>
      </c>
      <c r="G22" s="812">
        <f t="shared" si="1"/>
        <v>0</v>
      </c>
      <c r="H22" s="812">
        <f t="shared" si="1"/>
        <v>197060.96899918211</v>
      </c>
      <c r="I22" s="812">
        <f t="shared" si="1"/>
        <v>34320.717904335434</v>
      </c>
      <c r="J22" s="812">
        <f t="shared" si="1"/>
        <v>0</v>
      </c>
      <c r="K22" s="812">
        <f t="shared" si="1"/>
        <v>0</v>
      </c>
      <c r="L22" s="812">
        <f t="shared" si="1"/>
        <v>0</v>
      </c>
      <c r="M22" s="812">
        <f t="shared" si="1"/>
        <v>0</v>
      </c>
      <c r="N22" s="812">
        <f t="shared" si="1"/>
        <v>7236.064720075613</v>
      </c>
      <c r="O22" s="812">
        <f t="shared" si="1"/>
        <v>0</v>
      </c>
      <c r="P22" s="812">
        <f t="shared" si="1"/>
        <v>0</v>
      </c>
      <c r="Q22" s="812">
        <f t="shared" si="1"/>
        <v>0</v>
      </c>
      <c r="R22" s="812">
        <f t="shared" si="1"/>
        <v>239734.71889290292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265.40980131999999</v>
      </c>
      <c r="D24" s="1012">
        <f>+landbouw!C8</f>
        <v>0</v>
      </c>
      <c r="E24" s="1012">
        <f>+landbouw!D8</f>
        <v>1968.2699757093997</v>
      </c>
      <c r="F24" s="1012">
        <f>+landbouw!E8</f>
        <v>6.8438997202236225</v>
      </c>
      <c r="G24" s="1012">
        <f>+landbouw!F8</f>
        <v>970.12336866593751</v>
      </c>
      <c r="H24" s="1012">
        <f>+landbouw!G8</f>
        <v>0</v>
      </c>
      <c r="I24" s="1012">
        <f>+landbouw!H8</f>
        <v>0</v>
      </c>
      <c r="J24" s="1012">
        <f>+landbouw!I8</f>
        <v>0</v>
      </c>
      <c r="K24" s="1012">
        <f>+landbouw!J8</f>
        <v>38.209247850734734</v>
      </c>
      <c r="L24" s="1012">
        <f>+landbouw!K8</f>
        <v>0</v>
      </c>
      <c r="M24" s="1012">
        <f>+landbouw!L8</f>
        <v>0</v>
      </c>
      <c r="N24" s="1012">
        <f>+landbouw!M8</f>
        <v>0</v>
      </c>
      <c r="O24" s="1012">
        <f>+landbouw!N8</f>
        <v>0</v>
      </c>
      <c r="P24" s="1012">
        <f>+landbouw!O8</f>
        <v>0</v>
      </c>
      <c r="Q24" s="1013">
        <f>+landbouw!P8</f>
        <v>0</v>
      </c>
      <c r="R24" s="700">
        <f>SUM(C24:Q24)</f>
        <v>3248.8562932662958</v>
      </c>
      <c r="S24" s="67"/>
    </row>
    <row r="25" spans="1:19" s="473" customFormat="1" ht="15" thickBot="1">
      <c r="A25" s="831" t="s">
        <v>848</v>
      </c>
      <c r="B25" s="1015"/>
      <c r="C25" s="1016">
        <f>IF(Onbekend_ele_kWh="---",0,Onbekend_ele_kWh)/1000+IF(REST_rest_ele_kWh="---",0,REST_rest_ele_kWh)/1000</f>
        <v>519.04459101999998</v>
      </c>
      <c r="D25" s="1016"/>
      <c r="E25" s="1016">
        <f>IF(onbekend_gas_kWh="---",0,onbekend_gas_kWh)/1000+IF(REST_rest_gas_kWh="---",0,REST_rest_gas_kWh)/1000</f>
        <v>4386.5707851999996</v>
      </c>
      <c r="F25" s="1016"/>
      <c r="G25" s="1016"/>
      <c r="H25" s="1016"/>
      <c r="I25" s="1016"/>
      <c r="J25" s="1016"/>
      <c r="K25" s="1016"/>
      <c r="L25" s="1016"/>
      <c r="M25" s="1016"/>
      <c r="N25" s="1016"/>
      <c r="O25" s="1016"/>
      <c r="P25" s="1016"/>
      <c r="Q25" s="1017"/>
      <c r="R25" s="700">
        <f>SUM(C25:Q25)</f>
        <v>4905.6153762199992</v>
      </c>
      <c r="S25" s="67"/>
    </row>
    <row r="26" spans="1:19" s="473" customFormat="1" ht="15.75" thickBot="1">
      <c r="A26" s="705" t="s">
        <v>849</v>
      </c>
      <c r="B26" s="817"/>
      <c r="C26" s="812">
        <f>SUM(C24:C25)</f>
        <v>784.45439233999991</v>
      </c>
      <c r="D26" s="812">
        <f t="shared" ref="D26:R26" si="2">SUM(D24:D25)</f>
        <v>0</v>
      </c>
      <c r="E26" s="812">
        <f t="shared" si="2"/>
        <v>6354.8407609093993</v>
      </c>
      <c r="F26" s="812">
        <f t="shared" si="2"/>
        <v>6.8438997202236225</v>
      </c>
      <c r="G26" s="812">
        <f t="shared" si="2"/>
        <v>970.12336866593751</v>
      </c>
      <c r="H26" s="812">
        <f t="shared" si="2"/>
        <v>0</v>
      </c>
      <c r="I26" s="812">
        <f t="shared" si="2"/>
        <v>0</v>
      </c>
      <c r="J26" s="812">
        <f t="shared" si="2"/>
        <v>0</v>
      </c>
      <c r="K26" s="812">
        <f t="shared" si="2"/>
        <v>38.209247850734734</v>
      </c>
      <c r="L26" s="812">
        <f t="shared" si="2"/>
        <v>0</v>
      </c>
      <c r="M26" s="812">
        <f t="shared" si="2"/>
        <v>0</v>
      </c>
      <c r="N26" s="812">
        <f t="shared" si="2"/>
        <v>0</v>
      </c>
      <c r="O26" s="812">
        <f t="shared" si="2"/>
        <v>0</v>
      </c>
      <c r="P26" s="812">
        <f t="shared" si="2"/>
        <v>0</v>
      </c>
      <c r="Q26" s="812">
        <f t="shared" si="2"/>
        <v>0</v>
      </c>
      <c r="R26" s="812">
        <f t="shared" si="2"/>
        <v>8154.4716694862946</v>
      </c>
      <c r="S26" s="67"/>
    </row>
    <row r="27" spans="1:19" s="473" customFormat="1" ht="17.25" thickTop="1" thickBot="1">
      <c r="A27" s="706" t="s">
        <v>116</v>
      </c>
      <c r="B27" s="805"/>
      <c r="C27" s="707">
        <f ca="1">C22+C16+C26</f>
        <v>41332.1216114653</v>
      </c>
      <c r="D27" s="707">
        <f t="shared" ref="D27:R27" ca="1" si="3">D22+D16+D26</f>
        <v>0</v>
      </c>
      <c r="E27" s="707">
        <f t="shared" ca="1" si="3"/>
        <v>87450.538846636409</v>
      </c>
      <c r="F27" s="707">
        <f t="shared" si="3"/>
        <v>2468.0588355192303</v>
      </c>
      <c r="G27" s="707">
        <f t="shared" ca="1" si="3"/>
        <v>6830.3389973378471</v>
      </c>
      <c r="H27" s="707">
        <f t="shared" si="3"/>
        <v>197060.96899918211</v>
      </c>
      <c r="I27" s="707">
        <f t="shared" si="3"/>
        <v>34320.717904335434</v>
      </c>
      <c r="J27" s="707">
        <f t="shared" si="3"/>
        <v>0</v>
      </c>
      <c r="K27" s="707">
        <f t="shared" si="3"/>
        <v>46.634964061918787</v>
      </c>
      <c r="L27" s="707">
        <f t="shared" si="3"/>
        <v>0</v>
      </c>
      <c r="M27" s="707">
        <f t="shared" ca="1" si="3"/>
        <v>0</v>
      </c>
      <c r="N27" s="707">
        <f t="shared" si="3"/>
        <v>7236.064720075613</v>
      </c>
      <c r="O27" s="707">
        <f t="shared" ca="1" si="3"/>
        <v>10031.443695512204</v>
      </c>
      <c r="P27" s="707">
        <f t="shared" si="3"/>
        <v>161.02333333333334</v>
      </c>
      <c r="Q27" s="707">
        <f t="shared" si="3"/>
        <v>400.40000000000003</v>
      </c>
      <c r="R27" s="707">
        <f t="shared" ca="1" si="3"/>
        <v>387338.31190745946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2053.5134380436502</v>
      </c>
      <c r="D40" s="1012">
        <f ca="1">tertiair!C20</f>
        <v>0</v>
      </c>
      <c r="E40" s="1012">
        <f ca="1">tertiair!D20</f>
        <v>4704.2796846325682</v>
      </c>
      <c r="F40" s="1012">
        <f>tertiair!E20</f>
        <v>56.425466228613189</v>
      </c>
      <c r="G40" s="1012">
        <f ca="1">tertiair!F20</f>
        <v>1009.8593885942488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7824.0779774990806</v>
      </c>
    </row>
    <row r="41" spans="1:18">
      <c r="A41" s="822" t="s">
        <v>225</v>
      </c>
      <c r="B41" s="829"/>
      <c r="C41" s="1012">
        <f ca="1">huishoudens!B12</f>
        <v>2762.1580147234986</v>
      </c>
      <c r="D41" s="1012">
        <f ca="1">huishoudens!C12</f>
        <v>0</v>
      </c>
      <c r="E41" s="1012">
        <f>huishoudens!D12</f>
        <v>9710.2855544253252</v>
      </c>
      <c r="F41" s="1012">
        <f>huishoudens!E12</f>
        <v>269.44020747051849</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12741.883776619341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764.8654594551756</v>
      </c>
      <c r="D43" s="1012">
        <f ca="1">industrie!C22</f>
        <v>0</v>
      </c>
      <c r="E43" s="1012">
        <f>industrie!D22</f>
        <v>1941.9412646311243</v>
      </c>
      <c r="F43" s="1012">
        <f>industrie!E22</f>
        <v>102.44939588890448</v>
      </c>
      <c r="G43" s="1012">
        <f>industrie!F22</f>
        <v>554.81818426115103</v>
      </c>
      <c r="H43" s="1012">
        <f>industrie!G22</f>
        <v>0</v>
      </c>
      <c r="I43" s="1012">
        <f>industrie!H22</f>
        <v>0</v>
      </c>
      <c r="J43" s="1012">
        <f>industrie!I22</f>
        <v>0</v>
      </c>
      <c r="K43" s="1012">
        <f>industrie!J22</f>
        <v>2.9827035387591554</v>
      </c>
      <c r="L43" s="1012">
        <f>industrie!K22</f>
        <v>0</v>
      </c>
      <c r="M43" s="1012">
        <f>industrie!L22</f>
        <v>0</v>
      </c>
      <c r="N43" s="1012">
        <f>industrie!M22</f>
        <v>0</v>
      </c>
      <c r="O43" s="1012">
        <f>industrie!N22</f>
        <v>0</v>
      </c>
      <c r="P43" s="1012">
        <f>industrie!O22</f>
        <v>0</v>
      </c>
      <c r="Q43" s="774">
        <f>industrie!P22</f>
        <v>0</v>
      </c>
      <c r="R43" s="849">
        <f t="shared" ca="1" si="4"/>
        <v>3367.0570077751149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5580.5369122223237</v>
      </c>
      <c r="D46" s="732">
        <f t="shared" ref="D46:Q46" ca="1" si="5">SUM(D39:D45)</f>
        <v>0</v>
      </c>
      <c r="E46" s="732">
        <f t="shared" ca="1" si="5"/>
        <v>16356.506503689019</v>
      </c>
      <c r="F46" s="732">
        <f t="shared" si="5"/>
        <v>428.31506958803612</v>
      </c>
      <c r="G46" s="732">
        <f t="shared" ca="1" si="5"/>
        <v>1564.6775728553998</v>
      </c>
      <c r="H46" s="732">
        <f t="shared" si="5"/>
        <v>0</v>
      </c>
      <c r="I46" s="732">
        <f t="shared" si="5"/>
        <v>0</v>
      </c>
      <c r="J46" s="732">
        <f t="shared" si="5"/>
        <v>0</v>
      </c>
      <c r="K46" s="732">
        <f t="shared" si="5"/>
        <v>2.9827035387591554</v>
      </c>
      <c r="L46" s="732">
        <f t="shared" si="5"/>
        <v>0</v>
      </c>
      <c r="M46" s="732">
        <f t="shared" ca="1" si="5"/>
        <v>0</v>
      </c>
      <c r="N46" s="732">
        <f t="shared" si="5"/>
        <v>0</v>
      </c>
      <c r="O46" s="732">
        <f t="shared" ca="1" si="5"/>
        <v>0</v>
      </c>
      <c r="P46" s="732">
        <f t="shared" si="5"/>
        <v>0</v>
      </c>
      <c r="Q46" s="732">
        <f t="shared" si="5"/>
        <v>0</v>
      </c>
      <c r="R46" s="732">
        <f ca="1">SUM(R39:R45)</f>
        <v>23933.018761893534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50.304710612839976</v>
      </c>
      <c r="D49" s="1012">
        <f ca="1">transport!C58</f>
        <v>0</v>
      </c>
      <c r="E49" s="1012">
        <f>transport!D58</f>
        <v>0</v>
      </c>
      <c r="F49" s="1012">
        <f>transport!E58</f>
        <v>0</v>
      </c>
      <c r="G49" s="1012">
        <f>transport!F58</f>
        <v>0</v>
      </c>
      <c r="H49" s="1012">
        <f>transport!G58</f>
        <v>280.08526893768368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330.38997955052366</v>
      </c>
    </row>
    <row r="50" spans="1:18">
      <c r="A50" s="825" t="s">
        <v>307</v>
      </c>
      <c r="B50" s="835"/>
      <c r="C50" s="703">
        <f ca="1">transport!B18</f>
        <v>8.0636457910867811</v>
      </c>
      <c r="D50" s="703">
        <f>transport!C18</f>
        <v>0</v>
      </c>
      <c r="E50" s="703">
        <f>transport!D18</f>
        <v>24.824509627839046</v>
      </c>
      <c r="F50" s="703">
        <f>transport!E18</f>
        <v>130.38072083833833</v>
      </c>
      <c r="G50" s="703">
        <f>transport!F18</f>
        <v>0</v>
      </c>
      <c r="H50" s="703">
        <f>transport!G18</f>
        <v>52335.193453843938</v>
      </c>
      <c r="I50" s="703">
        <f>transport!H18</f>
        <v>8545.8587581795236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61044.321088280725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58.368356403926754</v>
      </c>
      <c r="D52" s="732">
        <f t="shared" ref="D52:Q52" ca="1" si="6">SUM(D48:D51)</f>
        <v>0</v>
      </c>
      <c r="E52" s="732">
        <f t="shared" si="6"/>
        <v>24.824509627839046</v>
      </c>
      <c r="F52" s="732">
        <f t="shared" si="6"/>
        <v>130.38072083833833</v>
      </c>
      <c r="G52" s="732">
        <f t="shared" si="6"/>
        <v>0</v>
      </c>
      <c r="H52" s="732">
        <f t="shared" si="6"/>
        <v>52615.278722781622</v>
      </c>
      <c r="I52" s="732">
        <f t="shared" si="6"/>
        <v>8545.8587581795236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61374.711067831246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36.910156111335468</v>
      </c>
      <c r="D54" s="703">
        <f ca="1">+landbouw!C12</f>
        <v>0</v>
      </c>
      <c r="E54" s="703">
        <f>+landbouw!D12</f>
        <v>397.59053509329874</v>
      </c>
      <c r="F54" s="703">
        <f>+landbouw!E12</f>
        <v>1.5535652364907624</v>
      </c>
      <c r="G54" s="703">
        <f>+landbouw!F12</f>
        <v>259.02293943380533</v>
      </c>
      <c r="H54" s="703">
        <f>+landbouw!G12</f>
        <v>0</v>
      </c>
      <c r="I54" s="703">
        <f>+landbouw!H12</f>
        <v>0</v>
      </c>
      <c r="J54" s="703">
        <f>+landbouw!I12</f>
        <v>0</v>
      </c>
      <c r="K54" s="703">
        <f>+landbouw!J12</f>
        <v>13.526073739160095</v>
      </c>
      <c r="L54" s="703">
        <f>+landbouw!K12</f>
        <v>0</v>
      </c>
      <c r="M54" s="703">
        <f>+landbouw!L12</f>
        <v>0</v>
      </c>
      <c r="N54" s="703">
        <f>+landbouw!M12</f>
        <v>0</v>
      </c>
      <c r="O54" s="703">
        <f>+landbouw!N12</f>
        <v>0</v>
      </c>
      <c r="P54" s="703">
        <f>+landbouw!O12</f>
        <v>0</v>
      </c>
      <c r="Q54" s="704">
        <f>+landbouw!P12</f>
        <v>0</v>
      </c>
      <c r="R54" s="731">
        <f ca="1">SUM(C54:Q54)</f>
        <v>708.60326961409044</v>
      </c>
    </row>
    <row r="55" spans="1:18" ht="15" thickBot="1">
      <c r="A55" s="825" t="s">
        <v>848</v>
      </c>
      <c r="B55" s="835"/>
      <c r="C55" s="703">
        <f ca="1">C25*'EF ele_warmte'!B12</f>
        <v>72.182778435503153</v>
      </c>
      <c r="D55" s="703"/>
      <c r="E55" s="703">
        <f>E25*EF_CO2_aardgas</f>
        <v>886.08729861040001</v>
      </c>
      <c r="F55" s="703"/>
      <c r="G55" s="703"/>
      <c r="H55" s="703"/>
      <c r="I55" s="703"/>
      <c r="J55" s="703"/>
      <c r="K55" s="703"/>
      <c r="L55" s="703"/>
      <c r="M55" s="703"/>
      <c r="N55" s="703"/>
      <c r="O55" s="703"/>
      <c r="P55" s="703"/>
      <c r="Q55" s="704"/>
      <c r="R55" s="731">
        <f ca="1">SUM(C55:Q55)</f>
        <v>958.27007704590312</v>
      </c>
    </row>
    <row r="56" spans="1:18" ht="15.75" thickBot="1">
      <c r="A56" s="823" t="s">
        <v>849</v>
      </c>
      <c r="B56" s="836"/>
      <c r="C56" s="732">
        <f ca="1">SUM(C54:C55)</f>
        <v>109.09293454683862</v>
      </c>
      <c r="D56" s="732">
        <f t="shared" ref="D56:Q56" ca="1" si="7">SUM(D54:D55)</f>
        <v>0</v>
      </c>
      <c r="E56" s="732">
        <f t="shared" si="7"/>
        <v>1283.6778337036988</v>
      </c>
      <c r="F56" s="732">
        <f t="shared" si="7"/>
        <v>1.5535652364907624</v>
      </c>
      <c r="G56" s="732">
        <f t="shared" si="7"/>
        <v>259.02293943380533</v>
      </c>
      <c r="H56" s="732">
        <f t="shared" si="7"/>
        <v>0</v>
      </c>
      <c r="I56" s="732">
        <f t="shared" si="7"/>
        <v>0</v>
      </c>
      <c r="J56" s="732">
        <f t="shared" si="7"/>
        <v>0</v>
      </c>
      <c r="K56" s="732">
        <f t="shared" si="7"/>
        <v>13.526073739160095</v>
      </c>
      <c r="L56" s="732">
        <f t="shared" si="7"/>
        <v>0</v>
      </c>
      <c r="M56" s="732">
        <f t="shared" si="7"/>
        <v>0</v>
      </c>
      <c r="N56" s="732">
        <f t="shared" si="7"/>
        <v>0</v>
      </c>
      <c r="O56" s="732">
        <f t="shared" si="7"/>
        <v>0</v>
      </c>
      <c r="P56" s="732">
        <f t="shared" si="7"/>
        <v>0</v>
      </c>
      <c r="Q56" s="733">
        <f t="shared" si="7"/>
        <v>0</v>
      </c>
      <c r="R56" s="734">
        <f ca="1">SUM(R54:R55)</f>
        <v>1666.8733466599936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5747.9982031730888</v>
      </c>
      <c r="D61" s="740">
        <f t="shared" ref="D61:Q61" ca="1" si="8">D46+D52+D56</f>
        <v>0</v>
      </c>
      <c r="E61" s="740">
        <f t="shared" ca="1" si="8"/>
        <v>17665.008847020556</v>
      </c>
      <c r="F61" s="740">
        <f t="shared" si="8"/>
        <v>560.24935566286524</v>
      </c>
      <c r="G61" s="740">
        <f t="shared" ca="1" si="8"/>
        <v>1823.7005122892051</v>
      </c>
      <c r="H61" s="740">
        <f t="shared" si="8"/>
        <v>52615.278722781622</v>
      </c>
      <c r="I61" s="740">
        <f t="shared" si="8"/>
        <v>8545.8587581795236</v>
      </c>
      <c r="J61" s="740">
        <f t="shared" si="8"/>
        <v>0</v>
      </c>
      <c r="K61" s="740">
        <f t="shared" si="8"/>
        <v>16.508777277919251</v>
      </c>
      <c r="L61" s="740">
        <f t="shared" si="8"/>
        <v>0</v>
      </c>
      <c r="M61" s="740">
        <f t="shared" ca="1" si="8"/>
        <v>0</v>
      </c>
      <c r="N61" s="740">
        <f t="shared" si="8"/>
        <v>0</v>
      </c>
      <c r="O61" s="740">
        <f t="shared" ca="1" si="8"/>
        <v>0</v>
      </c>
      <c r="P61" s="740">
        <f t="shared" si="8"/>
        <v>0</v>
      </c>
      <c r="Q61" s="740">
        <f t="shared" si="8"/>
        <v>0</v>
      </c>
      <c r="R61" s="740">
        <f ca="1">R46+R52+R56</f>
        <v>86974.603176384771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0.13906854957038126</v>
      </c>
      <c r="D63" s="781">
        <f t="shared" ca="1" si="9"/>
        <v>0</v>
      </c>
      <c r="E63" s="1023">
        <f t="shared" ca="1" si="9"/>
        <v>0.20200000000000001</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12170.573935654025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3152.5060324941278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15323.079968148153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12170.573935654025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3152.5060324941278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15323.079968148153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19861.845278868004</v>
      </c>
      <c r="C4" s="477">
        <f>huishoudens!C8</f>
        <v>0</v>
      </c>
      <c r="D4" s="477">
        <f>huishoudens!D8</f>
        <v>48070.720566462005</v>
      </c>
      <c r="E4" s="477">
        <f>huishoudens!E8</f>
        <v>1186.9612663899493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7035.2312116875519</v>
      </c>
      <c r="O4" s="477">
        <f>huishoudens!O8</f>
        <v>159.46</v>
      </c>
      <c r="P4" s="478">
        <f>huishoudens!P8</f>
        <v>381.33333333333337</v>
      </c>
      <c r="Q4" s="479">
        <f>SUM(B4:P4)</f>
        <v>76695.551656740849</v>
      </c>
    </row>
    <row r="5" spans="1:17">
      <c r="A5" s="476" t="s">
        <v>156</v>
      </c>
      <c r="B5" s="477">
        <f ca="1">tertiair!B16</f>
        <v>13904.647839300002</v>
      </c>
      <c r="C5" s="477">
        <f ca="1">tertiair!C16</f>
        <v>0</v>
      </c>
      <c r="D5" s="477">
        <f ca="1">tertiair!D16</f>
        <v>23288.513290260238</v>
      </c>
      <c r="E5" s="477">
        <f>tertiair!E16</f>
        <v>248.57033580886866</v>
      </c>
      <c r="F5" s="477">
        <f ca="1">tertiair!F16</f>
        <v>3782.2449011020553</v>
      </c>
      <c r="G5" s="477">
        <f>tertiair!G16</f>
        <v>0</v>
      </c>
      <c r="H5" s="477">
        <f>tertiair!H16</f>
        <v>0</v>
      </c>
      <c r="I5" s="477">
        <f>tertiair!I16</f>
        <v>0</v>
      </c>
      <c r="J5" s="477">
        <f>tertiair!J16</f>
        <v>0</v>
      </c>
      <c r="K5" s="477">
        <f>tertiair!K16</f>
        <v>0</v>
      </c>
      <c r="L5" s="477">
        <f ca="1">tertiair!L16</f>
        <v>0</v>
      </c>
      <c r="M5" s="477">
        <f>tertiair!M16</f>
        <v>0</v>
      </c>
      <c r="N5" s="477">
        <f ca="1">tertiair!N16</f>
        <v>1226.8738805537243</v>
      </c>
      <c r="O5" s="477">
        <f>tertiair!O16</f>
        <v>1.5633333333333335</v>
      </c>
      <c r="P5" s="478">
        <f>tertiair!P16</f>
        <v>19.066666666666666</v>
      </c>
      <c r="Q5" s="476">
        <f t="shared" ref="Q5:Q14" ca="1" si="0">SUM(B5:P5)</f>
        <v>42471.480247024891</v>
      </c>
    </row>
    <row r="6" spans="1:17">
      <c r="A6" s="476" t="s">
        <v>194</v>
      </c>
      <c r="B6" s="477">
        <f>'openbare verlichting'!B8</f>
        <v>861.548</v>
      </c>
      <c r="C6" s="477"/>
      <c r="D6" s="477"/>
      <c r="E6" s="477"/>
      <c r="F6" s="477"/>
      <c r="G6" s="477"/>
      <c r="H6" s="477"/>
      <c r="I6" s="477"/>
      <c r="J6" s="477"/>
      <c r="K6" s="477"/>
      <c r="L6" s="477"/>
      <c r="M6" s="477"/>
      <c r="N6" s="477"/>
      <c r="O6" s="477"/>
      <c r="P6" s="478"/>
      <c r="Q6" s="476">
        <f t="shared" si="0"/>
        <v>861.548</v>
      </c>
    </row>
    <row r="7" spans="1:17">
      <c r="A7" s="476" t="s">
        <v>112</v>
      </c>
      <c r="B7" s="477">
        <f>landbouw!B8</f>
        <v>265.40980131999999</v>
      </c>
      <c r="C7" s="477">
        <f>landbouw!C8</f>
        <v>0</v>
      </c>
      <c r="D7" s="477">
        <f>landbouw!D8</f>
        <v>1968.2699757093997</v>
      </c>
      <c r="E7" s="477">
        <f>landbouw!E8</f>
        <v>6.8438997202236225</v>
      </c>
      <c r="F7" s="477">
        <f>landbouw!F8</f>
        <v>970.12336866593751</v>
      </c>
      <c r="G7" s="477">
        <f>landbouw!G8</f>
        <v>0</v>
      </c>
      <c r="H7" s="477">
        <f>landbouw!H8</f>
        <v>0</v>
      </c>
      <c r="I7" s="477">
        <f>landbouw!I8</f>
        <v>0</v>
      </c>
      <c r="J7" s="477">
        <f>landbouw!J8</f>
        <v>38.209247850734734</v>
      </c>
      <c r="K7" s="477">
        <f>landbouw!K8</f>
        <v>0</v>
      </c>
      <c r="L7" s="477">
        <f>landbouw!L8</f>
        <v>0</v>
      </c>
      <c r="M7" s="477">
        <f>landbouw!M8</f>
        <v>0</v>
      </c>
      <c r="N7" s="477">
        <f>landbouw!N8</f>
        <v>0</v>
      </c>
      <c r="O7" s="477">
        <f>landbouw!O8</f>
        <v>0</v>
      </c>
      <c r="P7" s="478">
        <f>landbouw!P8</f>
        <v>0</v>
      </c>
      <c r="Q7" s="476">
        <f t="shared" si="0"/>
        <v>3248.8562932662958</v>
      </c>
    </row>
    <row r="8" spans="1:17">
      <c r="A8" s="476" t="s">
        <v>638</v>
      </c>
      <c r="B8" s="477">
        <f>industrie!B18</f>
        <v>5499.9168526459998</v>
      </c>
      <c r="C8" s="477">
        <f>industrie!C18</f>
        <v>0</v>
      </c>
      <c r="D8" s="477">
        <f>industrie!D18</f>
        <v>9613.570616985764</v>
      </c>
      <c r="E8" s="477">
        <f>industrie!E18</f>
        <v>451.31892462072454</v>
      </c>
      <c r="F8" s="477">
        <f>industrie!F18</f>
        <v>2077.9707275698538</v>
      </c>
      <c r="G8" s="477">
        <f>industrie!G18</f>
        <v>0</v>
      </c>
      <c r="H8" s="477">
        <f>industrie!H18</f>
        <v>0</v>
      </c>
      <c r="I8" s="477">
        <f>industrie!I18</f>
        <v>0</v>
      </c>
      <c r="J8" s="477">
        <f>industrie!J18</f>
        <v>8.4257162111840547</v>
      </c>
      <c r="K8" s="477">
        <f>industrie!K18</f>
        <v>0</v>
      </c>
      <c r="L8" s="477">
        <f>industrie!L18</f>
        <v>0</v>
      </c>
      <c r="M8" s="477">
        <f>industrie!M18</f>
        <v>0</v>
      </c>
      <c r="N8" s="477">
        <f>industrie!N18</f>
        <v>1769.3386032709282</v>
      </c>
      <c r="O8" s="477">
        <f>industrie!O18</f>
        <v>0</v>
      </c>
      <c r="P8" s="478">
        <f>industrie!P18</f>
        <v>0</v>
      </c>
      <c r="Q8" s="476">
        <f t="shared" si="0"/>
        <v>19420.541441304453</v>
      </c>
    </row>
    <row r="9" spans="1:17" s="482" customFormat="1">
      <c r="A9" s="480" t="s">
        <v>564</v>
      </c>
      <c r="B9" s="481">
        <f>transport!B14</f>
        <v>57.983245068690721</v>
      </c>
      <c r="C9" s="481">
        <f>transport!C14</f>
        <v>0</v>
      </c>
      <c r="D9" s="481">
        <f>transport!D14</f>
        <v>122.89361201900516</v>
      </c>
      <c r="E9" s="481">
        <f>transport!E14</f>
        <v>574.36440897946397</v>
      </c>
      <c r="F9" s="481">
        <f>transport!F14</f>
        <v>0</v>
      </c>
      <c r="G9" s="481">
        <f>transport!G14</f>
        <v>196011.96050128815</v>
      </c>
      <c r="H9" s="481">
        <f>transport!H14</f>
        <v>34320.717904335434</v>
      </c>
      <c r="I9" s="481">
        <f>transport!I14</f>
        <v>0</v>
      </c>
      <c r="J9" s="481">
        <f>transport!J14</f>
        <v>0</v>
      </c>
      <c r="K9" s="481">
        <f>transport!K14</f>
        <v>0</v>
      </c>
      <c r="L9" s="481">
        <f>transport!L14</f>
        <v>0</v>
      </c>
      <c r="M9" s="481">
        <f>transport!M14</f>
        <v>7203.5268232939643</v>
      </c>
      <c r="N9" s="481">
        <f>transport!N14</f>
        <v>0</v>
      </c>
      <c r="O9" s="481">
        <f>transport!O14</f>
        <v>0</v>
      </c>
      <c r="P9" s="481">
        <f>transport!P14</f>
        <v>0</v>
      </c>
      <c r="Q9" s="480">
        <f>SUM(B9:P9)</f>
        <v>238291.44649498473</v>
      </c>
    </row>
    <row r="10" spans="1:17">
      <c r="A10" s="476" t="s">
        <v>554</v>
      </c>
      <c r="B10" s="477">
        <f>transport!B54</f>
        <v>361.72600324260401</v>
      </c>
      <c r="C10" s="477">
        <f>transport!C54</f>
        <v>0</v>
      </c>
      <c r="D10" s="477">
        <f>transport!D54</f>
        <v>0</v>
      </c>
      <c r="E10" s="477">
        <f>transport!E54</f>
        <v>0</v>
      </c>
      <c r="F10" s="477">
        <f>transport!F54</f>
        <v>0</v>
      </c>
      <c r="G10" s="477">
        <f>transport!G54</f>
        <v>1049.0084978939462</v>
      </c>
      <c r="H10" s="477">
        <f>transport!H54</f>
        <v>0</v>
      </c>
      <c r="I10" s="477">
        <f>transport!I54</f>
        <v>0</v>
      </c>
      <c r="J10" s="477">
        <f>transport!J54</f>
        <v>0</v>
      </c>
      <c r="K10" s="477">
        <f>transport!K54</f>
        <v>0</v>
      </c>
      <c r="L10" s="477">
        <f>transport!L54</f>
        <v>0</v>
      </c>
      <c r="M10" s="477">
        <f>transport!M54</f>
        <v>32.537896781648428</v>
      </c>
      <c r="N10" s="477">
        <f>transport!N54</f>
        <v>0</v>
      </c>
      <c r="O10" s="477">
        <f>transport!O54</f>
        <v>0</v>
      </c>
      <c r="P10" s="478">
        <f>transport!P54</f>
        <v>0</v>
      </c>
      <c r="Q10" s="476">
        <f t="shared" si="0"/>
        <v>1443.2723979181987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519.04459101999998</v>
      </c>
      <c r="C14" s="484"/>
      <c r="D14" s="484">
        <f>'SEAP template'!E25</f>
        <v>4386.5707851999996</v>
      </c>
      <c r="E14" s="484"/>
      <c r="F14" s="484"/>
      <c r="G14" s="484"/>
      <c r="H14" s="484"/>
      <c r="I14" s="484"/>
      <c r="J14" s="484"/>
      <c r="K14" s="484"/>
      <c r="L14" s="484"/>
      <c r="M14" s="484"/>
      <c r="N14" s="484"/>
      <c r="O14" s="484"/>
      <c r="P14" s="485"/>
      <c r="Q14" s="476">
        <f t="shared" si="0"/>
        <v>4905.6153762199992</v>
      </c>
    </row>
    <row r="15" spans="1:17" s="486" customFormat="1">
      <c r="A15" s="1038" t="s">
        <v>558</v>
      </c>
      <c r="B15" s="978">
        <f ca="1">SUM(B4:B14)</f>
        <v>41332.1216114653</v>
      </c>
      <c r="C15" s="978">
        <f t="shared" ref="C15:Q15" ca="1" si="1">SUM(C4:C14)</f>
        <v>0</v>
      </c>
      <c r="D15" s="978">
        <f t="shared" ca="1" si="1"/>
        <v>87450.538846636409</v>
      </c>
      <c r="E15" s="978">
        <f t="shared" si="1"/>
        <v>2468.0588355192299</v>
      </c>
      <c r="F15" s="978">
        <f t="shared" ca="1" si="1"/>
        <v>6830.3389973378462</v>
      </c>
      <c r="G15" s="978">
        <f t="shared" si="1"/>
        <v>197060.96899918211</v>
      </c>
      <c r="H15" s="978">
        <f t="shared" si="1"/>
        <v>34320.717904335434</v>
      </c>
      <c r="I15" s="978">
        <f t="shared" si="1"/>
        <v>0</v>
      </c>
      <c r="J15" s="978">
        <f t="shared" si="1"/>
        <v>46.634964061918787</v>
      </c>
      <c r="K15" s="978">
        <f t="shared" si="1"/>
        <v>0</v>
      </c>
      <c r="L15" s="978">
        <f t="shared" ca="1" si="1"/>
        <v>0</v>
      </c>
      <c r="M15" s="978">
        <f t="shared" si="1"/>
        <v>7236.064720075613</v>
      </c>
      <c r="N15" s="978">
        <f t="shared" ca="1" si="1"/>
        <v>10031.443695512204</v>
      </c>
      <c r="O15" s="978">
        <f t="shared" si="1"/>
        <v>161.02333333333334</v>
      </c>
      <c r="P15" s="978">
        <f t="shared" si="1"/>
        <v>400.40000000000003</v>
      </c>
      <c r="Q15" s="978">
        <f t="shared" ca="1" si="1"/>
        <v>387338.31190745946</v>
      </c>
    </row>
    <row r="17" spans="1:17">
      <c r="A17" s="487" t="s">
        <v>559</v>
      </c>
      <c r="B17" s="786">
        <f ca="1">huishoudens!B10</f>
        <v>0.13906854957038128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2762.1580147234986</v>
      </c>
      <c r="C22" s="477">
        <f t="shared" ref="C22:C32" ca="1" si="3">C4*$C$17</f>
        <v>0</v>
      </c>
      <c r="D22" s="477">
        <f t="shared" ref="D22:D32" si="4">D4*$D$17</f>
        <v>9710.2855544253252</v>
      </c>
      <c r="E22" s="477">
        <f t="shared" ref="E22:E32" si="5">E4*$E$17</f>
        <v>269.44020747051849</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12741.883776619341</v>
      </c>
    </row>
    <row r="23" spans="1:17">
      <c r="A23" s="476" t="s">
        <v>156</v>
      </c>
      <c r="B23" s="477">
        <f t="shared" ca="1" si="2"/>
        <v>1933.6992072983874</v>
      </c>
      <c r="C23" s="477">
        <f t="shared" ca="1" si="3"/>
        <v>0</v>
      </c>
      <c r="D23" s="477">
        <f t="shared" ca="1" si="4"/>
        <v>4704.2796846325682</v>
      </c>
      <c r="E23" s="477">
        <f t="shared" si="5"/>
        <v>56.425466228613189</v>
      </c>
      <c r="F23" s="477">
        <f t="shared" ca="1" si="6"/>
        <v>1009.8593885942488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7704.2637467538179</v>
      </c>
    </row>
    <row r="24" spans="1:17">
      <c r="A24" s="476" t="s">
        <v>194</v>
      </c>
      <c r="B24" s="477">
        <f t="shared" ca="1" si="2"/>
        <v>119.81423074526285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119.81423074526285</v>
      </c>
    </row>
    <row r="25" spans="1:17">
      <c r="A25" s="476" t="s">
        <v>112</v>
      </c>
      <c r="B25" s="477">
        <f t="shared" ca="1" si="2"/>
        <v>36.910156111335468</v>
      </c>
      <c r="C25" s="477">
        <f t="shared" ca="1" si="3"/>
        <v>0</v>
      </c>
      <c r="D25" s="477">
        <f t="shared" si="4"/>
        <v>397.59053509329874</v>
      </c>
      <c r="E25" s="477">
        <f t="shared" si="5"/>
        <v>1.5535652364907624</v>
      </c>
      <c r="F25" s="477">
        <f t="shared" si="6"/>
        <v>259.02293943380533</v>
      </c>
      <c r="G25" s="477">
        <f t="shared" si="7"/>
        <v>0</v>
      </c>
      <c r="H25" s="477">
        <f t="shared" si="8"/>
        <v>0</v>
      </c>
      <c r="I25" s="477">
        <f t="shared" si="9"/>
        <v>0</v>
      </c>
      <c r="J25" s="477">
        <f t="shared" si="10"/>
        <v>13.526073739160095</v>
      </c>
      <c r="K25" s="477">
        <f t="shared" si="11"/>
        <v>0</v>
      </c>
      <c r="L25" s="477">
        <f t="shared" si="12"/>
        <v>0</v>
      </c>
      <c r="M25" s="477">
        <f t="shared" si="13"/>
        <v>0</v>
      </c>
      <c r="N25" s="477">
        <f t="shared" si="14"/>
        <v>0</v>
      </c>
      <c r="O25" s="477">
        <f t="shared" si="15"/>
        <v>0</v>
      </c>
      <c r="P25" s="478">
        <f t="shared" si="16"/>
        <v>0</v>
      </c>
      <c r="Q25" s="476">
        <f t="shared" ca="1" si="17"/>
        <v>708.60326961409044</v>
      </c>
    </row>
    <row r="26" spans="1:17">
      <c r="A26" s="476" t="s">
        <v>638</v>
      </c>
      <c r="B26" s="477">
        <f t="shared" ca="1" si="2"/>
        <v>764.8654594551756</v>
      </c>
      <c r="C26" s="477">
        <f t="shared" ca="1" si="3"/>
        <v>0</v>
      </c>
      <c r="D26" s="477">
        <f t="shared" si="4"/>
        <v>1941.9412646311243</v>
      </c>
      <c r="E26" s="477">
        <f t="shared" si="5"/>
        <v>102.44939588890448</v>
      </c>
      <c r="F26" s="477">
        <f t="shared" si="6"/>
        <v>554.81818426115103</v>
      </c>
      <c r="G26" s="477">
        <f t="shared" si="7"/>
        <v>0</v>
      </c>
      <c r="H26" s="477">
        <f t="shared" si="8"/>
        <v>0</v>
      </c>
      <c r="I26" s="477">
        <f t="shared" si="9"/>
        <v>0</v>
      </c>
      <c r="J26" s="477">
        <f t="shared" si="10"/>
        <v>2.9827035387591554</v>
      </c>
      <c r="K26" s="477">
        <f t="shared" si="11"/>
        <v>0</v>
      </c>
      <c r="L26" s="477">
        <f t="shared" si="12"/>
        <v>0</v>
      </c>
      <c r="M26" s="477">
        <f t="shared" si="13"/>
        <v>0</v>
      </c>
      <c r="N26" s="477">
        <f t="shared" si="14"/>
        <v>0</v>
      </c>
      <c r="O26" s="477">
        <f t="shared" si="15"/>
        <v>0</v>
      </c>
      <c r="P26" s="478">
        <f t="shared" si="16"/>
        <v>0</v>
      </c>
      <c r="Q26" s="476">
        <f t="shared" ca="1" si="17"/>
        <v>3367.0570077751149</v>
      </c>
    </row>
    <row r="27" spans="1:17" s="482" customFormat="1">
      <c r="A27" s="480" t="s">
        <v>564</v>
      </c>
      <c r="B27" s="780">
        <f t="shared" ca="1" si="2"/>
        <v>8.0636457910867811</v>
      </c>
      <c r="C27" s="481">
        <f t="shared" ca="1" si="3"/>
        <v>0</v>
      </c>
      <c r="D27" s="481">
        <f t="shared" si="4"/>
        <v>24.824509627839046</v>
      </c>
      <c r="E27" s="481">
        <f t="shared" si="5"/>
        <v>130.38072083833833</v>
      </c>
      <c r="F27" s="481">
        <f t="shared" si="6"/>
        <v>0</v>
      </c>
      <c r="G27" s="481">
        <f t="shared" si="7"/>
        <v>52335.193453843938</v>
      </c>
      <c r="H27" s="481">
        <f t="shared" si="8"/>
        <v>8545.8587581795236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61044.321088280725</v>
      </c>
    </row>
    <row r="28" spans="1:17">
      <c r="A28" s="476" t="s">
        <v>554</v>
      </c>
      <c r="B28" s="477">
        <f t="shared" ca="1" si="2"/>
        <v>50.304710612839976</v>
      </c>
      <c r="C28" s="477">
        <f t="shared" ca="1" si="3"/>
        <v>0</v>
      </c>
      <c r="D28" s="477">
        <f t="shared" si="4"/>
        <v>0</v>
      </c>
      <c r="E28" s="477">
        <f t="shared" si="5"/>
        <v>0</v>
      </c>
      <c r="F28" s="477">
        <f t="shared" si="6"/>
        <v>0</v>
      </c>
      <c r="G28" s="477">
        <f t="shared" si="7"/>
        <v>280.08526893768368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330.38997955052366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72.182778435503153</v>
      </c>
      <c r="C32" s="477">
        <f t="shared" ca="1" si="3"/>
        <v>0</v>
      </c>
      <c r="D32" s="477">
        <f t="shared" si="4"/>
        <v>886.08729861040001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958.27007704590312</v>
      </c>
    </row>
    <row r="33" spans="1:17" s="486" customFormat="1">
      <c r="A33" s="1038" t="s">
        <v>558</v>
      </c>
      <c r="B33" s="978">
        <f ca="1">SUM(B22:B32)</f>
        <v>5747.9982031730888</v>
      </c>
      <c r="C33" s="978">
        <f t="shared" ref="C33:Q33" ca="1" si="18">SUM(C22:C32)</f>
        <v>0</v>
      </c>
      <c r="D33" s="978">
        <f t="shared" ca="1" si="18"/>
        <v>17665.008847020559</v>
      </c>
      <c r="E33" s="978">
        <f t="shared" si="18"/>
        <v>560.24935566286524</v>
      </c>
      <c r="F33" s="978">
        <f t="shared" ca="1" si="18"/>
        <v>1823.7005122892051</v>
      </c>
      <c r="G33" s="978">
        <f t="shared" si="18"/>
        <v>52615.278722781622</v>
      </c>
      <c r="H33" s="978">
        <f t="shared" si="18"/>
        <v>8545.8587581795236</v>
      </c>
      <c r="I33" s="978">
        <f t="shared" si="18"/>
        <v>0</v>
      </c>
      <c r="J33" s="978">
        <f t="shared" si="18"/>
        <v>16.508777277919251</v>
      </c>
      <c r="K33" s="978">
        <f t="shared" si="18"/>
        <v>0</v>
      </c>
      <c r="L33" s="978">
        <f t="shared" ca="1" si="18"/>
        <v>0</v>
      </c>
      <c r="M33" s="978">
        <f t="shared" si="18"/>
        <v>0</v>
      </c>
      <c r="N33" s="978">
        <f t="shared" ca="1" si="18"/>
        <v>0</v>
      </c>
      <c r="O33" s="978">
        <f t="shared" si="18"/>
        <v>0</v>
      </c>
      <c r="P33" s="978">
        <f t="shared" si="18"/>
        <v>0</v>
      </c>
      <c r="Q33" s="978">
        <f t="shared" ca="1" si="18"/>
        <v>86974.603176384786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12170.573935654025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3152.5060324941278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15323.079968148153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0.13906854957038128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0.13906854957038128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2019-08-12T08:25:37Z</dcterms:modified>
</cp:coreProperties>
</file>