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<sst xmlns="http://schemas.openxmlformats.org/spreadsheetml/2006/main" count="2408" uniqueCount="899">
  <si>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</si>
  <si>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</si>
  <si>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</si>
  <si>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</si>
  <si>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</si>
  <si>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</si>
  <si>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</si>
  <si>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</si>
  <si>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</si>
  <si>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</si>
  <si>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</si>
  <si>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</si>
  <si>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</si>
  <si>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</si>
  <si>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</si>
  <si>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</si>
  <si>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</si>
  <si>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</si>
  <si>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</si>
  <si>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</si>
  <si>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</si>
  <si>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</si>
  <si>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</si>
  <si>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</si>
  <si>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</si>
  <si>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</si>
  <si>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</si>
  <si>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</si>
  <si>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</si>
  <si>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</si>
  <si>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</si>
  <si>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</si>
  <si>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</si>
  <si>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</si>
  <si>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</si>
  <si>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</si>
  <si>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</si>
  <si>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</si>
  <si>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</si>
  <si>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</si>
  <si>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</si>
  <si>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</si>
  <si>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</si>
  <si>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</si>
  <si>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</si>
  <si>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</si>
  <si>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</si>
  <si>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</si>
  <si>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</si>
  <si>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</si>
  <si>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</si>
  <si>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</si>
  <si>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</si>
  <si>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</si>
  <si>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</si>
  <si>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</si>
  <si>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</si>
  <si>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</si>
  <si>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</si>
  <si>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</si>
  <si>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</si>
  <si>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</si>
  <si>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</si>
  <si>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</si>
  <si>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</si>
  <si>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</si>
  <si>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</si>
  <si>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</si>
  <si>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</si>
  <si>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</si>
  <si>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</si>
  <si>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</si>
  <si>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</si>
  <si>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</si>
  <si>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</si>
  <si>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</si>
  <si>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</si>
  <si>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</si>
  <si>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</si>
  <si>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</si>
  <si>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</si>
  <si>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</si>
  <si>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</si>
  <si>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</si>
  <si>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</si>
  <si>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</si>
  <si>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</si>
  <si>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</si>
  <si>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</si>
  <si>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</si>
  <si>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</si>
  <si>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</si>
  <si>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</si>
  <si>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</si>
  <si>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</si>
  <si>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</si>
  <si>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</si>
  <si>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</si>
  <si>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</si>
  <si>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</si>
  <si>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</si>
  <si>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</si>
  <si>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</si>
  <si>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</si>
  <si>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</si>
  <si>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</si>
  <si>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</si>
  <si>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</si>
  <si>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</si>
  <si>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</si>
  <si>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</si>
  <si>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</si>
  <si>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</si>
  <si>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</si>
  <si>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</si>
  <si>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</si>
  <si>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</si>
  <si>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</si>
  <si>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</si>
  <si>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</si>
  <si>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</si>
  <si>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</si>
  <si>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</si>
  <si>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</si>
  <si>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</si>
  <si>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</si>
  <si>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</si>
  <si>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</si>
  <si>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</si>
  <si>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</si>
  <si>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</si>
  <si>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</si>
  <si>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</si>
  <si>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</si>
  <si>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</si>
  <si>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</si>
  <si>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</si>
  <si>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</si>
  <si>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</si>
  <si>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</si>
  <si>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</si>
  <si>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</si>
  <si>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</si>
  <si>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</si>
  <si>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</si>
  <si>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</si>
  <si>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</si>
  <si>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</si>
  <si>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</si>
  <si>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</si>
  <si>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</si>
  <si>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</si>
  <si>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</si>
  <si>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</si>
  <si>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</si>
  <si>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</si>
  <si>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</si>
  <si>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</si>
  <si>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</si>
  <si>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</si>
  <si>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</si>
  <si>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</si>
  <si>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</si>
  <si>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</si>
  <si>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</si>
  <si>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</si>
  <si>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</si>
  <si>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</si>
  <si>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</si>
  <si>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</si>
  <si>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</si>
  <si>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</si>
  <si>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</si>
  <si>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</si>
  <si>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</si>
  <si>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</si>
  <si>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</si>
  <si>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</si>
  <si>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</si>
  <si>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</si>
  <si>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</si>
  <si>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</si>
  <si>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</si>
  <si>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</si>
  <si>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</si>
  <si>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</si>
  <si>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</si>
  <si>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</si>
  <si>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</si>
  <si>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</si>
  <si>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</si>
  <si>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</si>
  <si>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</si>
  <si>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</si>
  <si>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</si>
  <si>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</si>
  <si>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</si>
  <si>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</si>
  <si>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</si>
  <si>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</si>
  <si>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</si>
  <si>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</si>
  <si>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</si>
  <si>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</si>
  <si>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</si>
  <si>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</si>
  <si>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</si>
  <si>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</si>
  <si>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</si>
  <si>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</si>
  <si>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</si>
  <si>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</si>
  <si>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</si>
  <si>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</si>
  <si>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</si>
  <si>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</si>
  <si>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</si>
  <si>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</si>
  <si>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</si>
  <si>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</si>
  <si>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</si>
  <si>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</si>
  <si>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</si>
  <si>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</si>
  <si>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</si>
  <si>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</si>
  <si>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</si>
  <si>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</si>
  <si>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</si>
  <si>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</si>
  <si>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</si>
  <si>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</si>
  <si>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</si>
  <si>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</si>
  <si>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</si>
  <si>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</si>
  <si>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</si>
  <si>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</si>
  <si>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</si>
  <si>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</si>
  <si>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</si>
  <si>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</si>
  <si>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</si>
  <si>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</si>
  <si>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</si>
  <si>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</si>
  <si>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</si>
  <si>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</si>
  <si>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</si>
  <si>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</si>
  <si>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</si>
  <si>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</si>
  <si>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</si>
  <si>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</si>
  <si>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</si>
  <si>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</si>
  <si>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</si>
  <si>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</si>
  <si>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</si>
  <si>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</si>
  <si>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</si>
  <si>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</si>
  <si>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</si>
  <si>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</si>
  <si>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</si>
  <si>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</si>
  <si>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</si>
  <si>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</si>
  <si>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</si>
  <si>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</si>
  <si>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</si>
  <si>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</si>
  <si>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</si>
  <si>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</si>
  <si>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</si>
  <si>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</si>
  <si>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</si>
  <si>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</si>
  <si>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</si>
  <si>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</si>
  <si>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</si>
  <si>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</si>
  <si>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</si>
  <si>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</si>
  <si>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</si>
  <si>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</si>
  <si>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</si>
  <si>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</si>
  <si>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</si>
  <si>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</si>
  <si>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</si>
  <si>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</si>
  <si>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</si>
  <si>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</si>
  <si>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</si>
  <si>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</si>
  <si>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</si>
  <si>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</si>
  <si>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</si>
  <si>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</si>
  <si>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</si>
  <si>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</si>
  <si>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</si>
  <si>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</si>
  <si>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</si>
  <si>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</si>
  <si>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</si>
  <si>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</si>
  <si>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</si>
  <si>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</si>
  <si>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</si>
  <si>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</si>
  <si>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</si>
  <si>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</si>
  <si>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</si>
  <si>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</si>
  <si>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</si>
  <si>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</si>
  <si>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</si>
  <si>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</si>
  <si>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</si>
  <si>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</si>
  <si>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</si>
  <si>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</si>
  <si>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</si>
  <si>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</si>
  <si>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</si>
  <si>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</si>
  <si>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</si>
  <si>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</si>
  <si>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</si>
  <si>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</si>
  <si>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</si>
  <si>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</si>
  <si>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</si>
  <si>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</si>
  <si>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</si>
  <si>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</si>
  <si>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</si>
  <si>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</si>
  <si>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</si>
  <si>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</si>
  <si>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</si>
  <si>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</si>
  <si>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</si>
  <si>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</si>
  <si>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</si>
  <si>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</si>
  <si>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</si>
  <si>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</si>
  <si>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</si>
  <si>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</si>
  <si>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</si>
  <si>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</si>
  <si>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</si>
  <si>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</si>
  <si>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</si>
  <si>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</si>
  <si>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</si>
  <si>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</si>
  <si>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</si>
  <si>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</si>
  <si>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</si>
  <si>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</si>
  <si>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</si>
  <si>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</si>
  <si>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</si>
  <si>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</si>
  <si>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</si>
  <si>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</si>
  <si>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</si>
  <si>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</si>
  <si>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</si>
  <si>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</si>
  <si>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</si>
  <si>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</si>
  <si>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</si>
  <si>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</si>
  <si>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</si>
  <si>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</si>
  <si>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</si>
  <si>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</si>
  <si>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</si>
  <si>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</si>
  <si>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</si>
  <si>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</si>
  <si>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</si>
  <si>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</si>
  <si>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</si>
  <si>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</si>
  <si>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</si>
  <si>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</si>
  <si>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</si>
  <si>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</si>
  <si>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</si>
  <si>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</si>
  <si>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</si>
  <si>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</si>
  <si>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</si>
  <si>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</si>
  <si>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</si>
  <si>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</si>
  <si>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</si>
  <si>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</si>
  <si>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</si>
  <si>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</si>
  <si>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</si>
  <si>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</si>
  <si>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</si>
  <si>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</si>
  <si>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</si>
  <si>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</si>
  <si>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</si>
  <si>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</si>
  <si>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</si>
  <si>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</si>
  <si>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</si>
  <si>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</si>
  <si>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</si>
  <si>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</si>
  <si>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</si>
  <si>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</si>
  <si>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</si>
  <si>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</si>
  <si>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</si>
  <si>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</si>
  <si>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</si>
  <si>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</si>
  <si>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</si>
  <si>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</si>
  <si>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</si>
  <si>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</si>
  <si>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</si>
  <si>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</si>
  <si>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</si>
  <si>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</si>
  <si>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</si>
  <si>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</si>
  <si>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</si>
  <si>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</si>
  <si>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</si>
  <si>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</si>
  <si>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</si>
  <si>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</si>
  <si>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</si>
  <si>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</si>
  <si>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</si>
  <si>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</si>
  <si>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</si>
  <si>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</si>
  <si>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</si>
  <si>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</si>
  <si>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</si>
  <si>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</si>
  <si>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</si>
  <si>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</si>
  <si>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</si>
  <si>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</si>
  <si>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</si>
  <si>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</si>
  <si>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</si>
  <si>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</si>
  <si>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</si>
  <si>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</si>
  <si>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</si>
  <si>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</si>
  <si>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</si>
  <si>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</si>
  <si>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</si>
  <si>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</si>
  <si>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</si>
  <si>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</si>
  <si>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</si>
  <si>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</si>
  <si>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</si>
  <si>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</si>
  <si>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</si>
  <si>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</si>
  <si>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</si>
  <si>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</si>
  <si>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</si>
  <si>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</si>
  <si>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</si>
  <si>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</si>
  <si>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</si>
  <si>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</si>
  <si>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</si>
  <si>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</si>
  <si>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</si>
  <si>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</si>
  <si>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</si>
  <si>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</si>
  <si>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</si>
  <si>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</si>
  <si>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</si>
  <si>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</si>
  <si>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</si>
  <si>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</si>
  <si>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</si>
  <si>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</si>
  <si>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</si>
  <si>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</si>
  <si>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</si>
  <si>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</si>
  <si>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</si>
  <si>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</si>
  <si>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</si>
  <si>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</si>
  <si>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</si>
  <si>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</si>
  <si>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</si>
  <si>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</si>
  <si>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</si>
  <si>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</si>
  <si>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</si>
  <si>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</si>
  <si>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</si>
  <si>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</si>
  <si>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</si>
  <si>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</si>
  <si>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</si>
  <si>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</si>
  <si>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</si>
  <si>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</si>
  <si>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</si>
  <si>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</si>
  <si>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</si>
  <si>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</si>
  <si>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</si>
  <si>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</si>
  <si>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</si>
  <si>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</si>
  <si>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</si>
  <si>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</si>
  <si>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</si>
  <si>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</si>
  <si>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</si>
  <si>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</si>
  <si>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</si>
  <si>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</si>
  <si>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</si>
  <si>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</si>
  <si>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</si>
  <si>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</si>
  <si>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</si>
  <si>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</si>
  <si>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</si>
  <si>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</si>
  <si>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</si>
  <si>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</si>
  <si>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</si>
  <si>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</si>
  <si>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</si>
  <si>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</si>
  <si>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</si>
  <si>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</si>
  <si>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</si>
  <si>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</si>
  <si>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</si>
  <si>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</si>
  <si>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</si>
  <si>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</si>
  <si>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</si>
  <si>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</si>
  <si>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</si>
  <si>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</si>
  <si>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</si>
  <si>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</si>
  <si>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</si>
  <si>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</si>
  <si>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</si>
  <si>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</si>
  <si>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</si>
  <si>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</si>
  <si>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</si>
  <si>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</si>
  <si>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</si>
  <si>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</si>
  <si>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</si>
  <si>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</si>
  <si>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</si>
  <si>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</si>
  <si>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</si>
  <si>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</si>
  <si>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</si>
  <si>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</si>
  <si>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</si>
  <si>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</si>
  <si>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</si>
  <si>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</si>
  <si>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</si>
  <si>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</si>
  <si>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</si>
  <si>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</si>
  <si>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</si>
  <si>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</si>
  <si>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</si>
  <si>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</si>
  <si>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</si>
  <si>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</si>
  <si>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</si>
  <si>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</si>
  <si>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</si>
  <si>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</si>
  <si>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</si>
  <si>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</si>
  <si>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</si>
  <si>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</si>
  <si>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</si>
  <si>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</si>
  <si>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</si>
  <si>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</si>
  <si>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</si>
  <si>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</si>
  <si>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</si>
  <si>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</si>
  <si>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</si>
  <si>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</si>
  <si>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</si>
  <si>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</si>
  <si>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</si>
  <si>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</si>
  <si>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</si>
  <si>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</si>
  <si>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</si>
  <si>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</si>
  <si>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</si>
  <si>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</si>
  <si>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</si>
  <si>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</si>
  <si>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</si>
  <si>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</si>
  <si>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</si>
  <si>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</si>
  <si>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</si>
  <si>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</si>
  <si>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</si>
  <si>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</si>
  <si>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</si>
  <si>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</si>
  <si>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</si>
  <si>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</si>
  <si>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</si>
  <si>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</si>
  <si>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</si>
  <si>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</si>
  <si>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</si>
  <si>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</si>
  <si>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</si>
  <si>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</si>
  <si>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</si>
  <si>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</si>
  <si>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</si>
  <si>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</si>
  <si>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</si>
  <si>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</si>
  <si>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</si>
  <si>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</si>
  <si>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</si>
  <si>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</si>
  <si>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</si>
  <si>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</si>
  <si>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</si>
  <si>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</si>
  <si>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</si>
  <si>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</si>
  <si>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</si>
  <si>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</si>
  <si>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</si>
  <si>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</si>
  <si>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</si>
  <si>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</si>
  <si>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</si>
  <si>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</si>
  <si>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</si>
  <si>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</si>
  <si>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</si>
  <si>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</si>
  <si>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</si>
  <si>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</si>
  <si>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</si>
  <si>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</si>
  <si>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</si>
  <si>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</si>
  <si>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</si>
  <si>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</si>
  <si>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</si>
  <si>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</si>
  <si>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</si>
  <si>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</si>
  <si>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</si>
  <si>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</si>
  <si>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</si>
  <si>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</si>
  <si>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</si>
  <si>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</si>
  <si>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</si>
  <si>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</si>
  <si>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</si>
  <si>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</si>
  <si>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</si>
  <si>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</si>
  <si>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</si>
  <si>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</si>
  <si>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</si>
  <si>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</si>
  <si>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</si>
  <si>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</si>
  <si>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</si>
  <si>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</si>
  <si>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</si>
  <si>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</si>
  <si>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</si>
  <si>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</si>
  <si>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</si>
  <si>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</si>
  <si>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</si>
  <si>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</si>
  <si>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</si>
  <si>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</si>
  <si>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</si>
  <si>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</si>
  <si>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</si>
  <si>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</si>
  <si>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</si>
  <si>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</si>
  <si>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</si>
  <si>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</si>
  <si>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</si>
  <si>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</si>
  <si>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</si>
  <si>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</si>
  <si>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</si>
  <si>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</si>
  <si>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</si>
  <si>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</si>
  <si>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</si>
  <si>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</si>
  <si>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</si>
  <si>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</si>
  <si>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</si>
  <si>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</si>
  <si>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</si>
  <si>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</si>
  <si>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</si>
  <si>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</si>
  <si>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</si>
  <si>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</si>
  <si>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</si>
  <si>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</si>
  <si>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</si>
  <si>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</si>
  <si>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</si>
  <si>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</si>
  <si>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</si>
  <si>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</si>
  <si>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</si>
  <si>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</si>
  <si>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</si>
  <si>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</si>
  <si>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</si>
  <si>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</si>
  <si>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</si>
  <si>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</si>
  <si>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</si>
  <si>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</si>
  <si>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</si>
  <si>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</si>
  <si>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</si>
  <si>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</si>
  <si>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</si>
  <si>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</si>
  <si>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</si>
  <si>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</si>
  <si>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</si>
  <si>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</si>
  <si>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</si>
  <si>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</si>
  <si>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</si>
  <si>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</si>
  <si>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</si>
  <si>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</si>
  <si>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</si>
  <si>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</si>
  <si>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</si>
  <si>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</si>
  <si>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</si>
  <si>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</si>
  <si>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</si>
  <si>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</si>
  <si>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</si>
  <si>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</si>
  <si>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</si>
  <si>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</si>
  <si>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</si>
  <si>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</si>
  <si>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</si>
  <si>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</si>
  <si>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</si>
  <si>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</si>
  <si>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</si>
  <si>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</si>
  <si>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</si>
  <si>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</si>
  <si>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</si>
  <si>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</si>
  <si>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</si>
  <si>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</si>
  <si>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</si>
  <si>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</si>
  <si>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</si>
  <si>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</si>
  <si>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</si>
  <si>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</si>
  <si>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</si>
  <si>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</si>
  <si>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</si>
  <si>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</si>
  <si>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</si>
  <si>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</si>
  <si>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</si>
  <si>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</si>
  <si>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</si>
  <si>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</si>
  <si>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</si>
  <si>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</si>
  <si>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</si>
  <si>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</si>
  <si>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</si>
  <si>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</si>
  <si>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</si>
  <si>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</si>
  <si>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</si>
  <si>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</si>
  <si>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</si>
  <si>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</si>
  <si>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</si>
  <si>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</si>
  <si>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</si>
  <si>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</si>
  <si>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</si>
  <si>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</si>
  <si>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</si>
  <si>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</si>
  <si>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</si>
  <si>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</si>
  <si>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</si>
  <si>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</si>
  <si>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</si>
  <si>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</si>
  <si>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</si>
  <si>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</si>
  <si>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</si>
  <si>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</si>
  <si>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</si>
  <si>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</si>
  <si>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</si>
  <si>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</si>
  <si>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</si>
  <si>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</si>
  <si>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</si>
  <si>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</si>
  <si>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</si>
  <si>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</si>
  <si>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</si>
  <si>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</si>
  <si>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</si>
  <si>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</si>
  <si>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</si>
  <si>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</si>
  <si>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</si>
  <si>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</si>
  <si>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</si>
  <si>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</si>
  <si>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</si>
  <si>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</si>
  <si>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</si>
  <si>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</si>
  <si>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</si>
  <si>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</si>
  <si>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</si>
  <si>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</si>
  <si>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44001</t>
  </si>
  <si>
    <t>AALTER</t>
  </si>
  <si>
    <t>Paarden&amp;pony's 200 - 600 kg</t>
  </si>
  <si>
    <t>Paarden&amp;pony's &lt; 200 kg</t>
  </si>
  <si>
    <t>referentietaak LNE (2017); Jaarverslag De Lijn (2015)</t>
  </si>
  <si>
    <t>op basis van VEA (maart 2018) en Inventaris Hernieuwbare Energiebronnen (juni 2018)</t>
  </si>
  <si>
    <t>VEA (januari 2017)</t>
  </si>
  <si>
    <t>VEA (juni 2018)</t>
  </si>
  <si>
    <t>Bio-N.R.GY nv</t>
  </si>
  <si>
    <t>Northlaan 15 B7.01, 8400 Oostende</t>
  </si>
  <si>
    <t>WKK-0466 Bio-N.R.GY</t>
  </si>
  <si>
    <t>interne verbrandingsmotor</t>
  </si>
  <si>
    <t>WKK interne verbrandinsgmotor (gas)</t>
  </si>
  <si>
    <t>Aalterweg 4 , 9880 Aalter</t>
  </si>
  <si>
    <t>IMEWO</t>
  </si>
  <si>
    <t>WKK-0682 MIG Aalter</t>
  </si>
  <si>
    <t>Watermolenstraat 1 , 9880 Aalter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</si>
</sst>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156029.52961464773</c:v>
                </c:pt>
                <c:pt idx="1">
                  <c:v>61191.652510952896</c:v>
                </c:pt>
                <c:pt idx="2">
                  <c:v>2069.902</c:v>
                </c:pt>
                <c:pt idx="3">
                  <c:v>57614.150805582649</c:v>
                </c:pt>
                <c:pt idx="4">
                  <c:v>329726.24889826227</c:v>
                </c:pt>
                <c:pt idx="5">
                  <c:v>520324.45343205391</c:v>
                </c:pt>
                <c:pt idx="6">
                  <c:v>688.89213172525194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5824"/>
        <c:axId val="131647360"/>
      </c:barChart>
      <c:catAx>
        <c:axId val="131645824"/>
        <c:scaling>
          <c:orientation val="minMax"/>
        </c:scaling>
        <c:axPos val="b"/>
        <c:numFmt formatCode="General" sourceLinked="0"/>
        <c:tickLblPos val="nextTo"/>
        <c:crossAx val="131647360"/>
        <c:crosses val="autoZero"/>
        <c:auto val="1"/>
        <c:lblAlgn val="ctr"/>
        <c:lblOffset val="100"/>
      </c:catAx>
      <c:valAx>
        <c:axId val="131647360"/>
        <c:scaling>
          <c:orientation val="minMax"/>
        </c:scaling>
        <c:axPos val="l"/>
        <c:majorGridlines/>
        <c:numFmt formatCode="#,##0" sourceLinked="1"/>
        <c:tickLblPos val="nextTo"/>
        <c:crossAx val="131645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156029.52961464773</c:v>
                </c:pt>
                <c:pt idx="1">
                  <c:v>61191.652510952896</c:v>
                </c:pt>
                <c:pt idx="2">
                  <c:v>2069.902</c:v>
                </c:pt>
                <c:pt idx="3">
                  <c:v>57614.150805582649</c:v>
                </c:pt>
                <c:pt idx="4">
                  <c:v>329726.24889826227</c:v>
                </c:pt>
                <c:pt idx="5">
                  <c:v>520324.45343205391</c:v>
                </c:pt>
                <c:pt idx="6">
                  <c:v>688.89213172525194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28875.866432361989</c:v>
                </c:pt>
                <c:pt idx="2">
                  <c:v>11926.222681919149</c:v>
                </c:pt>
                <c:pt idx="3">
                  <c:v>389.54654809803708</c:v>
                </c:pt>
                <c:pt idx="4">
                  <c:v>9584.5420633997674</c:v>
                </c:pt>
                <c:pt idx="5">
                  <c:v>59121.971213486708</c:v>
                </c:pt>
                <c:pt idx="6">
                  <c:v>133445.37186948466</c:v>
                </c:pt>
                <c:pt idx="7">
                  <c:v>178.40061132208339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28875.866432361989</c:v>
                </c:pt>
                <c:pt idx="2">
                  <c:v>11926.222681919149</c:v>
                </c:pt>
                <c:pt idx="3">
                  <c:v>389.54654809803708</c:v>
                </c:pt>
                <c:pt idx="4">
                  <c:v>9584.5420633997674</c:v>
                </c:pt>
                <c:pt idx="5">
                  <c:v>59121.971213486708</c:v>
                </c:pt>
                <c:pt idx="6">
                  <c:v>133445.37186948466</c:v>
                </c:pt>
                <c:pt idx="7">
                  <c:v>178.40061132208339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44001</v>
      </c>
      <c r="B6" s="415"/>
      <c r="C6" s="416"/>
    </row>
    <row r="7" spans="1:7" s="413" customFormat="1" ht="15.75" customHeight="1">
      <c r="A7" s="417" t="str">
        <f>txtMunicipality</f>
        <v>AALTER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0.18819564795726421</v>
      </c>
      <c r="C17" s="524">
        <f ca="1">'EF ele_warmte'!B22</f>
        <v>1.2589461000716727E-4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0.18819564795726421</v>
      </c>
      <c r="C29" s="525">
        <f ca="1">'EF ele_warmte'!B22</f>
        <v>1.2589461000716727E-4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8261</v>
      </c>
      <c r="C9" s="342">
        <v>8063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4979.1499999999996</v>
      </c>
    </row>
    <row r="15" spans="1:6">
      <c r="A15" s="348" t="s">
        <v>184</v>
      </c>
      <c r="B15" s="334">
        <v>99</v>
      </c>
    </row>
    <row r="16" spans="1:6">
      <c r="A16" s="348" t="s">
        <v>6</v>
      </c>
      <c r="B16" s="334">
        <v>3628</v>
      </c>
    </row>
    <row r="17" spans="1:6">
      <c r="A17" s="348" t="s">
        <v>7</v>
      </c>
      <c r="B17" s="334">
        <v>1470</v>
      </c>
    </row>
    <row r="18" spans="1:6">
      <c r="A18" s="348" t="s">
        <v>8</v>
      </c>
      <c r="B18" s="334">
        <v>3056</v>
      </c>
    </row>
    <row r="19" spans="1:6">
      <c r="A19" s="348" t="s">
        <v>9</v>
      </c>
      <c r="B19" s="334">
        <v>3159</v>
      </c>
    </row>
    <row r="20" spans="1:6">
      <c r="A20" s="348" t="s">
        <v>10</v>
      </c>
      <c r="B20" s="334">
        <v>1800</v>
      </c>
    </row>
    <row r="21" spans="1:6">
      <c r="A21" s="348" t="s">
        <v>11</v>
      </c>
      <c r="B21" s="334">
        <v>27074</v>
      </c>
    </row>
    <row r="22" spans="1:6">
      <c r="A22" s="348" t="s">
        <v>12</v>
      </c>
      <c r="B22" s="334">
        <v>83840</v>
      </c>
    </row>
    <row r="23" spans="1:6">
      <c r="A23" s="348" t="s">
        <v>13</v>
      </c>
      <c r="B23" s="334">
        <v>796</v>
      </c>
    </row>
    <row r="24" spans="1:6">
      <c r="A24" s="348" t="s">
        <v>14</v>
      </c>
      <c r="B24" s="334">
        <v>39</v>
      </c>
    </row>
    <row r="25" spans="1:6">
      <c r="A25" s="348" t="s">
        <v>15</v>
      </c>
      <c r="B25" s="334">
        <v>4831</v>
      </c>
    </row>
    <row r="26" spans="1:6">
      <c r="A26" s="348" t="s">
        <v>16</v>
      </c>
      <c r="B26" s="334">
        <v>464</v>
      </c>
    </row>
    <row r="27" spans="1:6">
      <c r="A27" s="348" t="s">
        <v>17</v>
      </c>
      <c r="B27" s="334">
        <v>2</v>
      </c>
    </row>
    <row r="28" spans="1:6" s="356" customFormat="1">
      <c r="A28" s="355" t="s">
        <v>18</v>
      </c>
      <c r="B28" s="355">
        <v>785823</v>
      </c>
    </row>
    <row r="29" spans="1:6">
      <c r="A29" s="355" t="s">
        <v>884</v>
      </c>
      <c r="B29" s="355">
        <v>206</v>
      </c>
      <c r="C29" s="356"/>
      <c r="D29" s="356"/>
      <c r="E29" s="356"/>
      <c r="F29" s="356"/>
    </row>
    <row r="30" spans="1:6">
      <c r="A30" s="355" t="s">
        <v>885</v>
      </c>
      <c r="B30" s="341">
        <v>53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29691.497252000001</v>
      </c>
    </row>
    <row r="37" spans="1:6">
      <c r="A37" s="348" t="s">
        <v>25</v>
      </c>
      <c r="B37" s="348" t="s">
        <v>28</v>
      </c>
      <c r="C37" s="334">
        <v>0</v>
      </c>
      <c r="D37" s="334">
        <v>0</v>
      </c>
      <c r="E37" s="334">
        <v>0</v>
      </c>
      <c r="F37" s="334">
        <v>0</v>
      </c>
    </row>
    <row r="38" spans="1:6">
      <c r="A38" s="348" t="s">
        <v>25</v>
      </c>
      <c r="B38" s="348" t="s">
        <v>29</v>
      </c>
      <c r="C38" s="334">
        <v>0</v>
      </c>
      <c r="D38" s="334">
        <v>0</v>
      </c>
      <c r="E38" s="334">
        <v>3</v>
      </c>
      <c r="F38" s="334">
        <v>94939.976330999998</v>
      </c>
    </row>
    <row r="39" spans="1:6">
      <c r="A39" s="348" t="s">
        <v>30</v>
      </c>
      <c r="B39" s="348" t="s">
        <v>31</v>
      </c>
      <c r="C39" s="334">
        <v>3818</v>
      </c>
      <c r="D39" s="334">
        <v>54393230.82</v>
      </c>
      <c r="E39" s="334">
        <v>7685</v>
      </c>
      <c r="F39" s="334">
        <v>35560472.233999997</v>
      </c>
    </row>
    <row r="40" spans="1:6">
      <c r="A40" s="348" t="s">
        <v>30</v>
      </c>
      <c r="B40" s="348" t="s">
        <v>29</v>
      </c>
      <c r="C40" s="334">
        <v>0</v>
      </c>
      <c r="D40" s="334">
        <v>0</v>
      </c>
      <c r="E40" s="334">
        <v>0</v>
      </c>
      <c r="F40" s="334">
        <v>0</v>
      </c>
    </row>
    <row r="41" spans="1:6">
      <c r="A41" s="348" t="s">
        <v>32</v>
      </c>
      <c r="B41" s="348" t="s">
        <v>33</v>
      </c>
      <c r="C41" s="334">
        <v>89</v>
      </c>
      <c r="D41" s="334">
        <v>2131159.5836999998</v>
      </c>
      <c r="E41" s="334">
        <v>264</v>
      </c>
      <c r="F41" s="334">
        <v>2448854.2225000001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70838.443723000004</v>
      </c>
      <c r="E44" s="334">
        <v>27</v>
      </c>
      <c r="F44" s="334">
        <v>1686609.5623000001</v>
      </c>
    </row>
    <row r="45" spans="1:6">
      <c r="A45" s="348" t="s">
        <v>32</v>
      </c>
      <c r="B45" s="348" t="s">
        <v>37</v>
      </c>
      <c r="C45" s="334">
        <v>3</v>
      </c>
      <c r="D45" s="334">
        <v>1685049.9325999999</v>
      </c>
      <c r="E45" s="334">
        <v>4</v>
      </c>
      <c r="F45" s="334">
        <v>943275.92660999997</v>
      </c>
    </row>
    <row r="46" spans="1:6">
      <c r="A46" s="348" t="s">
        <v>32</v>
      </c>
      <c r="B46" s="348" t="s">
        <v>38</v>
      </c>
      <c r="C46" s="334">
        <v>0</v>
      </c>
      <c r="D46" s="334">
        <v>0</v>
      </c>
      <c r="E46" s="334">
        <v>0</v>
      </c>
      <c r="F46" s="334">
        <v>0</v>
      </c>
    </row>
    <row r="47" spans="1:6">
      <c r="A47" s="348" t="s">
        <v>32</v>
      </c>
      <c r="B47" s="348" t="s">
        <v>39</v>
      </c>
      <c r="C47" s="334">
        <v>4</v>
      </c>
      <c r="D47" s="334">
        <v>9161481.6883000005</v>
      </c>
      <c r="E47" s="334">
        <v>5</v>
      </c>
      <c r="F47" s="334">
        <v>7158372.6973000001</v>
      </c>
    </row>
    <row r="48" spans="1:6">
      <c r="A48" s="348" t="s">
        <v>32</v>
      </c>
      <c r="B48" s="348" t="s">
        <v>29</v>
      </c>
      <c r="C48" s="334">
        <v>35</v>
      </c>
      <c r="D48" s="334">
        <v>193397088.34</v>
      </c>
      <c r="E48" s="334">
        <v>49</v>
      </c>
      <c r="F48" s="334">
        <v>5052351.4700999996</v>
      </c>
    </row>
    <row r="49" spans="1:6">
      <c r="A49" s="348" t="s">
        <v>32</v>
      </c>
      <c r="B49" s="348" t="s">
        <v>40</v>
      </c>
      <c r="C49" s="334">
        <v>0</v>
      </c>
      <c r="D49" s="334">
        <v>0</v>
      </c>
      <c r="E49" s="334">
        <v>4</v>
      </c>
      <c r="F49" s="334">
        <v>36662.324288000003</v>
      </c>
    </row>
    <row r="50" spans="1:6">
      <c r="A50" s="348" t="s">
        <v>32</v>
      </c>
      <c r="B50" s="348" t="s">
        <v>41</v>
      </c>
      <c r="C50" s="334">
        <v>12</v>
      </c>
      <c r="D50" s="334">
        <v>4738960.9556999998</v>
      </c>
      <c r="E50" s="334">
        <v>21</v>
      </c>
      <c r="F50" s="334">
        <v>62210717.950000003</v>
      </c>
    </row>
    <row r="51" spans="1:6">
      <c r="A51" s="348" t="s">
        <v>42</v>
      </c>
      <c r="B51" s="348" t="s">
        <v>43</v>
      </c>
      <c r="C51" s="334">
        <v>10</v>
      </c>
      <c r="D51" s="334">
        <v>157459.94148000001</v>
      </c>
      <c r="E51" s="334">
        <v>252</v>
      </c>
      <c r="F51" s="334">
        <v>6291818.5636999998</v>
      </c>
    </row>
    <row r="52" spans="1:6">
      <c r="A52" s="348" t="s">
        <v>42</v>
      </c>
      <c r="B52" s="348" t="s">
        <v>29</v>
      </c>
      <c r="C52" s="334">
        <v>16</v>
      </c>
      <c r="D52" s="334">
        <v>8383498.7302000001</v>
      </c>
      <c r="E52" s="334">
        <v>10</v>
      </c>
      <c r="F52" s="334">
        <v>281807.25549000001</v>
      </c>
    </row>
    <row r="53" spans="1:6">
      <c r="A53" s="348" t="s">
        <v>44</v>
      </c>
      <c r="B53" s="348" t="s">
        <v>45</v>
      </c>
      <c r="C53" s="334">
        <v>103</v>
      </c>
      <c r="D53" s="334">
        <v>1508447.1433999999</v>
      </c>
      <c r="E53" s="334">
        <v>287</v>
      </c>
      <c r="F53" s="334">
        <v>1300159.1140999999</v>
      </c>
    </row>
    <row r="54" spans="1:6">
      <c r="A54" s="348" t="s">
        <v>46</v>
      </c>
      <c r="B54" s="348" t="s">
        <v>47</v>
      </c>
      <c r="C54" s="334">
        <v>0</v>
      </c>
      <c r="D54" s="334">
        <v>0</v>
      </c>
      <c r="E54" s="334">
        <v>4</v>
      </c>
      <c r="F54" s="334">
        <v>2069902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1385529.9966</v>
      </c>
      <c r="E57" s="334">
        <v>93</v>
      </c>
      <c r="F57" s="334">
        <v>2282561.014</v>
      </c>
    </row>
    <row r="58" spans="1:6">
      <c r="A58" s="348" t="s">
        <v>49</v>
      </c>
      <c r="B58" s="348" t="s">
        <v>51</v>
      </c>
      <c r="C58" s="334">
        <v>25</v>
      </c>
      <c r="D58" s="334">
        <v>676170.03408000001</v>
      </c>
      <c r="E58" s="334">
        <v>53</v>
      </c>
      <c r="F58" s="334">
        <v>830230.21629000001</v>
      </c>
    </row>
    <row r="59" spans="1:6">
      <c r="A59" s="348" t="s">
        <v>49</v>
      </c>
      <c r="B59" s="348" t="s">
        <v>52</v>
      </c>
      <c r="C59" s="334">
        <v>89</v>
      </c>
      <c r="D59" s="334">
        <v>3084730.9752000002</v>
      </c>
      <c r="E59" s="334">
        <v>254</v>
      </c>
      <c r="F59" s="334">
        <v>9268493.7732999995</v>
      </c>
    </row>
    <row r="60" spans="1:6">
      <c r="A60" s="348" t="s">
        <v>49</v>
      </c>
      <c r="B60" s="348" t="s">
        <v>53</v>
      </c>
      <c r="C60" s="334">
        <v>84</v>
      </c>
      <c r="D60" s="334">
        <v>5029737.2187999999</v>
      </c>
      <c r="E60" s="334">
        <v>95</v>
      </c>
      <c r="F60" s="334">
        <v>2798942.0548999999</v>
      </c>
    </row>
    <row r="61" spans="1:6">
      <c r="A61" s="348" t="s">
        <v>49</v>
      </c>
      <c r="B61" s="348" t="s">
        <v>54</v>
      </c>
      <c r="C61" s="334">
        <v>113</v>
      </c>
      <c r="D61" s="334">
        <v>2820505.5975000001</v>
      </c>
      <c r="E61" s="334">
        <v>477</v>
      </c>
      <c r="F61" s="334">
        <v>5594345.8671000004</v>
      </c>
    </row>
    <row r="62" spans="1:6">
      <c r="A62" s="348" t="s">
        <v>49</v>
      </c>
      <c r="B62" s="348" t="s">
        <v>55</v>
      </c>
      <c r="C62" s="334">
        <v>5</v>
      </c>
      <c r="D62" s="334">
        <v>661213.11609000002</v>
      </c>
      <c r="E62" s="334">
        <v>13</v>
      </c>
      <c r="F62" s="334">
        <v>130895.01261000001</v>
      </c>
    </row>
    <row r="63" spans="1:6">
      <c r="A63" s="348" t="s">
        <v>49</v>
      </c>
      <c r="B63" s="348" t="s">
        <v>29</v>
      </c>
      <c r="C63" s="334">
        <v>102</v>
      </c>
      <c r="D63" s="334">
        <v>13508960.865</v>
      </c>
      <c r="E63" s="334">
        <v>148</v>
      </c>
      <c r="F63" s="334">
        <v>5959443.7659</v>
      </c>
    </row>
    <row r="64" spans="1:6">
      <c r="A64" s="348" t="s">
        <v>56</v>
      </c>
      <c r="B64" s="348" t="s">
        <v>57</v>
      </c>
      <c r="C64" s="334">
        <v>0</v>
      </c>
      <c r="D64" s="334">
        <v>0</v>
      </c>
      <c r="E64" s="334">
        <v>0</v>
      </c>
      <c r="F64" s="334">
        <v>0</v>
      </c>
    </row>
    <row r="65" spans="1:6">
      <c r="A65" s="348" t="s">
        <v>56</v>
      </c>
      <c r="B65" s="348" t="s">
        <v>29</v>
      </c>
      <c r="C65" s="334">
        <v>2</v>
      </c>
      <c r="D65" s="334">
        <v>25888.436535000001</v>
      </c>
      <c r="E65" s="334">
        <v>4</v>
      </c>
      <c r="F65" s="334">
        <v>24725</v>
      </c>
    </row>
    <row r="66" spans="1:6">
      <c r="A66" s="348" t="s">
        <v>56</v>
      </c>
      <c r="B66" s="348" t="s">
        <v>58</v>
      </c>
      <c r="C66" s="334">
        <v>0</v>
      </c>
      <c r="D66" s="334">
        <v>0</v>
      </c>
      <c r="E66" s="334">
        <v>15</v>
      </c>
      <c r="F66" s="334">
        <v>285329.35181000002</v>
      </c>
    </row>
    <row r="67" spans="1:6">
      <c r="A67" s="355" t="s">
        <v>56</v>
      </c>
      <c r="B67" s="355" t="s">
        <v>59</v>
      </c>
      <c r="C67" s="334">
        <v>0</v>
      </c>
      <c r="D67" s="334">
        <v>0</v>
      </c>
      <c r="E67" s="334">
        <v>0</v>
      </c>
      <c r="F67" s="334">
        <v>0</v>
      </c>
    </row>
    <row r="68" spans="1:6">
      <c r="A68" s="341" t="s">
        <v>56</v>
      </c>
      <c r="B68" s="341" t="s">
        <v>60</v>
      </c>
      <c r="C68" s="334">
        <v>4</v>
      </c>
      <c r="D68" s="334">
        <v>93549.815614000006</v>
      </c>
      <c r="E68" s="334">
        <v>15</v>
      </c>
      <c r="F68" s="334">
        <v>163625.92004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89527062</v>
      </c>
      <c r="E73" s="475">
        <v>103538857.62586872</v>
      </c>
    </row>
    <row r="74" spans="1:6">
      <c r="A74" s="348" t="s">
        <v>64</v>
      </c>
      <c r="B74" s="348" t="s">
        <v>667</v>
      </c>
      <c r="C74" s="1294" t="s">
        <v>669</v>
      </c>
      <c r="D74" s="475">
        <v>12804436.4825728</v>
      </c>
      <c r="E74" s="475">
        <v>14110250.443502299</v>
      </c>
    </row>
    <row r="75" spans="1:6">
      <c r="A75" s="348" t="s">
        <v>65</v>
      </c>
      <c r="B75" s="348" t="s">
        <v>666</v>
      </c>
      <c r="C75" s="1294" t="s">
        <v>670</v>
      </c>
      <c r="D75" s="475">
        <v>36557922</v>
      </c>
      <c r="E75" s="475">
        <v>41292810.475739218</v>
      </c>
    </row>
    <row r="76" spans="1:6">
      <c r="A76" s="348" t="s">
        <v>65</v>
      </c>
      <c r="B76" s="348" t="s">
        <v>667</v>
      </c>
      <c r="C76" s="1294" t="s">
        <v>671</v>
      </c>
      <c r="D76" s="475">
        <v>792745.48257279955</v>
      </c>
      <c r="E76" s="475">
        <v>855766.89248901536</v>
      </c>
    </row>
    <row r="77" spans="1:6">
      <c r="A77" s="348" t="s">
        <v>66</v>
      </c>
      <c r="B77" s="348" t="s">
        <v>666</v>
      </c>
      <c r="C77" s="1294" t="s">
        <v>672</v>
      </c>
      <c r="D77" s="475">
        <v>348091060</v>
      </c>
      <c r="E77" s="475">
        <v>366798915.82304358</v>
      </c>
    </row>
    <row r="78" spans="1:6">
      <c r="A78" s="341" t="s">
        <v>66</v>
      </c>
      <c r="B78" s="341" t="s">
        <v>667</v>
      </c>
      <c r="C78" s="341" t="s">
        <v>673</v>
      </c>
      <c r="D78" s="1295">
        <v>62397305</v>
      </c>
      <c r="E78" s="1295">
        <v>65110681.512430087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185027.03485440079</v>
      </c>
      <c r="C83" s="475">
        <v>185027.03485440079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4726.5695614037959</v>
      </c>
    </row>
    <row r="92" spans="1:6">
      <c r="A92" s="341" t="s">
        <v>69</v>
      </c>
      <c r="B92" s="342">
        <v>5806.3311457622622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1440</v>
      </c>
    </row>
    <row r="98" spans="1:6">
      <c r="A98" s="348" t="s">
        <v>72</v>
      </c>
      <c r="B98" s="334">
        <v>1</v>
      </c>
    </row>
    <row r="99" spans="1:6">
      <c r="A99" s="348" t="s">
        <v>73</v>
      </c>
      <c r="B99" s="334">
        <v>236</v>
      </c>
    </row>
    <row r="100" spans="1:6">
      <c r="A100" s="348" t="s">
        <v>74</v>
      </c>
      <c r="B100" s="334">
        <v>1076</v>
      </c>
    </row>
    <row r="101" spans="1:6">
      <c r="A101" s="348" t="s">
        <v>75</v>
      </c>
      <c r="B101" s="334">
        <v>156</v>
      </c>
    </row>
    <row r="102" spans="1:6">
      <c r="A102" s="348" t="s">
        <v>76</v>
      </c>
      <c r="B102" s="334">
        <v>152</v>
      </c>
    </row>
    <row r="103" spans="1:6">
      <c r="A103" s="348" t="s">
        <v>77</v>
      </c>
      <c r="B103" s="334">
        <v>274</v>
      </c>
    </row>
    <row r="104" spans="1:6">
      <c r="A104" s="348" t="s">
        <v>78</v>
      </c>
      <c r="B104" s="334">
        <v>3449</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43</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267</v>
      </c>
    </row>
    <row r="130" spans="1:6">
      <c r="A130" s="348" t="s">
        <v>295</v>
      </c>
      <c r="B130" s="334">
        <v>9</v>
      </c>
    </row>
    <row r="131" spans="1:6">
      <c r="A131" s="348" t="s">
        <v>296</v>
      </c>
      <c r="B131" s="334">
        <v>9</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156750.35074424846</v>
      </c>
      <c r="C3" s="43" t="s">
        <v>170</v>
      </c>
      <c r="D3" s="43"/>
      <c r="E3" s="154"/>
      <c r="F3" s="43"/>
      <c r="G3" s="43"/>
      <c r="H3" s="43"/>
      <c r="I3" s="43"/>
      <c r="J3" s="43"/>
      <c r="K3" s="96"/>
    </row>
    <row r="4" spans="1:11">
      <c r="A4" s="383" t="s">
        <v>171</v>
      </c>
      <c r="B4" s="49">
        <f>IF(ISERROR('SEAP template'!B78+'SEAP template'!C78),0,'SEAP template'!B78+'SEAP template'!C78)</f>
        <v>23274.65070716606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1.6041176470588234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0.18819564795726421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2.2915966386554625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18202.500000000004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1.2589461000716727E-4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2069.902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2069.902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0.18819564795726421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389.54654809803708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35560.472234000001</v>
      </c>
      <c r="C5" s="17">
        <f>IF(ISERROR('Eigen informatie GS &amp; warmtenet'!B57),0,'Eigen informatie GS &amp; warmtenet'!B57)</f>
        <v>0</v>
      </c>
      <c r="D5" s="30">
        <f>(SUM(HH_hh_gas_kWh,HH_rest_gas_kWh)/1000)*0.902</f>
        <v>49062.694199639998</v>
      </c>
      <c r="E5" s="17">
        <f>B46*B57</f>
        <v>10926.5351937757</v>
      </c>
      <c r="F5" s="17">
        <f>B51*B62</f>
        <v>31859.011336129701</v>
      </c>
      <c r="G5" s="18"/>
      <c r="H5" s="17"/>
      <c r="I5" s="17"/>
      <c r="J5" s="17">
        <f>B50*B61+C50*C61</f>
        <v>1120.5558003773822</v>
      </c>
      <c r="K5" s="17"/>
      <c r="L5" s="17"/>
      <c r="M5" s="17"/>
      <c r="N5" s="17">
        <f>B48*B59+C48*C59</f>
        <v>20512.731289321135</v>
      </c>
      <c r="O5" s="17">
        <f>B69*B70*B71</f>
        <v>487.76000000000005</v>
      </c>
      <c r="P5" s="17">
        <f>B77*B78*B79/1000-B77*B78*B79/1000/B80</f>
        <v>1773.2</v>
      </c>
    </row>
    <row r="6" spans="1:16">
      <c r="A6" s="16" t="s">
        <v>624</v>
      </c>
      <c r="B6" s="788">
        <f>kWh_PV_kleiner_dan_10kW</f>
        <v>4726.5695614037959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40287.041795403798</v>
      </c>
      <c r="C8" s="21">
        <f>C5</f>
        <v>0</v>
      </c>
      <c r="D8" s="21">
        <f>D5</f>
        <v>49062.694199639998</v>
      </c>
      <c r="E8" s="21">
        <f>E5</f>
        <v>10926.5351937757</v>
      </c>
      <c r="F8" s="21">
        <f>F5</f>
        <v>31859.011336129701</v>
      </c>
      <c r="G8" s="21"/>
      <c r="H8" s="21"/>
      <c r="I8" s="21"/>
      <c r="J8" s="21">
        <f>J5</f>
        <v>1120.5558003773822</v>
      </c>
      <c r="K8" s="21"/>
      <c r="L8" s="21">
        <f>L5</f>
        <v>0</v>
      </c>
      <c r="M8" s="21">
        <f>M5</f>
        <v>0</v>
      </c>
      <c r="N8" s="21">
        <f>N5</f>
        <v>20512.731289321135</v>
      </c>
      <c r="O8" s="21">
        <f>O5</f>
        <v>487.76000000000005</v>
      </c>
      <c r="P8" s="21">
        <f>P5</f>
        <v>1773.2</v>
      </c>
    </row>
    <row r="9" spans="1:16">
      <c r="B9" s="19"/>
      <c r="C9" s="19"/>
      <c r="D9" s="258"/>
      <c r="E9" s="19"/>
      <c r="F9" s="19"/>
      <c r="G9" s="19"/>
      <c r="H9" s="19"/>
      <c r="I9" s="19"/>
      <c r="J9" s="19"/>
      <c r="K9" s="19"/>
      <c r="L9" s="19"/>
      <c r="M9" s="19"/>
      <c r="N9" s="19"/>
      <c r="O9" s="19"/>
      <c r="P9" s="19"/>
    </row>
    <row r="10" spans="1:16">
      <c r="A10" s="24" t="s">
        <v>214</v>
      </c>
      <c r="B10" s="25">
        <f ca="1">'EF ele_warmte'!B12</f>
        <v>0.18819564795726421</v>
      </c>
      <c r="C10" s="25">
        <f ca="1">'EF ele_warmte'!B22</f>
        <v>1.2589461000716727E-4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7581.8459349674022</v>
      </c>
      <c r="C12" s="23">
        <f ca="1">C10*C8</f>
        <v>0</v>
      </c>
      <c r="D12" s="23">
        <f>D8*D10</f>
        <v>9910.6642283272795</v>
      </c>
      <c r="E12" s="23">
        <f>E10*E8</f>
        <v>2480.3234889870841</v>
      </c>
      <c r="F12" s="23">
        <f>F10*F8</f>
        <v>8506.356026746631</v>
      </c>
      <c r="G12" s="23"/>
      <c r="H12" s="23"/>
      <c r="I12" s="23"/>
      <c r="J12" s="23">
        <f>J10*J8</f>
        <v>396.6767533335933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1440</v>
      </c>
      <c r="C18" s="166" t="s">
        <v>111</v>
      </c>
      <c r="D18" s="228"/>
      <c r="E18" s="15"/>
    </row>
    <row r="19" spans="1:7">
      <c r="A19" s="171" t="s">
        <v>72</v>
      </c>
      <c r="B19" s="37">
        <f>aantalw2001_ander</f>
        <v>1</v>
      </c>
      <c r="C19" s="166" t="s">
        <v>111</v>
      </c>
      <c r="D19" s="229"/>
      <c r="E19" s="15"/>
    </row>
    <row r="20" spans="1:7">
      <c r="A20" s="171" t="s">
        <v>73</v>
      </c>
      <c r="B20" s="37">
        <f>aantalw2001_propaan</f>
        <v>236</v>
      </c>
      <c r="C20" s="167">
        <f>IF(ISERROR(B20/SUM($B$20,$B$21,$B$22)*100),0,B20/SUM($B$20,$B$21,$B$22)*100)</f>
        <v>16.076294277929154</v>
      </c>
      <c r="D20" s="229"/>
      <c r="E20" s="15"/>
    </row>
    <row r="21" spans="1:7">
      <c r="A21" s="171" t="s">
        <v>74</v>
      </c>
      <c r="B21" s="37">
        <f>aantalw2001_elektriciteit</f>
        <v>1076</v>
      </c>
      <c r="C21" s="167">
        <f>IF(ISERROR(B21/SUM($B$20,$B$21,$B$22)*100),0,B21/SUM($B$20,$B$21,$B$22)*100)</f>
        <v>73.297002724795647</v>
      </c>
      <c r="D21" s="229"/>
      <c r="E21" s="15"/>
    </row>
    <row r="22" spans="1:7">
      <c r="A22" s="171" t="s">
        <v>75</v>
      </c>
      <c r="B22" s="37">
        <f>aantalw2001_hout</f>
        <v>156</v>
      </c>
      <c r="C22" s="167">
        <f>IF(ISERROR(B22/SUM($B$20,$B$21,$B$22)*100),0,B22/SUM($B$20,$B$21,$B$22)*100)</f>
        <v>10.626702997275205</v>
      </c>
      <c r="D22" s="229"/>
      <c r="E22" s="15"/>
    </row>
    <row r="23" spans="1:7">
      <c r="A23" s="171" t="s">
        <v>76</v>
      </c>
      <c r="B23" s="37">
        <f>aantalw2001_niet_gespec</f>
        <v>152</v>
      </c>
      <c r="C23" s="166" t="s">
        <v>111</v>
      </c>
      <c r="D23" s="228"/>
      <c r="E23" s="15"/>
    </row>
    <row r="24" spans="1:7">
      <c r="A24" s="171" t="s">
        <v>77</v>
      </c>
      <c r="B24" s="37">
        <f>aantalw2001_steenkool</f>
        <v>274</v>
      </c>
      <c r="C24" s="166" t="s">
        <v>111</v>
      </c>
      <c r="D24" s="229"/>
      <c r="E24" s="15"/>
    </row>
    <row r="25" spans="1:7">
      <c r="A25" s="171" t="s">
        <v>78</v>
      </c>
      <c r="B25" s="37">
        <f>aantalw2001_stookolie</f>
        <v>3449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8261</v>
      </c>
      <c r="C28" s="36"/>
      <c r="D28" s="228"/>
    </row>
    <row r="29" spans="1:7" s="15" customFormat="1">
      <c r="A29" s="230" t="s">
        <v>699</v>
      </c>
      <c r="B29" s="37">
        <f>SUM(HH_hh_gas_aantal,HH_rest_gas_aantal)</f>
        <v>3818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3818</v>
      </c>
      <c r="C32" s="167">
        <f>IF(ISERROR(B32/SUM($B$32,$B$34,$B$35,$B$36,$B$38,$B$39)*100),0,B32/SUM($B$32,$B$34,$B$35,$B$36,$B$38,$B$39)*100)</f>
        <v>46.743388834476001</v>
      </c>
      <c r="D32" s="233"/>
      <c r="G32" s="15"/>
    </row>
    <row r="33" spans="1:7">
      <c r="A33" s="171" t="s">
        <v>72</v>
      </c>
      <c r="B33" s="34" t="s">
        <v>111</v>
      </c>
      <c r="C33" s="167"/>
      <c r="D33" s="233"/>
      <c r="G33" s="15"/>
    </row>
    <row r="34" spans="1:7">
      <c r="A34" s="171" t="s">
        <v>73</v>
      </c>
      <c r="B34" s="33">
        <f>IF((($B$28-$B$32-$B$39-$B$77-$B$38)*C20/100)&lt;0,0,($B$28-$B$32-$B$39-$B$77-$B$38)*C20/100)</f>
        <v>483.09264305177118</v>
      </c>
      <c r="C34" s="167">
        <f>IF(ISERROR(B34/SUM($B$32,$B$34,$B$35,$B$36,$B$38,$B$39)*100),0,B34/SUM($B$32,$B$34,$B$35,$B$36,$B$38,$B$39)*100)</f>
        <v>5.9144544937778054</v>
      </c>
      <c r="D34" s="233"/>
      <c r="G34" s="15"/>
    </row>
    <row r="35" spans="1:7">
      <c r="A35" s="171" t="s">
        <v>74</v>
      </c>
      <c r="B35" s="33">
        <f>IF((($B$28-$B$32-$B$39-$B$77-$B$38)*C21/100)&lt;0,0,($B$28-$B$32-$B$39-$B$77-$B$38)*C21/100)</f>
        <v>2202.5749318801095</v>
      </c>
      <c r="C35" s="167">
        <f>IF(ISERROR(B35/SUM($B$32,$B$34,$B$35,$B$36,$B$38,$B$39)*100),0,B35/SUM($B$32,$B$34,$B$35,$B$36,$B$38,$B$39)*100)</f>
        <v>26.965902691970001</v>
      </c>
      <c r="D35" s="233"/>
      <c r="G35" s="15"/>
    </row>
    <row r="36" spans="1:7">
      <c r="A36" s="171" t="s">
        <v>75</v>
      </c>
      <c r="B36" s="33">
        <f>IF((($B$28-$B$32-$B$39-$B$77-$B$38)*C22/100)&lt;0,0,($B$28-$B$32-$B$39-$B$77-$B$38)*C22/100)</f>
        <v>319.33242506811996</v>
      </c>
      <c r="C36" s="167">
        <f>IF(ISERROR(B36/SUM($B$32,$B$34,$B$35,$B$36,$B$38,$B$39)*100),0,B36/SUM($B$32,$B$34,$B$35,$B$36,$B$38,$B$39)*100)</f>
        <v>3.90955466537855</v>
      </c>
      <c r="D36" s="233"/>
      <c r="G36" s="15"/>
    </row>
    <row r="37" spans="1:7">
      <c r="A37" s="171" t="s">
        <v>76</v>
      </c>
      <c r="B37" s="34" t="s">
        <v>111</v>
      </c>
      <c r="C37" s="167"/>
      <c r="D37" s="173"/>
      <c r="G37" s="15"/>
    </row>
    <row r="38" spans="1:7">
      <c r="A38" s="171" t="s">
        <v>77</v>
      </c>
      <c r="B38" s="33">
        <f>IF((B24-(B29-B18)*0.1)&lt;0,0,B24-(B29-B18)*0.1)</f>
        <v>36.199999999999989</v>
      </c>
      <c r="C38" s="167">
        <f>IF(ISERROR(B38/SUM($B$32,$B$34,$B$35,$B$36,$B$38,$B$39)*100),0,B38/SUM($B$32,$B$34,$B$35,$B$36,$B$38,$B$39)*100)</f>
        <v>0.44319294809010762</v>
      </c>
      <c r="D38" s="234"/>
      <c r="G38" s="15"/>
    </row>
    <row r="39" spans="1:7">
      <c r="A39" s="171" t="s">
        <v>78</v>
      </c>
      <c r="B39" s="33">
        <f>IF((B25-(B29-B18))&lt;0,0,B25-(B29-B18)*0.9)</f>
        <v>1308.7999999999997</v>
      </c>
      <c r="C39" s="167">
        <f>IF(ISERROR(B39/SUM($B$32,$B$34,$B$35,$B$36,$B$38,$B$39)*100),0,B39/SUM($B$32,$B$34,$B$35,$B$36,$B$38,$B$39)*100)</f>
        <v>16.023506366307537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3818</v>
      </c>
      <c r="C44" s="34" t="s">
        <v>111</v>
      </c>
      <c r="D44" s="174"/>
    </row>
    <row r="45" spans="1:7">
      <c r="A45" s="171" t="s">
        <v>72</v>
      </c>
      <c r="B45" s="33" t="str">
        <f t="shared" si="0"/>
        <v>-</v>
      </c>
      <c r="C45" s="34" t="s">
        <v>111</v>
      </c>
      <c r="D45" s="174"/>
    </row>
    <row r="46" spans="1:7">
      <c r="A46" s="171" t="s">
        <v>73</v>
      </c>
      <c r="B46" s="33">
        <f t="shared" si="0"/>
        <v>483.09264305177118</v>
      </c>
      <c r="C46" s="34" t="s">
        <v>111</v>
      </c>
      <c r="D46" s="174"/>
    </row>
    <row r="47" spans="1:7">
      <c r="A47" s="171" t="s">
        <v>74</v>
      </c>
      <c r="B47" s="33">
        <f t="shared" si="0"/>
        <v>2202.5749318801095</v>
      </c>
      <c r="C47" s="34" t="s">
        <v>111</v>
      </c>
      <c r="D47" s="174"/>
    </row>
    <row r="48" spans="1:7">
      <c r="A48" s="171" t="s">
        <v>75</v>
      </c>
      <c r="B48" s="33">
        <f t="shared" si="0"/>
        <v>319.33242506811996</v>
      </c>
      <c r="C48" s="33">
        <f>B48*10</f>
        <v>3193.3242506811994</v>
      </c>
      <c r="D48" s="234"/>
    </row>
    <row r="49" spans="1:6">
      <c r="A49" s="171" t="s">
        <v>76</v>
      </c>
      <c r="B49" s="33" t="str">
        <f t="shared" si="0"/>
        <v>-</v>
      </c>
      <c r="C49" s="34" t="s">
        <v>111</v>
      </c>
      <c r="D49" s="234"/>
    </row>
    <row r="50" spans="1:6">
      <c r="A50" s="171" t="s">
        <v>77</v>
      </c>
      <c r="B50" s="33">
        <f t="shared" si="0"/>
        <v>36.199999999999989</v>
      </c>
      <c r="C50" s="33">
        <f>B50*2</f>
        <v>72.399999999999977</v>
      </c>
      <c r="D50" s="234"/>
    </row>
    <row r="51" spans="1:6">
      <c r="A51" s="171" t="s">
        <v>78</v>
      </c>
      <c r="B51" s="33">
        <f t="shared" si="0"/>
        <v>1308.7999999999997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26864.911704099999</v>
      </c>
      <c r="C5" s="17">
        <f>IF(ISERROR('Eigen informatie GS &amp; warmtenet'!B58),0,'Eigen informatie GS &amp; warmtenet'!B58)</f>
        <v>0</v>
      </c>
      <c r="D5" s="30">
        <f>SUM(D6:D12)</f>
        <v>24504.496718549541</v>
      </c>
      <c r="E5" s="17">
        <f>SUM(E6:E12)</f>
        <v>567.0869222493252</v>
      </c>
      <c r="F5" s="17">
        <f>SUM(F6:F12)</f>
        <v>6720.4132121049333</v>
      </c>
      <c r="G5" s="18"/>
      <c r="H5" s="17"/>
      <c r="I5" s="17"/>
      <c r="J5" s="17">
        <f>SUM(J6:J12)</f>
        <v>0</v>
      </c>
      <c r="K5" s="17"/>
      <c r="L5" s="17"/>
      <c r="M5" s="17"/>
      <c r="N5" s="17">
        <f>SUM(N6:N12)</f>
        <v>2351.9668110919533</v>
      </c>
      <c r="O5" s="17">
        <f>B38*B39*B40</f>
        <v>14.070000000000002</v>
      </c>
      <c r="P5" s="17">
        <f>B46*B47*B48/1000-B46*B47*B48/1000/B49</f>
        <v>171.6</v>
      </c>
      <c r="R5" s="32"/>
    </row>
    <row r="6" spans="1:18">
      <c r="A6" s="32" t="s">
        <v>54</v>
      </c>
      <c r="B6" s="37">
        <f>B26</f>
        <v>5594.3458671000008</v>
      </c>
      <c r="C6" s="33"/>
      <c r="D6" s="37">
        <f>IF(ISERROR(TER_kantoor_gas_kWh/1000),0,TER_kantoor_gas_kWh/1000)*0.902</f>
        <v>2544.0960489449999</v>
      </c>
      <c r="E6" s="33">
        <f>$C$26*'E Balans VL '!I12/100/3.6*1000000</f>
        <v>73.236878635190479</v>
      </c>
      <c r="F6" s="33">
        <f>$C$26*('E Balans VL '!L12+'E Balans VL '!N12)/100/3.6*1000000</f>
        <v>1426.5003862997894</v>
      </c>
      <c r="G6" s="34"/>
      <c r="H6" s="33"/>
      <c r="I6" s="33"/>
      <c r="J6" s="33">
        <f>$C$26*('E Balans VL '!D12+'E Balans VL '!E12)/100/3.6*1000000</f>
        <v>0</v>
      </c>
      <c r="K6" s="33"/>
      <c r="L6" s="33"/>
      <c r="M6" s="33"/>
      <c r="N6" s="33">
        <f>$C$26*'E Balans VL '!Y12/100/3.6*1000000</f>
        <v>5.6131845271585785</v>
      </c>
      <c r="O6" s="33"/>
      <c r="P6" s="33"/>
      <c r="R6" s="32"/>
    </row>
    <row r="7" spans="1:18">
      <c r="A7" s="32" t="s">
        <v>53</v>
      </c>
      <c r="B7" s="37">
        <f t="shared" ref="B7:B12" si="0">B27</f>
        <v>2798.9420548999997</v>
      </c>
      <c r="C7" s="33"/>
      <c r="D7" s="37">
        <f>IF(ISERROR(TER_horeca_gas_kWh/1000),0,TER_horeca_gas_kWh/1000)*0.902</f>
        <v>4536.8229713576002</v>
      </c>
      <c r="E7" s="33">
        <f>$C$27*'E Balans VL '!I9/100/3.6*1000000</f>
        <v>92.627956623802859</v>
      </c>
      <c r="F7" s="33">
        <f>$C$27*('E Balans VL '!L9+'E Balans VL '!N9)/100/3.6*1000000</f>
        <v>1203.5343567617213</v>
      </c>
      <c r="G7" s="34"/>
      <c r="H7" s="33"/>
      <c r="I7" s="33"/>
      <c r="J7" s="33">
        <f>$C$27*('E Balans VL '!D9+'E Balans VL '!E9)/100/3.6*1000000</f>
        <v>0</v>
      </c>
      <c r="K7" s="33"/>
      <c r="L7" s="33"/>
      <c r="M7" s="33"/>
      <c r="N7" s="33">
        <f>$C$27*'E Balans VL '!Y9/100/3.6*1000000</f>
        <v>0.67374599771349597</v>
      </c>
      <c r="O7" s="33"/>
      <c r="P7" s="33"/>
      <c r="R7" s="32"/>
    </row>
    <row r="8" spans="1:18">
      <c r="A8" s="6" t="s">
        <v>52</v>
      </c>
      <c r="B8" s="37">
        <f t="shared" si="0"/>
        <v>9268.4937732999988</v>
      </c>
      <c r="C8" s="33"/>
      <c r="D8" s="37">
        <f>IF(ISERROR(TER_handel_gas_kWh/1000),0,TER_handel_gas_kWh/1000)*0.902</f>
        <v>2782.4273396304002</v>
      </c>
      <c r="E8" s="33">
        <f>$C$28*'E Balans VL '!I13/100/3.6*1000000</f>
        <v>292.527825322284</v>
      </c>
      <c r="F8" s="33">
        <f>$C$28*('E Balans VL '!L13+'E Balans VL '!N13)/100/3.6*1000000</f>
        <v>1817.7148369866236</v>
      </c>
      <c r="G8" s="34"/>
      <c r="H8" s="33"/>
      <c r="I8" s="33"/>
      <c r="J8" s="33">
        <f>$C$28*('E Balans VL '!D13+'E Balans VL '!E13)/100/3.6*1000000</f>
        <v>0</v>
      </c>
      <c r="K8" s="33"/>
      <c r="L8" s="33"/>
      <c r="M8" s="33"/>
      <c r="N8" s="33">
        <f>$C$28*'E Balans VL '!Y13/100/3.6*1000000</f>
        <v>10.999902652931969</v>
      </c>
      <c r="O8" s="33"/>
      <c r="P8" s="33"/>
      <c r="R8" s="32"/>
    </row>
    <row r="9" spans="1:18">
      <c r="A9" s="32" t="s">
        <v>51</v>
      </c>
      <c r="B9" s="37">
        <f t="shared" si="0"/>
        <v>830.23021629000004</v>
      </c>
      <c r="C9" s="33"/>
      <c r="D9" s="37">
        <f>IF(ISERROR(TER_gezond_gas_kWh/1000),0,TER_gezond_gas_kWh/1000)*0.902</f>
        <v>609.90537074016004</v>
      </c>
      <c r="E9" s="33">
        <f>$C$29*'E Balans VL '!I10/100/3.6*1000000</f>
        <v>0.1062937555311958</v>
      </c>
      <c r="F9" s="33">
        <f>$C$29*('E Balans VL '!L10+'E Balans VL '!N10)/100/3.6*1000000</f>
        <v>172.97175219059071</v>
      </c>
      <c r="G9" s="34"/>
      <c r="H9" s="33"/>
      <c r="I9" s="33"/>
      <c r="J9" s="33">
        <f>$C$29*('E Balans VL '!D10+'E Balans VL '!E10)/100/3.6*1000000</f>
        <v>0</v>
      </c>
      <c r="K9" s="33"/>
      <c r="L9" s="33"/>
      <c r="M9" s="33"/>
      <c r="N9" s="33">
        <f>$C$29*'E Balans VL '!Y10/100/3.6*1000000</f>
        <v>9.7514463087158756</v>
      </c>
      <c r="O9" s="33"/>
      <c r="P9" s="33"/>
      <c r="R9" s="32"/>
    </row>
    <row r="10" spans="1:18">
      <c r="A10" s="32" t="s">
        <v>50</v>
      </c>
      <c r="B10" s="37">
        <f t="shared" si="0"/>
        <v>2282.5610139999999</v>
      </c>
      <c r="C10" s="33"/>
      <c r="D10" s="37">
        <f>IF(ISERROR(TER_ander_gas_kWh/1000),0,TER_ander_gas_kWh/1000)*0.902</f>
        <v>1249.7480569332001</v>
      </c>
      <c r="E10" s="33">
        <f>$C$30*'E Balans VL '!I14/100/3.6*1000000</f>
        <v>3.4324349852531792</v>
      </c>
      <c r="F10" s="33">
        <f>$C$30*('E Balans VL '!L14+'E Balans VL '!N14)/100/3.6*1000000</f>
        <v>503.91589445681433</v>
      </c>
      <c r="G10" s="34"/>
      <c r="H10" s="33"/>
      <c r="I10" s="33"/>
      <c r="J10" s="33">
        <f>$C$30*('E Balans VL '!D14+'E Balans VL '!E14)/100/3.6*1000000</f>
        <v>0</v>
      </c>
      <c r="K10" s="33"/>
      <c r="L10" s="33"/>
      <c r="M10" s="33"/>
      <c r="N10" s="33">
        <f>$C$30*'E Balans VL '!Y14/100/3.6*1000000</f>
        <v>1798.8116895965479</v>
      </c>
      <c r="O10" s="33"/>
      <c r="P10" s="33"/>
      <c r="R10" s="32"/>
    </row>
    <row r="11" spans="1:18">
      <c r="A11" s="32" t="s">
        <v>55</v>
      </c>
      <c r="B11" s="37">
        <f t="shared" si="0"/>
        <v>130.89501261000001</v>
      </c>
      <c r="C11" s="33"/>
      <c r="D11" s="37">
        <f>IF(ISERROR(TER_onderwijs_gas_kWh/1000),0,TER_onderwijs_gas_kWh/1000)*0.902</f>
        <v>596.41423071318002</v>
      </c>
      <c r="E11" s="33">
        <f>$C$31*'E Balans VL '!I11/100/3.6*1000000</f>
        <v>0.23051708617035097</v>
      </c>
      <c r="F11" s="33">
        <f>$C$31*('E Balans VL '!L11+'E Balans VL '!N11)/100/3.6*1000000</f>
        <v>60.436595863372794</v>
      </c>
      <c r="G11" s="34"/>
      <c r="H11" s="33"/>
      <c r="I11" s="33"/>
      <c r="J11" s="33">
        <f>$C$31*('E Balans VL '!D11+'E Balans VL '!E11)/100/3.6*1000000</f>
        <v>0</v>
      </c>
      <c r="K11" s="33"/>
      <c r="L11" s="33"/>
      <c r="M11" s="33"/>
      <c r="N11" s="33">
        <f>$C$31*'E Balans VL '!Y11/100/3.6*1000000</f>
        <v>0.24385921861059373</v>
      </c>
      <c r="O11" s="33"/>
      <c r="P11" s="33"/>
      <c r="R11" s="32"/>
    </row>
    <row r="12" spans="1:18">
      <c r="A12" s="32" t="s">
        <v>260</v>
      </c>
      <c r="B12" s="37">
        <f t="shared" si="0"/>
        <v>5959.4437658999996</v>
      </c>
      <c r="C12" s="33"/>
      <c r="D12" s="37">
        <f>IF(ISERROR(TER_rest_gas_kWh/1000),0,TER_rest_gas_kWh/1000)*0.902</f>
        <v>12185.082700230001</v>
      </c>
      <c r="E12" s="33">
        <f>$C$32*'E Balans VL '!I8/100/3.6*1000000</f>
        <v>104.92501584109311</v>
      </c>
      <c r="F12" s="33">
        <f>$C$32*('E Balans VL '!L8+'E Balans VL '!N8)/100/3.6*1000000</f>
        <v>1535.3393895460222</v>
      </c>
      <c r="G12" s="34"/>
      <c r="H12" s="33"/>
      <c r="I12" s="33"/>
      <c r="J12" s="33">
        <f>$C$32*('E Balans VL '!D8+'E Balans VL '!E8)/100/3.6*1000000</f>
        <v>0</v>
      </c>
      <c r="K12" s="33"/>
      <c r="L12" s="33"/>
      <c r="M12" s="33"/>
      <c r="N12" s="33">
        <f>$C$32*'E Balans VL '!Y8/100/3.6*1000000</f>
        <v>525.87298279027482</v>
      </c>
      <c r="O12" s="33"/>
      <c r="P12" s="33"/>
      <c r="R12" s="32"/>
    </row>
    <row r="13" spans="1:18">
      <c r="A13" s="16" t="s">
        <v>491</v>
      </c>
      <c r="B13" s="247">
        <f ca="1">'lokale energieproductie'!N91+'lokale energieproductie'!N60</f>
        <v>6.7499999999999991</v>
      </c>
      <c r="C13" s="247">
        <f ca="1">'lokale energieproductie'!O91+'lokale energieproductie'!O60</f>
        <v>9.6428571428571423</v>
      </c>
      <c r="D13" s="310">
        <f ca="1">('lokale energieproductie'!P60+'lokale energieproductie'!P91)*(-1)</f>
        <v>-19.285714285714285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26871.661704099999</v>
      </c>
      <c r="C16" s="21">
        <f t="shared" ca="1" si="1"/>
        <v>9.6428571428571423</v>
      </c>
      <c r="D16" s="21">
        <f t="shared" ca="1" si="1"/>
        <v>24485.211004263827</v>
      </c>
      <c r="E16" s="21">
        <f t="shared" si="1"/>
        <v>567.0869222493252</v>
      </c>
      <c r="F16" s="21">
        <f t="shared" ca="1" si="1"/>
        <v>6720.4132121049333</v>
      </c>
      <c r="G16" s="21">
        <f t="shared" si="1"/>
        <v>0</v>
      </c>
      <c r="H16" s="21">
        <f t="shared" si="1"/>
        <v>0</v>
      </c>
      <c r="I16" s="21">
        <f t="shared" si="1"/>
        <v>0</v>
      </c>
      <c r="J16" s="21">
        <f t="shared" si="1"/>
        <v>0</v>
      </c>
      <c r="K16" s="21">
        <f t="shared" si="1"/>
        <v>0</v>
      </c>
      <c r="L16" s="21">
        <f t="shared" ca="1" si="1"/>
        <v>0</v>
      </c>
      <c r="M16" s="21">
        <f t="shared" si="1"/>
        <v>0</v>
      </c>
      <c r="N16" s="21">
        <f t="shared" ca="1" si="1"/>
        <v>2351.9668110919533</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0.18819564795726421</v>
      </c>
      <c r="C18" s="25">
        <f ca="1">'EF ele_warmte'!B22</f>
        <v>1.2589461000716727E-4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5057.129786091502</v>
      </c>
      <c r="C20" s="23">
        <f t="shared" ref="C20:P20" ca="1" si="2">C16*C18</f>
        <v>1.2139837393548272E-3</v>
      </c>
      <c r="D20" s="23">
        <f t="shared" ca="1" si="2"/>
        <v>4946.0126228612935</v>
      </c>
      <c r="E20" s="23">
        <f t="shared" si="2"/>
        <v>128.72873135059683</v>
      </c>
      <c r="F20" s="23">
        <f t="shared" ca="1" si="2"/>
        <v>1794.3503276320173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5594.3458671000008</v>
      </c>
      <c r="C26" s="39">
        <f>IF(ISERROR(B26*3.6/1000000/'E Balans VL '!Z12*100),0,B26*3.6/1000000/'E Balans VL '!Z12*100)</f>
        <v>0.11983523455135192</v>
      </c>
      <c r="D26" s="237" t="s">
        <v>660</v>
      </c>
      <c r="F26" s="6"/>
    </row>
    <row r="27" spans="1:18">
      <c r="A27" s="231" t="s">
        <v>53</v>
      </c>
      <c r="B27" s="33">
        <f>IF(ISERROR(TER_horeca_ele_kWh/1000),0,TER_horeca_ele_kWh/1000)</f>
        <v>2798.9420548999997</v>
      </c>
      <c r="C27" s="39">
        <f>IF(ISERROR(B27*3.6/1000000/'E Balans VL '!Z9*100),0,B27*3.6/1000000/'E Balans VL '!Z9*100)</f>
        <v>0.22460537088244786</v>
      </c>
      <c r="D27" s="237" t="s">
        <v>660</v>
      </c>
      <c r="F27" s="6"/>
    </row>
    <row r="28" spans="1:18">
      <c r="A28" s="171" t="s">
        <v>52</v>
      </c>
      <c r="B28" s="33">
        <f>IF(ISERROR(TER_handel_ele_kWh/1000),0,TER_handel_ele_kWh/1000)</f>
        <v>9268.4937732999988</v>
      </c>
      <c r="C28" s="39">
        <f>IF(ISERROR(B28*3.6/1000000/'E Balans VL '!Z13*100),0,B28*3.6/1000000/'E Balans VL '!Z13*100)</f>
        <v>0.2733674043525246</v>
      </c>
      <c r="D28" s="237" t="s">
        <v>660</v>
      </c>
      <c r="F28" s="6"/>
    </row>
    <row r="29" spans="1:18">
      <c r="A29" s="231" t="s">
        <v>51</v>
      </c>
      <c r="B29" s="33">
        <f>IF(ISERROR(TER_gezond_ele_kWh/1000),0,TER_gezond_ele_kWh/1000)</f>
        <v>830.23021629000004</v>
      </c>
      <c r="C29" s="39">
        <f>IF(ISERROR(B29*3.6/1000000/'E Balans VL '!Z10*100),0,B29*3.6/1000000/'E Balans VL '!Z10*100)</f>
        <v>8.8646327792956142E-2</v>
      </c>
      <c r="D29" s="237" t="s">
        <v>660</v>
      </c>
      <c r="F29" s="6"/>
    </row>
    <row r="30" spans="1:18">
      <c r="A30" s="231" t="s">
        <v>50</v>
      </c>
      <c r="B30" s="33">
        <f>IF(ISERROR(TER_ander_ele_kWh/1000),0,TER_ander_ele_kWh/1000)</f>
        <v>2282.5610139999999</v>
      </c>
      <c r="C30" s="39">
        <f>IF(ISERROR(B30*3.6/1000000/'E Balans VL '!Z14*100),0,B30*3.6/1000000/'E Balans VL '!Z14*100)</f>
        <v>0.1724107966429741</v>
      </c>
      <c r="D30" s="237" t="s">
        <v>660</v>
      </c>
      <c r="F30" s="6"/>
    </row>
    <row r="31" spans="1:18">
      <c r="A31" s="231" t="s">
        <v>55</v>
      </c>
      <c r="B31" s="33">
        <f>IF(ISERROR(TER_onderwijs_ele_kWh/1000),0,TER_onderwijs_ele_kWh/1000)</f>
        <v>130.89501261000001</v>
      </c>
      <c r="C31" s="39">
        <f>IF(ISERROR(B31*3.6/1000000/'E Balans VL '!Z11*100),0,B31*3.6/1000000/'E Balans VL '!Z11*100)</f>
        <v>2.643207265905094E-2</v>
      </c>
      <c r="D31" s="237" t="s">
        <v>660</v>
      </c>
    </row>
    <row r="32" spans="1:18">
      <c r="A32" s="231" t="s">
        <v>260</v>
      </c>
      <c r="B32" s="33">
        <f>IF(ISERROR(TER_rest_ele_kWh/1000),0,TER_rest_ele_kWh/1000)</f>
        <v>5959.4437658999996</v>
      </c>
      <c r="C32" s="39">
        <f>IF(ISERROR(B32*3.6/1000000/'E Balans VL '!Z8*100),0,B32*3.6/1000000/'E Balans VL '!Z8*100)</f>
        <v>4.9412087284888891E-2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9</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79536.844153098005</v>
      </c>
      <c r="C5" s="17">
        <f>IF(ISERROR('Eigen informatie GS &amp; warmtenet'!B59),0,'Eigen informatie GS &amp; warmtenet'!B59)</f>
        <v>0</v>
      </c>
      <c r="D5" s="30">
        <f>SUM(D6:D15)</f>
        <v>190488.49020750879</v>
      </c>
      <c r="E5" s="17">
        <f>SUM(E6:E15)</f>
        <v>2592.1121684166656</v>
      </c>
      <c r="F5" s="17">
        <f>SUM(F6:F15)</f>
        <v>18359.057075717927</v>
      </c>
      <c r="G5" s="18"/>
      <c r="H5" s="17"/>
      <c r="I5" s="17"/>
      <c r="J5" s="17">
        <f>SUM(J6:J15)</f>
        <v>521.2727916792046</v>
      </c>
      <c r="K5" s="17"/>
      <c r="L5" s="17"/>
      <c r="M5" s="17"/>
      <c r="N5" s="17">
        <f>SUM(N6:N15)</f>
        <v>38228.472501841672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1686.6095623000001</v>
      </c>
      <c r="C8" s="33"/>
      <c r="D8" s="37">
        <f>IF( ISERROR(IND_metaal_Gas_kWH/1000),0,IND_metaal_Gas_kWH/1000)*0.902</f>
        <v>63.896276238146001</v>
      </c>
      <c r="E8" s="33">
        <f>C30*'E Balans VL '!I18/100/3.6*1000000</f>
        <v>60.689314391357399</v>
      </c>
      <c r="F8" s="33">
        <f>C30*'E Balans VL '!L18/100/3.6*1000000+C30*'E Balans VL '!N18/100/3.6*1000000</f>
        <v>736.48772185676864</v>
      </c>
      <c r="G8" s="34"/>
      <c r="H8" s="33"/>
      <c r="I8" s="33"/>
      <c r="J8" s="40">
        <f>C30*'E Balans VL '!D18/100/3.6*1000000+C30*'E Balans VL '!E18/100/3.6*1000000</f>
        <v>0</v>
      </c>
      <c r="K8" s="33"/>
      <c r="L8" s="33"/>
      <c r="M8" s="33"/>
      <c r="N8" s="33">
        <f>C30*'E Balans VL '!Y18/100/3.6*1000000</f>
        <v>84.531725089830431</v>
      </c>
      <c r="O8" s="33"/>
      <c r="P8" s="33"/>
      <c r="R8" s="32"/>
    </row>
    <row r="9" spans="1:18">
      <c r="A9" s="6" t="s">
        <v>33</v>
      </c>
      <c r="B9" s="37">
        <f t="shared" si="0"/>
        <v>2448.8542225000001</v>
      </c>
      <c r="C9" s="33"/>
      <c r="D9" s="37">
        <f>IF( ISERROR(IND_andere_gas_kWh/1000),0,IND_andere_gas_kWh/1000)*0.902</f>
        <v>1922.3059444974001</v>
      </c>
      <c r="E9" s="33">
        <f>C31*'E Balans VL '!I19/100/3.6*1000000</f>
        <v>624.89219070332695</v>
      </c>
      <c r="F9" s="33">
        <f>C31*'E Balans VL '!L19/100/3.6*1000000+C31*'E Balans VL '!N19/100/3.6*1000000</f>
        <v>2108.279422533381</v>
      </c>
      <c r="G9" s="34"/>
      <c r="H9" s="33"/>
      <c r="I9" s="33"/>
      <c r="J9" s="40">
        <f>C31*'E Balans VL '!D19/100/3.6*1000000+C31*'E Balans VL '!E19/100/3.6*1000000</f>
        <v>0</v>
      </c>
      <c r="K9" s="33"/>
      <c r="L9" s="33"/>
      <c r="M9" s="33"/>
      <c r="N9" s="33">
        <f>C31*'E Balans VL '!Y19/100/3.6*1000000</f>
        <v>765.84057987416486</v>
      </c>
      <c r="O9" s="33"/>
      <c r="P9" s="33"/>
      <c r="R9" s="32"/>
    </row>
    <row r="10" spans="1:18">
      <c r="A10" s="6" t="s">
        <v>41</v>
      </c>
      <c r="B10" s="37">
        <f t="shared" si="0"/>
        <v>62210.717950000006</v>
      </c>
      <c r="C10" s="33"/>
      <c r="D10" s="37">
        <f>IF( ISERROR(IND_voed_gas_kWh/1000),0,IND_voed_gas_kWh/1000)*0.902</f>
        <v>4274.5427820413997</v>
      </c>
      <c r="E10" s="33">
        <f>C32*'E Balans VL '!I20/100/3.6*1000000</f>
        <v>1581.4818726049602</v>
      </c>
      <c r="F10" s="33">
        <f>C32*'E Balans VL '!L20/100/3.6*1000000+C32*'E Balans VL '!N20/100/3.6*1000000</f>
        <v>14077.351608672141</v>
      </c>
      <c r="G10" s="34"/>
      <c r="H10" s="33"/>
      <c r="I10" s="33"/>
      <c r="J10" s="40">
        <f>C32*'E Balans VL '!D20/100/3.6*1000000+C32*'E Balans VL '!E20/100/3.6*1000000</f>
        <v>0</v>
      </c>
      <c r="K10" s="33"/>
      <c r="L10" s="33"/>
      <c r="M10" s="33"/>
      <c r="N10" s="33">
        <f>C32*'E Balans VL '!Y20/100/3.6*1000000</f>
        <v>23330.705519087907</v>
      </c>
      <c r="O10" s="33"/>
      <c r="P10" s="33"/>
      <c r="R10" s="32"/>
    </row>
    <row r="11" spans="1:18">
      <c r="A11" s="6" t="s">
        <v>40</v>
      </c>
      <c r="B11" s="37">
        <f t="shared" si="0"/>
        <v>36.662324288000001</v>
      </c>
      <c r="C11" s="33"/>
      <c r="D11" s="37">
        <f>IF( ISERROR(IND_textiel_gas_kWh/1000),0,IND_textiel_gas_kWh/1000)*0.902</f>
        <v>0</v>
      </c>
      <c r="E11" s="33">
        <f>C33*'E Balans VL '!I21/100/3.6*1000000</f>
        <v>0.10064793950730196</v>
      </c>
      <c r="F11" s="33">
        <f>C33*'E Balans VL '!L21/100/3.6*1000000+C33*'E Balans VL '!N21/100/3.6*1000000</f>
        <v>1.9436836421566523</v>
      </c>
      <c r="G11" s="34"/>
      <c r="H11" s="33"/>
      <c r="I11" s="33"/>
      <c r="J11" s="40">
        <f>C33*'E Balans VL '!D21/100/3.6*1000000+C33*'E Balans VL '!E21/100/3.6*1000000</f>
        <v>0</v>
      </c>
      <c r="K11" s="33"/>
      <c r="L11" s="33"/>
      <c r="M11" s="33"/>
      <c r="N11" s="33">
        <f>C33*'E Balans VL '!Y21/100/3.6*1000000</f>
        <v>7.3685204841905383E-2</v>
      </c>
      <c r="O11" s="33"/>
      <c r="P11" s="33"/>
      <c r="R11" s="32"/>
    </row>
    <row r="12" spans="1:18">
      <c r="A12" s="6" t="s">
        <v>37</v>
      </c>
      <c r="B12" s="37">
        <f t="shared" si="0"/>
        <v>943.27592660999994</v>
      </c>
      <c r="C12" s="33"/>
      <c r="D12" s="37">
        <f>IF( ISERROR(IND_min_gas_kWh/1000),0,IND_min_gas_kWh/1000)*0.902</f>
        <v>1519.9150392051999</v>
      </c>
      <c r="E12" s="33">
        <f>C34*'E Balans VL '!I22/100/3.6*1000000</f>
        <v>20.042249381380383</v>
      </c>
      <c r="F12" s="33">
        <f>C34*'E Balans VL '!L22/100/3.6*1000000+C34*'E Balans VL '!N22/100/3.6*1000000</f>
        <v>153.90350611688976</v>
      </c>
      <c r="G12" s="34"/>
      <c r="H12" s="33"/>
      <c r="I12" s="33"/>
      <c r="J12" s="40">
        <f>C34*'E Balans VL '!D22/100/3.6*1000000+C34*'E Balans VL '!E22/100/3.6*1000000</f>
        <v>1.0990044814930318</v>
      </c>
      <c r="K12" s="33"/>
      <c r="L12" s="33"/>
      <c r="M12" s="33"/>
      <c r="N12" s="33">
        <f>C34*'E Balans VL '!Y22/100/3.6*1000000</f>
        <v>0</v>
      </c>
      <c r="O12" s="33"/>
      <c r="P12" s="33"/>
      <c r="R12" s="32"/>
    </row>
    <row r="13" spans="1:18">
      <c r="A13" s="6" t="s">
        <v>39</v>
      </c>
      <c r="B13" s="37">
        <f t="shared" si="0"/>
        <v>7158.3726973000003</v>
      </c>
      <c r="C13" s="33"/>
      <c r="D13" s="37">
        <f>IF( ISERROR(IND_papier_gas_kWh/1000),0,IND_papier_gas_kWh/1000)*0.902</f>
        <v>8263.6564828465998</v>
      </c>
      <c r="E13" s="33">
        <f>C35*'E Balans VL '!I23/100/3.6*1000000</f>
        <v>30.70017800080063</v>
      </c>
      <c r="F13" s="33">
        <f>C35*'E Balans VL '!L23/100/3.6*1000000+C35*'E Balans VL '!N23/100/3.6*1000000</f>
        <v>179.91212405759148</v>
      </c>
      <c r="G13" s="34"/>
      <c r="H13" s="33"/>
      <c r="I13" s="33"/>
      <c r="J13" s="40">
        <f>C35*'E Balans VL '!D23/100/3.6*1000000+C35*'E Balans VL '!E23/100/3.6*1000000</f>
        <v>479.2137900250728</v>
      </c>
      <c r="K13" s="33"/>
      <c r="L13" s="33"/>
      <c r="M13" s="33"/>
      <c r="N13" s="33">
        <f>C35*'E Balans VL '!Y23/100/3.6*1000000</f>
        <v>13029.940635061186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5052.3514700999995</v>
      </c>
      <c r="C15" s="33"/>
      <c r="D15" s="37">
        <f>IF( ISERROR(IND_rest_gas_kWh/1000),0,IND_rest_gas_kWh/1000)*0.902</f>
        <v>174444.17368268003</v>
      </c>
      <c r="E15" s="33">
        <f>C37*'E Balans VL '!I15/100/3.6*1000000</f>
        <v>274.20571539533307</v>
      </c>
      <c r="F15" s="33">
        <f>C37*'E Balans VL '!L15/100/3.6*1000000+C37*'E Balans VL '!N15/100/3.6*1000000</f>
        <v>1101.1790088389987</v>
      </c>
      <c r="G15" s="34"/>
      <c r="H15" s="33"/>
      <c r="I15" s="33"/>
      <c r="J15" s="40">
        <f>C37*'E Balans VL '!D15/100/3.6*1000000+C37*'E Balans VL '!E15/100/3.6*1000000</f>
        <v>40.959997172638808</v>
      </c>
      <c r="K15" s="33"/>
      <c r="L15" s="33"/>
      <c r="M15" s="33"/>
      <c r="N15" s="33">
        <f>C37*'E Balans VL '!Y15/100/3.6*1000000</f>
        <v>1017.3803575237398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79536.844153098005</v>
      </c>
      <c r="C18" s="21">
        <f>C5+C16</f>
        <v>0</v>
      </c>
      <c r="D18" s="21">
        <f>MAX((D5+D16),0)</f>
        <v>190488.49020750879</v>
      </c>
      <c r="E18" s="21">
        <f>MAX((E5+E16),0)</f>
        <v>2592.1121684166656</v>
      </c>
      <c r="F18" s="21">
        <f>MAX((F5+F16),0)</f>
        <v>18359.057075717927</v>
      </c>
      <c r="G18" s="21"/>
      <c r="H18" s="21"/>
      <c r="I18" s="21"/>
      <c r="J18" s="21">
        <f>MAX((J5+J16),0)</f>
        <v>521.2727916792046</v>
      </c>
      <c r="K18" s="21"/>
      <c r="L18" s="21">
        <f>MAX((L5+L16),0)</f>
        <v>0</v>
      </c>
      <c r="M18" s="21"/>
      <c r="N18" s="21">
        <f>MAX((N5+N16),0)</f>
        <v>38228.472501841672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0.18819564795726421</v>
      </c>
      <c r="C20" s="25">
        <f ca="1">'EF ele_warmte'!B22</f>
        <v>1.2589461000716727E-4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14968.48792186822</v>
      </c>
      <c r="C22" s="23">
        <f ca="1">C18*C20</f>
        <v>0</v>
      </c>
      <c r="D22" s="23">
        <f>D18*D20</f>
        <v>38478.675021916781</v>
      </c>
      <c r="E22" s="23">
        <f>E18*E20</f>
        <v>588.40946223058313</v>
      </c>
      <c r="F22" s="23">
        <f>F18*F20</f>
        <v>4901.8682392166866</v>
      </c>
      <c r="G22" s="23"/>
      <c r="H22" s="23"/>
      <c r="I22" s="23"/>
      <c r="J22" s="23">
        <f>J18*J20</f>
        <v>184.53056825443841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1686.6095623000001</v>
      </c>
      <c r="C30" s="39">
        <f>IF(ISERROR(B30*3.6/1000000/'E Balans VL '!Z18*100),0,B30*3.6/1000000/'E Balans VL '!Z18*100)</f>
        <v>0.35735640629536952</v>
      </c>
      <c r="D30" s="237" t="s">
        <v>660</v>
      </c>
    </row>
    <row r="31" spans="1:18">
      <c r="A31" s="6" t="s">
        <v>33</v>
      </c>
      <c r="B31" s="37">
        <f>IF( ISERROR(IND_ander_ele_kWh/1000),0,IND_ander_ele_kWh/1000)</f>
        <v>2448.8542225000001</v>
      </c>
      <c r="C31" s="39">
        <f>IF(ISERROR(B31*3.6/1000000/'E Balans VL '!Z19*100),0,B31*3.6/1000000/'E Balans VL '!Z19*100)</f>
        <v>0.10307783475293167</v>
      </c>
      <c r="D31" s="237" t="s">
        <v>660</v>
      </c>
    </row>
    <row r="32" spans="1:18">
      <c r="A32" s="171" t="s">
        <v>41</v>
      </c>
      <c r="B32" s="37">
        <f>IF( ISERROR(IND_voed_ele_kWh/1000),0,IND_voed_ele_kWh/1000)</f>
        <v>62210.717950000006</v>
      </c>
      <c r="C32" s="39">
        <f>IF(ISERROR(B32*3.6/1000000/'E Balans VL '!Z20*100),0,B32*3.6/1000000/'E Balans VL '!Z20*100)</f>
        <v>10.393004299411555</v>
      </c>
      <c r="D32" s="237" t="s">
        <v>660</v>
      </c>
    </row>
    <row r="33" spans="1:5">
      <c r="A33" s="171" t="s">
        <v>40</v>
      </c>
      <c r="B33" s="37">
        <f>IF( ISERROR(IND_textiel_ele_kWh/1000),0,IND_textiel_ele_kWh/1000)</f>
        <v>36.662324288000001</v>
      </c>
      <c r="C33" s="39">
        <f>IF(ISERROR(B33*3.6/1000000/'E Balans VL '!Z21*100),0,B33*3.6/1000000/'E Balans VL '!Z21*100)</f>
        <v>2.1404562045578908E-3</v>
      </c>
      <c r="D33" s="237" t="s">
        <v>660</v>
      </c>
    </row>
    <row r="34" spans="1:5">
      <c r="A34" s="171" t="s">
        <v>37</v>
      </c>
      <c r="B34" s="37">
        <f>IF( ISERROR(IND_min_ele_kWh/1000),0,IND_min_ele_kWh/1000)</f>
        <v>943.27592660999994</v>
      </c>
      <c r="C34" s="39">
        <f>IF(ISERROR(B34*3.6/1000000/'E Balans VL '!Z22*100),0,B34*3.6/1000000/'E Balans VL '!Z22*100)</f>
        <v>0.11956531076986524</v>
      </c>
      <c r="D34" s="237" t="s">
        <v>660</v>
      </c>
    </row>
    <row r="35" spans="1:5">
      <c r="A35" s="171" t="s">
        <v>39</v>
      </c>
      <c r="B35" s="37">
        <f>IF( ISERROR(IND_papier_ele_kWh/1000),0,IND_papier_ele_kWh/1000)</f>
        <v>7158.3726973000003</v>
      </c>
      <c r="C35" s="39">
        <f>IF(ISERROR(B35*3.6/1000000/'E Balans VL '!Z22*100),0,B35*3.6/1000000/'E Balans VL '!Z22*100)</f>
        <v>0.90736234437271324</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5052.3514700999995</v>
      </c>
      <c r="C37" s="39">
        <f>IF(ISERROR(B37*3.6/1000000/'E Balans VL '!Z15*100),0,B37*3.6/1000000/'E Balans VL '!Z15*100)</f>
        <v>4.0789589778273828E-2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6573.6258191900006</v>
      </c>
      <c r="C5" s="17">
        <f>'Eigen informatie GS &amp; warmtenet'!B60</f>
        <v>0</v>
      </c>
      <c r="D5" s="30">
        <f>IF(ISERROR(SUM(LB_lb_gas_kWh,LB_rest_gas_kWh)/1000),0,SUM(LB_lb_gas_kWh,LB_rest_gas_kWh)/1000)*0.902</f>
        <v>7703.9447218553605</v>
      </c>
      <c r="E5" s="17">
        <f>B17*'E Balans VL '!I25/3.6*1000000/100</f>
        <v>169.50857007185834</v>
      </c>
      <c r="F5" s="17">
        <f>B17*('E Balans VL '!L25/3.6*1000000+'E Balans VL '!N25/3.6*1000000)/100</f>
        <v>24027.854255363665</v>
      </c>
      <c r="G5" s="18"/>
      <c r="H5" s="17"/>
      <c r="I5" s="17"/>
      <c r="J5" s="17">
        <f>('E Balans VL '!D25+'E Balans VL '!E25)/3.6*1000000*landbouw!B17/100</f>
        <v>946.36029624461617</v>
      </c>
      <c r="K5" s="17"/>
      <c r="L5" s="17">
        <f>L6*(-1)</f>
        <v>0</v>
      </c>
      <c r="M5" s="17"/>
      <c r="N5" s="17">
        <f>N6*(-1)</f>
        <v>36385.71428571429</v>
      </c>
      <c r="O5" s="17"/>
      <c r="P5" s="17"/>
      <c r="R5" s="32"/>
    </row>
    <row r="6" spans="1:18">
      <c r="A6" s="16" t="s">
        <v>491</v>
      </c>
      <c r="B6" s="17" t="s">
        <v>211</v>
      </c>
      <c r="C6" s="17">
        <f>'lokale energieproductie'!O92+'lokale energieproductie'!O61</f>
        <v>18192.857142857145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6573.6258191900006</v>
      </c>
      <c r="C8" s="21">
        <f>C5+C6</f>
        <v>18192.857142857145</v>
      </c>
      <c r="D8" s="21">
        <f>MAX((D5+D6),0)</f>
        <v>7703.9447218553605</v>
      </c>
      <c r="E8" s="21">
        <f>MAX((E5+E6),0)</f>
        <v>169.50857007185834</v>
      </c>
      <c r="F8" s="21">
        <f>MAX((F5+F6),0)</f>
        <v>24027.854255363665</v>
      </c>
      <c r="G8" s="21"/>
      <c r="H8" s="21"/>
      <c r="I8" s="21"/>
      <c r="J8" s="21">
        <f>MAX((J5+J6),0)</f>
        <v>946.36029624461617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0.18819564795726421</v>
      </c>
      <c r="C10" s="31">
        <f ca="1">'EF ele_warmte'!B22</f>
        <v>1.2589461000716727E-4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1237.127770471064</v>
      </c>
      <c r="C12" s="23">
        <f ca="1">C8*C10</f>
        <v>2.2903826549161077</v>
      </c>
      <c r="D12" s="23">
        <f>D8*D10</f>
        <v>1556.1968338147828</v>
      </c>
      <c r="E12" s="23">
        <f>E8*E10</f>
        <v>38.478445406311849</v>
      </c>
      <c r="F12" s="23">
        <f>F8*F10</f>
        <v>6415.4370861820989</v>
      </c>
      <c r="G12" s="23"/>
      <c r="H12" s="23"/>
      <c r="I12" s="23"/>
      <c r="J12" s="23">
        <f>J8*J10</f>
        <v>335.01154487059409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0.92692478322686356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1197.4026998854135</v>
      </c>
      <c r="C26" s="247">
        <f>B26*'GWP N2O_CH4'!B5</f>
        <v>25145.456697593683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696.97773390814802</v>
      </c>
      <c r="C27" s="247">
        <f>B27*'GWP N2O_CH4'!B5</f>
        <v>14636.532412071108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16.309218399699482</v>
      </c>
      <c r="C28" s="247">
        <f>B28*'GWP N2O_CH4'!B4</f>
        <v>5055.8577039068396</v>
      </c>
      <c r="D28" s="50"/>
    </row>
    <row r="29" spans="1:4">
      <c r="A29" s="41" t="s">
        <v>277</v>
      </c>
      <c r="B29" s="247">
        <f>B34*'ha_N2O bodem landbouw'!B4</f>
        <v>32.847853948502852</v>
      </c>
      <c r="C29" s="247">
        <f>B29*'GWP N2O_CH4'!B4</f>
        <v>10182.834724035883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7.3925521427213982E-3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4.0001817008399531E-4</v>
      </c>
      <c r="C5" s="463" t="s">
        <v>211</v>
      </c>
      <c r="D5" s="448">
        <f>SUM(D6:D11)</f>
        <v>8.6940039611894916E-4</v>
      </c>
      <c r="E5" s="448">
        <f>SUM(E6:E11)</f>
        <v>3.980805684611604E-3</v>
      </c>
      <c r="F5" s="461" t="s">
        <v>211</v>
      </c>
      <c r="G5" s="448">
        <f>SUM(G6:G11)</f>
        <v>1.5695836198634474</v>
      </c>
      <c r="H5" s="448">
        <f>SUM(H6:H11)</f>
        <v>0.24164646095368608</v>
      </c>
      <c r="I5" s="463" t="s">
        <v>211</v>
      </c>
      <c r="J5" s="463" t="s">
        <v>211</v>
      </c>
      <c r="K5" s="463" t="s">
        <v>211</v>
      </c>
      <c r="L5" s="463" t="s">
        <v>211</v>
      </c>
      <c r="M5" s="448">
        <f>SUM(M6:M11)</f>
        <v>5.6687727287446109E-2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7.5525644889467246E-5</v>
      </c>
      <c r="C6" s="449"/>
      <c r="D6" s="892">
        <f>vkm_2011_GW_PW*SUMIFS(TableVerdeelsleutelVkm[CNG],TableVerdeelsleutelVkm[Voertuigtype],"Lichte voertuigen")*SUMIFS(TableECFTransport[EnergieConsumptieFactor (PJ per km)],TableECFTransport[Index],CONCATENATE($A6,"_CNG_CNG"))</f>
        <v>1.5007077934293283E-4</v>
      </c>
      <c r="E6" s="892">
        <f>vkm_2011_GW_PW*SUMIFS(TableVerdeelsleutelVkm[LPG],TableVerdeelsleutelVkm[Voertuigtype],"Lichte voertuigen")*SUMIFS(TableECFTransport[EnergieConsumptieFactor (PJ per km)],TableECFTransport[Index],CONCATENATE($A6,"_LPG_LPG"))</f>
        <v>5.9058231305602097E-4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0.1404202099839291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4.0628674747716184E-2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5.6416504312226303E-3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0.12269464161610248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3.9635609960530648E-5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3.8659204251888443E-3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3.0840514289063148E-5</v>
      </c>
      <c r="C8" s="449"/>
      <c r="D8" s="451">
        <f>vkm_2011_NGW_PW*SUMIFS(TableVerdeelsleutelVkm[CNG],TableVerdeelsleutelVkm[Voertuigtype],"Lichte voertuigen")*SUMIFS(TableECFTransport[EnergieConsumptieFactor (PJ per km)],TableECFTransport[Index],CONCATENATE($A8,"_CNG_CNG"))</f>
        <v>1.0850566259496896E-4</v>
      </c>
      <c r="E8" s="451">
        <f>vkm_2011_NGW_PW*SUMIFS(TableVerdeelsleutelVkm[LPG],TableVerdeelsleutelVkm[Voertuigtype],"Lichte voertuigen")*SUMIFS(TableECFTransport[EnergieConsumptieFactor (PJ per km)],TableECFTransport[Index],CONCATENATE($A8,"_LPG_LPG"))</f>
        <v>3.9490759038140056E-4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8.7680586321208301E-2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2.8484325315521655E-2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3.6161683705351567E-3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9.6958660926735919E-3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2.9621693035818612E-6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3.0549680603152602E-4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2.9365201090546494E-4</v>
      </c>
      <c r="C10" s="449"/>
      <c r="D10" s="451">
        <f>vkm_2011_SW_PW*SUMIFS(TableVerdeelsleutelVkm[CNG],TableVerdeelsleutelVkm[Voertuigtype],"Lichte voertuigen")*SUMIFS(TableECFTransport[EnergieConsumptieFactor (PJ per km)],TableECFTransport[Index],CONCATENATE($A10,"_CNG_CNG"))</f>
        <v>6.1082395418104736E-4</v>
      </c>
      <c r="E10" s="451">
        <f>vkm_2011_SW_PW*SUMIFS(TableVerdeelsleutelVkm[LPG],TableVerdeelsleutelVkm[Voertuigtype],"Lichte voertuigen")*SUMIFS(TableECFTransport[EnergieConsumptieFactor (PJ per km)],TableECFTransport[Index],CONCATENATE($A10,"_LPG_LPG"))</f>
        <v>2.9953157811741823E-3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0.63796787030131652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0.17229207839908114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2.5262805322229361E-2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0.57112444554821729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1.9878471210300444E-4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1.7995685932238589E-2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111.11615835666537</v>
      </c>
      <c r="C14" s="21"/>
      <c r="D14" s="21">
        <f t="shared" ref="D14:M14" si="0">((D5)*10^9/3600)+D12</f>
        <v>241.50011003304144</v>
      </c>
      <c r="E14" s="21">
        <f t="shared" si="0"/>
        <v>1105.7793568365566</v>
      </c>
      <c r="F14" s="21"/>
      <c r="G14" s="21">
        <f t="shared" si="0"/>
        <v>435995.44996206876</v>
      </c>
      <c r="H14" s="21">
        <f t="shared" si="0"/>
        <v>67124.016931579463</v>
      </c>
      <c r="I14" s="21"/>
      <c r="J14" s="21"/>
      <c r="K14" s="21"/>
      <c r="L14" s="21"/>
      <c r="M14" s="21">
        <f t="shared" si="0"/>
        <v>15746.590913179476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0.18819564795726421</v>
      </c>
      <c r="C16" s="56">
        <f ca="1">'EF ele_warmte'!B22</f>
        <v>1.2589461000716727E-4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20.911577420454616</v>
      </c>
      <c r="C18" s="23"/>
      <c r="D18" s="23">
        <f t="shared" ref="D18:M18" si="1">D14*D16</f>
        <v>48.783022226674376</v>
      </c>
      <c r="E18" s="23">
        <f t="shared" si="1"/>
        <v>251.01191400189836</v>
      </c>
      <c r="F18" s="23"/>
      <c r="G18" s="23">
        <f t="shared" si="1"/>
        <v>116410.78513987236</v>
      </c>
      <c r="H18" s="23">
        <f t="shared" si="1"/>
        <v>16713.880215963287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2.4054015009719108E-3</v>
      </c>
      <c r="H50" s="321">
        <f t="shared" si="2"/>
        <v>0</v>
      </c>
      <c r="I50" s="321">
        <f t="shared" si="2"/>
        <v>0</v>
      </c>
      <c r="J50" s="321">
        <f t="shared" si="2"/>
        <v>0</v>
      </c>
      <c r="K50" s="321">
        <f t="shared" si="2"/>
        <v>0</v>
      </c>
      <c r="L50" s="321">
        <f t="shared" si="2"/>
        <v>0</v>
      </c>
      <c r="M50" s="321">
        <f t="shared" si="2"/>
        <v>7.4610173238995949E-5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2.4054015009719108E-3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7.4610173238995949E-5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668.16708360330858</v>
      </c>
      <c r="H54" s="21">
        <f t="shared" si="3"/>
        <v>0</v>
      </c>
      <c r="I54" s="21">
        <f t="shared" si="3"/>
        <v>0</v>
      </c>
      <c r="J54" s="21">
        <f t="shared" si="3"/>
        <v>0</v>
      </c>
      <c r="K54" s="21">
        <f t="shared" si="3"/>
        <v>0</v>
      </c>
      <c r="L54" s="21">
        <f t="shared" si="3"/>
        <v>0</v>
      </c>
      <c r="M54" s="21">
        <f t="shared" si="3"/>
        <v>20.72504812194332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0.18819564795726421</v>
      </c>
      <c r="C56" s="56">
        <f ca="1">'EF ele_warmte'!B22</f>
        <v>1.2589461000716727E-4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178.40061132208339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28941.563704100001</v>
      </c>
      <c r="D10" s="1012">
        <f ca="1">tertiair!C16</f>
        <v>9.6428571428571423</v>
      </c>
      <c r="E10" s="1012">
        <f ca="1">tertiair!D16</f>
        <v>24485.211004263827</v>
      </c>
      <c r="F10" s="1012">
        <f>tertiair!E16</f>
        <v>567.0869222493252</v>
      </c>
      <c r="G10" s="1012">
        <f ca="1">tertiair!F16</f>
        <v>6720.4132121049333</v>
      </c>
      <c r="H10" s="1012">
        <f>tertiair!G16</f>
        <v>0</v>
      </c>
      <c r="I10" s="1012">
        <f>tertiair!H16</f>
        <v>0</v>
      </c>
      <c r="J10" s="1012">
        <f>tertiair!I16</f>
        <v>0</v>
      </c>
      <c r="K10" s="1012">
        <f>tertiair!J16</f>
        <v>0</v>
      </c>
      <c r="L10" s="1012">
        <f>tertiair!K16</f>
        <v>0</v>
      </c>
      <c r="M10" s="1012">
        <f ca="1">tertiair!L16</f>
        <v>0</v>
      </c>
      <c r="N10" s="1012">
        <f>tertiair!M16</f>
        <v>0</v>
      </c>
      <c r="O10" s="1012">
        <f ca="1">tertiair!N16</f>
        <v>2351.9668110919533</v>
      </c>
      <c r="P10" s="1012">
        <f>tertiair!O16</f>
        <v>14.070000000000002</v>
      </c>
      <c r="Q10" s="1013">
        <f>tertiair!P16</f>
        <v>171.6</v>
      </c>
      <c r="R10" s="700">
        <f ca="1">SUM(C10:Q10)</f>
        <v>63261.554510952898</v>
      </c>
      <c r="S10" s="67"/>
    </row>
    <row r="11" spans="1:19" s="473" customFormat="1">
      <c r="A11" s="809" t="s">
        <v>225</v>
      </c>
      <c r="B11" s="814"/>
      <c r="C11" s="1012">
        <f>huishoudens!B8</f>
        <v>40287.041795403798</v>
      </c>
      <c r="D11" s="1012">
        <f>huishoudens!C8</f>
        <v>0</v>
      </c>
      <c r="E11" s="1012">
        <f>huishoudens!D8</f>
        <v>49062.694199639998</v>
      </c>
      <c r="F11" s="1012">
        <f>huishoudens!E8</f>
        <v>10926.5351937757</v>
      </c>
      <c r="G11" s="1012">
        <f>huishoudens!F8</f>
        <v>31859.011336129701</v>
      </c>
      <c r="H11" s="1012">
        <f>huishoudens!G8</f>
        <v>0</v>
      </c>
      <c r="I11" s="1012">
        <f>huishoudens!H8</f>
        <v>0</v>
      </c>
      <c r="J11" s="1012">
        <f>huishoudens!I8</f>
        <v>0</v>
      </c>
      <c r="K11" s="1012">
        <f>huishoudens!J8</f>
        <v>1120.5558003773822</v>
      </c>
      <c r="L11" s="1012">
        <f>huishoudens!K8</f>
        <v>0</v>
      </c>
      <c r="M11" s="1012">
        <f>huishoudens!L8</f>
        <v>0</v>
      </c>
      <c r="N11" s="1012">
        <f>huishoudens!M8</f>
        <v>0</v>
      </c>
      <c r="O11" s="1012">
        <f>huishoudens!N8</f>
        <v>20512.731289321135</v>
      </c>
      <c r="P11" s="1012">
        <f>huishoudens!O8</f>
        <v>487.76000000000005</v>
      </c>
      <c r="Q11" s="1013">
        <f>huishoudens!P8</f>
        <v>1773.2</v>
      </c>
      <c r="R11" s="700">
        <f>SUM(C11:Q11)</f>
        <v>156029.52961464773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79536.844153098005</v>
      </c>
      <c r="D13" s="1012">
        <f>industrie!C18</f>
        <v>0</v>
      </c>
      <c r="E13" s="1012">
        <f>industrie!D18</f>
        <v>190488.49020750879</v>
      </c>
      <c r="F13" s="1012">
        <f>industrie!E18</f>
        <v>2592.1121684166656</v>
      </c>
      <c r="G13" s="1012">
        <f>industrie!F18</f>
        <v>18359.057075717927</v>
      </c>
      <c r="H13" s="1012">
        <f>industrie!G18</f>
        <v>0</v>
      </c>
      <c r="I13" s="1012">
        <f>industrie!H18</f>
        <v>0</v>
      </c>
      <c r="J13" s="1012">
        <f>industrie!I18</f>
        <v>0</v>
      </c>
      <c r="K13" s="1012">
        <f>industrie!J18</f>
        <v>521.2727916792046</v>
      </c>
      <c r="L13" s="1012">
        <f>industrie!K18</f>
        <v>0</v>
      </c>
      <c r="M13" s="1012">
        <f>industrie!L18</f>
        <v>0</v>
      </c>
      <c r="N13" s="1012">
        <f>industrie!M18</f>
        <v>0</v>
      </c>
      <c r="O13" s="1012">
        <f>industrie!N18</f>
        <v>38228.472501841672</v>
      </c>
      <c r="P13" s="1012">
        <f>industrie!O18</f>
        <v>0</v>
      </c>
      <c r="Q13" s="1013">
        <f>industrie!P18</f>
        <v>0</v>
      </c>
      <c r="R13" s="700">
        <f>SUM(C13:Q13)</f>
        <v>329726.24889826227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148765.44965260179</v>
      </c>
      <c r="D16" s="732">
        <f t="shared" ref="D16:R16" ca="1" si="0">SUM(D9:D15)</f>
        <v>9.6428571428571423</v>
      </c>
      <c r="E16" s="732">
        <f t="shared" ca="1" si="0"/>
        <v>264036.39541141258</v>
      </c>
      <c r="F16" s="732">
        <f t="shared" si="0"/>
        <v>14085.734284441693</v>
      </c>
      <c r="G16" s="732">
        <f t="shared" ca="1" si="0"/>
        <v>56938.481623952553</v>
      </c>
      <c r="H16" s="732">
        <f t="shared" si="0"/>
        <v>0</v>
      </c>
      <c r="I16" s="732">
        <f t="shared" si="0"/>
        <v>0</v>
      </c>
      <c r="J16" s="732">
        <f t="shared" si="0"/>
        <v>0</v>
      </c>
      <c r="K16" s="732">
        <f t="shared" si="0"/>
        <v>1641.8285920565868</v>
      </c>
      <c r="L16" s="732">
        <f t="shared" si="0"/>
        <v>0</v>
      </c>
      <c r="M16" s="732">
        <f t="shared" ca="1" si="0"/>
        <v>0</v>
      </c>
      <c r="N16" s="732">
        <f t="shared" si="0"/>
        <v>0</v>
      </c>
      <c r="O16" s="732">
        <f t="shared" ca="1" si="0"/>
        <v>61093.170602254759</v>
      </c>
      <c r="P16" s="732">
        <f t="shared" si="0"/>
        <v>501.83000000000004</v>
      </c>
      <c r="Q16" s="732">
        <f t="shared" si="0"/>
        <v>1944.8</v>
      </c>
      <c r="R16" s="732">
        <f t="shared" ca="1" si="0"/>
        <v>549017.33302386291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668.16708360330858</v>
      </c>
      <c r="I19" s="1012">
        <f>transport!H54</f>
        <v>0</v>
      </c>
      <c r="J19" s="1012">
        <f>transport!I54</f>
        <v>0</v>
      </c>
      <c r="K19" s="1012">
        <f>transport!J54</f>
        <v>0</v>
      </c>
      <c r="L19" s="1012">
        <f>transport!K54</f>
        <v>0</v>
      </c>
      <c r="M19" s="1012">
        <f>transport!L54</f>
        <v>0</v>
      </c>
      <c r="N19" s="1012">
        <f>transport!M54</f>
        <v>20.72504812194332</v>
      </c>
      <c r="O19" s="1012">
        <f>transport!N54</f>
        <v>0</v>
      </c>
      <c r="P19" s="1012">
        <f>transport!O54</f>
        <v>0</v>
      </c>
      <c r="Q19" s="1013">
        <f>transport!P54</f>
        <v>0</v>
      </c>
      <c r="R19" s="700">
        <f>SUM(C19:Q19)</f>
        <v>688.89213172525194</v>
      </c>
      <c r="S19" s="67"/>
    </row>
    <row r="20" spans="1:19" s="473" customFormat="1">
      <c r="A20" s="809" t="s">
        <v>307</v>
      </c>
      <c r="B20" s="814"/>
      <c r="C20" s="1012">
        <f>transport!B14</f>
        <v>111.11615835666537</v>
      </c>
      <c r="D20" s="1012">
        <f>transport!C14</f>
        <v>0</v>
      </c>
      <c r="E20" s="1012">
        <f>transport!D14</f>
        <v>241.50011003304144</v>
      </c>
      <c r="F20" s="1012">
        <f>transport!E14</f>
        <v>1105.7793568365566</v>
      </c>
      <c r="G20" s="1012">
        <f>transport!F14</f>
        <v>0</v>
      </c>
      <c r="H20" s="1012">
        <f>transport!G14</f>
        <v>435995.44996206876</v>
      </c>
      <c r="I20" s="1012">
        <f>transport!H14</f>
        <v>67124.016931579463</v>
      </c>
      <c r="J20" s="1012">
        <f>transport!I14</f>
        <v>0</v>
      </c>
      <c r="K20" s="1012">
        <f>transport!J14</f>
        <v>0</v>
      </c>
      <c r="L20" s="1012">
        <f>transport!K14</f>
        <v>0</v>
      </c>
      <c r="M20" s="1012">
        <f>transport!L14</f>
        <v>0</v>
      </c>
      <c r="N20" s="1012">
        <f>transport!M14</f>
        <v>15746.590913179476</v>
      </c>
      <c r="O20" s="1012">
        <f>transport!N14</f>
        <v>0</v>
      </c>
      <c r="P20" s="1012">
        <f>transport!O14</f>
        <v>0</v>
      </c>
      <c r="Q20" s="1013">
        <f>transport!P14</f>
        <v>0</v>
      </c>
      <c r="R20" s="700">
        <f>SUM(C20:Q20)</f>
        <v>520324.45343205391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111.11615835666537</v>
      </c>
      <c r="D22" s="812">
        <f t="shared" ref="D22:R22" si="1">SUM(D18:D21)</f>
        <v>0</v>
      </c>
      <c r="E22" s="812">
        <f t="shared" si="1"/>
        <v>241.50011003304144</v>
      </c>
      <c r="F22" s="812">
        <f t="shared" si="1"/>
        <v>1105.7793568365566</v>
      </c>
      <c r="G22" s="812">
        <f t="shared" si="1"/>
        <v>0</v>
      </c>
      <c r="H22" s="812">
        <f t="shared" si="1"/>
        <v>436663.61704567209</v>
      </c>
      <c r="I22" s="812">
        <f t="shared" si="1"/>
        <v>67124.016931579463</v>
      </c>
      <c r="J22" s="812">
        <f t="shared" si="1"/>
        <v>0</v>
      </c>
      <c r="K22" s="812">
        <f t="shared" si="1"/>
        <v>0</v>
      </c>
      <c r="L22" s="812">
        <f t="shared" si="1"/>
        <v>0</v>
      </c>
      <c r="M22" s="812">
        <f t="shared" si="1"/>
        <v>0</v>
      </c>
      <c r="N22" s="812">
        <f t="shared" si="1"/>
        <v>15767.31596130142</v>
      </c>
      <c r="O22" s="812">
        <f t="shared" si="1"/>
        <v>0</v>
      </c>
      <c r="P22" s="812">
        <f t="shared" si="1"/>
        <v>0</v>
      </c>
      <c r="Q22" s="812">
        <f t="shared" si="1"/>
        <v>0</v>
      </c>
      <c r="R22" s="812">
        <f t="shared" si="1"/>
        <v>521013.34556377918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6573.6258191900006</v>
      </c>
      <c r="D24" s="1012">
        <f>+landbouw!C8</f>
        <v>18192.857142857145</v>
      </c>
      <c r="E24" s="1012">
        <f>+landbouw!D8</f>
        <v>7703.9447218553605</v>
      </c>
      <c r="F24" s="1012">
        <f>+landbouw!E8</f>
        <v>169.50857007185834</v>
      </c>
      <c r="G24" s="1012">
        <f>+landbouw!F8</f>
        <v>24027.854255363665</v>
      </c>
      <c r="H24" s="1012">
        <f>+landbouw!G8</f>
        <v>0</v>
      </c>
      <c r="I24" s="1012">
        <f>+landbouw!H8</f>
        <v>0</v>
      </c>
      <c r="J24" s="1012">
        <f>+landbouw!I8</f>
        <v>0</v>
      </c>
      <c r="K24" s="1012">
        <f>+landbouw!J8</f>
        <v>946.36029624461617</v>
      </c>
      <c r="L24" s="1012">
        <f>+landbouw!K8</f>
        <v>0</v>
      </c>
      <c r="M24" s="1012">
        <f>+landbouw!L8</f>
        <v>0</v>
      </c>
      <c r="N24" s="1012">
        <f>+landbouw!M8</f>
        <v>0</v>
      </c>
      <c r="O24" s="1012">
        <f>+landbouw!N8</f>
        <v>0</v>
      </c>
      <c r="P24" s="1012">
        <f>+landbouw!O8</f>
        <v>0</v>
      </c>
      <c r="Q24" s="1013">
        <f>+landbouw!P8</f>
        <v>0</v>
      </c>
      <c r="R24" s="700">
        <f>SUM(C24:Q24)</f>
        <v>57614.150805582649</v>
      </c>
      <c r="S24" s="67"/>
    </row>
    <row r="25" spans="1:19" s="473" customFormat="1" ht="15" thickBot="1">
      <c r="A25" s="831" t="s">
        <v>848</v>
      </c>
      <c r="B25" s="1015"/>
      <c r="C25" s="1016">
        <f>IF(Onbekend_ele_kWh="---",0,Onbekend_ele_kWh)/1000+IF(REST_rest_ele_kWh="---",0,REST_rest_ele_kWh)/1000</f>
        <v>1300.1591140999999</v>
      </c>
      <c r="D25" s="1016"/>
      <c r="E25" s="1016">
        <f>IF(onbekend_gas_kWh="---",0,onbekend_gas_kWh)/1000+IF(REST_rest_gas_kWh="---",0,REST_rest_gas_kWh)/1000</f>
        <v>1508.4471434</v>
      </c>
      <c r="F25" s="1016"/>
      <c r="G25" s="1016"/>
      <c r="H25" s="1016"/>
      <c r="I25" s="1016"/>
      <c r="J25" s="1016"/>
      <c r="K25" s="1016"/>
      <c r="L25" s="1016"/>
      <c r="M25" s="1016"/>
      <c r="N25" s="1016"/>
      <c r="O25" s="1016"/>
      <c r="P25" s="1016"/>
      <c r="Q25" s="1017"/>
      <c r="R25" s="700">
        <f>SUM(C25:Q25)</f>
        <v>2808.6062574999996</v>
      </c>
      <c r="S25" s="67"/>
    </row>
    <row r="26" spans="1:19" s="473" customFormat="1" ht="15.75" thickBot="1">
      <c r="A26" s="705" t="s">
        <v>849</v>
      </c>
      <c r="B26" s="817"/>
      <c r="C26" s="812">
        <f>SUM(C24:C25)</f>
        <v>7873.7849332900005</v>
      </c>
      <c r="D26" s="812">
        <f t="shared" ref="D26:R26" si="2">SUM(D24:D25)</f>
        <v>18192.857142857145</v>
      </c>
      <c r="E26" s="812">
        <f t="shared" si="2"/>
        <v>9212.3918652553602</v>
      </c>
      <c r="F26" s="812">
        <f t="shared" si="2"/>
        <v>169.50857007185834</v>
      </c>
      <c r="G26" s="812">
        <f t="shared" si="2"/>
        <v>24027.854255363665</v>
      </c>
      <c r="H26" s="812">
        <f t="shared" si="2"/>
        <v>0</v>
      </c>
      <c r="I26" s="812">
        <f t="shared" si="2"/>
        <v>0</v>
      </c>
      <c r="J26" s="812">
        <f t="shared" si="2"/>
        <v>0</v>
      </c>
      <c r="K26" s="812">
        <f t="shared" si="2"/>
        <v>946.36029624461617</v>
      </c>
      <c r="L26" s="812">
        <f t="shared" si="2"/>
        <v>0</v>
      </c>
      <c r="M26" s="812">
        <f t="shared" si="2"/>
        <v>0</v>
      </c>
      <c r="N26" s="812">
        <f t="shared" si="2"/>
        <v>0</v>
      </c>
      <c r="O26" s="812">
        <f t="shared" si="2"/>
        <v>0</v>
      </c>
      <c r="P26" s="812">
        <f t="shared" si="2"/>
        <v>0</v>
      </c>
      <c r="Q26" s="812">
        <f t="shared" si="2"/>
        <v>0</v>
      </c>
      <c r="R26" s="812">
        <f t="shared" si="2"/>
        <v>60422.757063082652</v>
      </c>
      <c r="S26" s="67"/>
    </row>
    <row r="27" spans="1:19" s="473" customFormat="1" ht="17.25" thickTop="1" thickBot="1">
      <c r="A27" s="706" t="s">
        <v>116</v>
      </c>
      <c r="B27" s="805"/>
      <c r="C27" s="707">
        <f ca="1">C22+C16+C26</f>
        <v>156750.35074424846</v>
      </c>
      <c r="D27" s="707">
        <f t="shared" ref="D27:R27" ca="1" si="3">D22+D16+D26</f>
        <v>18202.500000000004</v>
      </c>
      <c r="E27" s="707">
        <f t="shared" ca="1" si="3"/>
        <v>273490.28738670098</v>
      </c>
      <c r="F27" s="707">
        <f t="shared" si="3"/>
        <v>15361.022211350108</v>
      </c>
      <c r="G27" s="707">
        <f t="shared" ca="1" si="3"/>
        <v>80966.335879316219</v>
      </c>
      <c r="H27" s="707">
        <f t="shared" si="3"/>
        <v>436663.61704567209</v>
      </c>
      <c r="I27" s="707">
        <f t="shared" si="3"/>
        <v>67124.016931579463</v>
      </c>
      <c r="J27" s="707">
        <f t="shared" si="3"/>
        <v>0</v>
      </c>
      <c r="K27" s="707">
        <f t="shared" si="3"/>
        <v>2588.188888301203</v>
      </c>
      <c r="L27" s="707">
        <f t="shared" si="3"/>
        <v>0</v>
      </c>
      <c r="M27" s="707">
        <f t="shared" ca="1" si="3"/>
        <v>0</v>
      </c>
      <c r="N27" s="707">
        <f t="shared" si="3"/>
        <v>15767.31596130142</v>
      </c>
      <c r="O27" s="707">
        <f t="shared" ca="1" si="3"/>
        <v>61093.170602254759</v>
      </c>
      <c r="P27" s="707">
        <f t="shared" si="3"/>
        <v>501.83000000000004</v>
      </c>
      <c r="Q27" s="707">
        <f t="shared" si="3"/>
        <v>1944.8</v>
      </c>
      <c r="R27" s="707">
        <f t="shared" ca="1" si="3"/>
        <v>1130453.4356507247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5446.6763341895394</v>
      </c>
      <c r="D40" s="1012">
        <f ca="1">tertiair!C20</f>
        <v>1.2139837393548272E-3</v>
      </c>
      <c r="E40" s="1012">
        <f ca="1">tertiair!D20</f>
        <v>4946.0126228612935</v>
      </c>
      <c r="F40" s="1012">
        <f>tertiair!E20</f>
        <v>128.72873135059683</v>
      </c>
      <c r="G40" s="1012">
        <f ca="1">tertiair!F20</f>
        <v>1794.3503276320173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12315.769230017186</v>
      </c>
    </row>
    <row r="41" spans="1:18">
      <c r="A41" s="822" t="s">
        <v>225</v>
      </c>
      <c r="B41" s="829"/>
      <c r="C41" s="1012">
        <f ca="1">huishoudens!B12</f>
        <v>7581.8459349674022</v>
      </c>
      <c r="D41" s="1012">
        <f ca="1">huishoudens!C12</f>
        <v>0</v>
      </c>
      <c r="E41" s="1012">
        <f>huishoudens!D12</f>
        <v>9910.6642283272795</v>
      </c>
      <c r="F41" s="1012">
        <f>huishoudens!E12</f>
        <v>2480.3234889870841</v>
      </c>
      <c r="G41" s="1012">
        <f>huishoudens!F12</f>
        <v>8506.356026746631</v>
      </c>
      <c r="H41" s="1012">
        <f>huishoudens!G12</f>
        <v>0</v>
      </c>
      <c r="I41" s="1012">
        <f>huishoudens!H12</f>
        <v>0</v>
      </c>
      <c r="J41" s="1012">
        <f>huishoudens!I12</f>
        <v>0</v>
      </c>
      <c r="K41" s="1012">
        <f>huishoudens!J12</f>
        <v>396.6767533335933</v>
      </c>
      <c r="L41" s="1012">
        <f>huishoudens!K12</f>
        <v>0</v>
      </c>
      <c r="M41" s="1012">
        <f>huishoudens!L12</f>
        <v>0</v>
      </c>
      <c r="N41" s="1012">
        <f>huishoudens!M12</f>
        <v>0</v>
      </c>
      <c r="O41" s="1012">
        <f>huishoudens!N12</f>
        <v>0</v>
      </c>
      <c r="P41" s="1012">
        <f>huishoudens!O12</f>
        <v>0</v>
      </c>
      <c r="Q41" s="774">
        <f>huishoudens!P12</f>
        <v>0</v>
      </c>
      <c r="R41" s="850">
        <f t="shared" ca="1" si="4"/>
        <v>28875.866432361989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14968.48792186822</v>
      </c>
      <c r="D43" s="1012">
        <f ca="1">industrie!C22</f>
        <v>0</v>
      </c>
      <c r="E43" s="1012">
        <f>industrie!D22</f>
        <v>38478.675021916781</v>
      </c>
      <c r="F43" s="1012">
        <f>industrie!E22</f>
        <v>588.40946223058313</v>
      </c>
      <c r="G43" s="1012">
        <f>industrie!F22</f>
        <v>4901.8682392166866</v>
      </c>
      <c r="H43" s="1012">
        <f>industrie!G22</f>
        <v>0</v>
      </c>
      <c r="I43" s="1012">
        <f>industrie!H22</f>
        <v>0</v>
      </c>
      <c r="J43" s="1012">
        <f>industrie!I22</f>
        <v>0</v>
      </c>
      <c r="K43" s="1012">
        <f>industrie!J22</f>
        <v>184.53056825443841</v>
      </c>
      <c r="L43" s="1012">
        <f>industrie!K22</f>
        <v>0</v>
      </c>
      <c r="M43" s="1012">
        <f>industrie!L22</f>
        <v>0</v>
      </c>
      <c r="N43" s="1012">
        <f>industrie!M22</f>
        <v>0</v>
      </c>
      <c r="O43" s="1012">
        <f>industrie!N22</f>
        <v>0</v>
      </c>
      <c r="P43" s="1012">
        <f>industrie!O22</f>
        <v>0</v>
      </c>
      <c r="Q43" s="774">
        <f>industrie!P22</f>
        <v>0</v>
      </c>
      <c r="R43" s="849">
        <f t="shared" ca="1" si="4"/>
        <v>59121.971213486708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27997.010191025161</v>
      </c>
      <c r="D46" s="732">
        <f t="shared" ref="D46:Q46" ca="1" si="5">SUM(D39:D45)</f>
        <v>1.2139837393548272E-3</v>
      </c>
      <c r="E46" s="732">
        <f t="shared" ca="1" si="5"/>
        <v>53335.351873105355</v>
      </c>
      <c r="F46" s="732">
        <f t="shared" si="5"/>
        <v>3197.4616825682642</v>
      </c>
      <c r="G46" s="732">
        <f t="shared" ca="1" si="5"/>
        <v>15202.574593595335</v>
      </c>
      <c r="H46" s="732">
        <f t="shared" si="5"/>
        <v>0</v>
      </c>
      <c r="I46" s="732">
        <f t="shared" si="5"/>
        <v>0</v>
      </c>
      <c r="J46" s="732">
        <f t="shared" si="5"/>
        <v>0</v>
      </c>
      <c r="K46" s="732">
        <f t="shared" si="5"/>
        <v>581.20732158803173</v>
      </c>
      <c r="L46" s="732">
        <f t="shared" si="5"/>
        <v>0</v>
      </c>
      <c r="M46" s="732">
        <f t="shared" ca="1" si="5"/>
        <v>0</v>
      </c>
      <c r="N46" s="732">
        <f t="shared" si="5"/>
        <v>0</v>
      </c>
      <c r="O46" s="732">
        <f t="shared" ca="1" si="5"/>
        <v>0</v>
      </c>
      <c r="P46" s="732">
        <f t="shared" si="5"/>
        <v>0</v>
      </c>
      <c r="Q46" s="732">
        <f t="shared" si="5"/>
        <v>0</v>
      </c>
      <c r="R46" s="732">
        <f ca="1">SUM(R39:R45)</f>
        <v>100313.60687586588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178.40061132208339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178.40061132208339</v>
      </c>
    </row>
    <row r="50" spans="1:18">
      <c r="A50" s="825" t="s">
        <v>307</v>
      </c>
      <c r="B50" s="835"/>
      <c r="C50" s="703">
        <f ca="1">transport!B18</f>
        <v>20.911577420454616</v>
      </c>
      <c r="D50" s="703">
        <f>transport!C18</f>
        <v>0</v>
      </c>
      <c r="E50" s="703">
        <f>transport!D18</f>
        <v>48.783022226674376</v>
      </c>
      <c r="F50" s="703">
        <f>transport!E18</f>
        <v>251.01191400189836</v>
      </c>
      <c r="G50" s="703">
        <f>transport!F18</f>
        <v>0</v>
      </c>
      <c r="H50" s="703">
        <f>transport!G18</f>
        <v>116410.78513987236</v>
      </c>
      <c r="I50" s="703">
        <f>transport!H18</f>
        <v>16713.880215963287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133445.37186948466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20.911577420454616</v>
      </c>
      <c r="D52" s="732">
        <f t="shared" ref="D52:Q52" ca="1" si="6">SUM(D48:D51)</f>
        <v>0</v>
      </c>
      <c r="E52" s="732">
        <f t="shared" si="6"/>
        <v>48.783022226674376</v>
      </c>
      <c r="F52" s="732">
        <f t="shared" si="6"/>
        <v>251.01191400189836</v>
      </c>
      <c r="G52" s="732">
        <f t="shared" si="6"/>
        <v>0</v>
      </c>
      <c r="H52" s="732">
        <f t="shared" si="6"/>
        <v>116589.18575119444</v>
      </c>
      <c r="I52" s="732">
        <f t="shared" si="6"/>
        <v>16713.880215963287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133623.77248080674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1237.127770471064</v>
      </c>
      <c r="D54" s="703">
        <f ca="1">+landbouw!C12</f>
        <v>2.2903826549161077</v>
      </c>
      <c r="E54" s="703">
        <f>+landbouw!D12</f>
        <v>1556.1968338147828</v>
      </c>
      <c r="F54" s="703">
        <f>+landbouw!E12</f>
        <v>38.478445406311849</v>
      </c>
      <c r="G54" s="703">
        <f>+landbouw!F12</f>
        <v>6415.4370861820989</v>
      </c>
      <c r="H54" s="703">
        <f>+landbouw!G12</f>
        <v>0</v>
      </c>
      <c r="I54" s="703">
        <f>+landbouw!H12</f>
        <v>0</v>
      </c>
      <c r="J54" s="703">
        <f>+landbouw!I12</f>
        <v>0</v>
      </c>
      <c r="K54" s="703">
        <f>+landbouw!J12</f>
        <v>335.01154487059409</v>
      </c>
      <c r="L54" s="703">
        <f>+landbouw!K12</f>
        <v>0</v>
      </c>
      <c r="M54" s="703">
        <f>+landbouw!L12</f>
        <v>0</v>
      </c>
      <c r="N54" s="703">
        <f>+landbouw!M12</f>
        <v>0</v>
      </c>
      <c r="O54" s="703">
        <f>+landbouw!N12</f>
        <v>0</v>
      </c>
      <c r="P54" s="703">
        <f>+landbouw!O12</f>
        <v>0</v>
      </c>
      <c r="Q54" s="704">
        <f>+landbouw!P12</f>
        <v>0</v>
      </c>
      <c r="R54" s="731">
        <f ca="1">SUM(C54:Q54)</f>
        <v>9584.5420633997674</v>
      </c>
    </row>
    <row r="55" spans="1:18" ht="15" thickBot="1">
      <c r="A55" s="825" t="s">
        <v>848</v>
      </c>
      <c r="B55" s="835"/>
      <c r="C55" s="703">
        <f ca="1">C25*'EF ele_warmte'!B12</f>
        <v>244.68428692559209</v>
      </c>
      <c r="D55" s="703"/>
      <c r="E55" s="703">
        <f>E25*EF_CO2_aardgas</f>
        <v>304.70632296680003</v>
      </c>
      <c r="F55" s="703"/>
      <c r="G55" s="703"/>
      <c r="H55" s="703"/>
      <c r="I55" s="703"/>
      <c r="J55" s="703"/>
      <c r="K55" s="703"/>
      <c r="L55" s="703"/>
      <c r="M55" s="703"/>
      <c r="N55" s="703"/>
      <c r="O55" s="703"/>
      <c r="P55" s="703"/>
      <c r="Q55" s="704"/>
      <c r="R55" s="731">
        <f ca="1">SUM(C55:Q55)</f>
        <v>549.39060989239215</v>
      </c>
    </row>
    <row r="56" spans="1:18" ht="15.75" thickBot="1">
      <c r="A56" s="823" t="s">
        <v>849</v>
      </c>
      <c r="B56" s="836"/>
      <c r="C56" s="732">
        <f ca="1">SUM(C54:C55)</f>
        <v>1481.812057396656</v>
      </c>
      <c r="D56" s="732">
        <f t="shared" ref="D56:Q56" ca="1" si="7">SUM(D54:D55)</f>
        <v>2.2903826549161077</v>
      </c>
      <c r="E56" s="732">
        <f t="shared" si="7"/>
        <v>1860.9031567815828</v>
      </c>
      <c r="F56" s="732">
        <f t="shared" si="7"/>
        <v>38.478445406311849</v>
      </c>
      <c r="G56" s="732">
        <f t="shared" si="7"/>
        <v>6415.4370861820989</v>
      </c>
      <c r="H56" s="732">
        <f t="shared" si="7"/>
        <v>0</v>
      </c>
      <c r="I56" s="732">
        <f t="shared" si="7"/>
        <v>0</v>
      </c>
      <c r="J56" s="732">
        <f t="shared" si="7"/>
        <v>0</v>
      </c>
      <c r="K56" s="732">
        <f t="shared" si="7"/>
        <v>335.01154487059409</v>
      </c>
      <c r="L56" s="732">
        <f t="shared" si="7"/>
        <v>0</v>
      </c>
      <c r="M56" s="732">
        <f t="shared" si="7"/>
        <v>0</v>
      </c>
      <c r="N56" s="732">
        <f t="shared" si="7"/>
        <v>0</v>
      </c>
      <c r="O56" s="732">
        <f t="shared" si="7"/>
        <v>0</v>
      </c>
      <c r="P56" s="732">
        <f t="shared" si="7"/>
        <v>0</v>
      </c>
      <c r="Q56" s="733">
        <f t="shared" si="7"/>
        <v>0</v>
      </c>
      <c r="R56" s="734">
        <f ca="1">SUM(R54:R55)</f>
        <v>10133.93267329216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29499.733825842271</v>
      </c>
      <c r="D61" s="740">
        <f t="shared" ref="D61:Q61" ca="1" si="8">D46+D52+D56</f>
        <v>2.2915966386554625</v>
      </c>
      <c r="E61" s="740">
        <f t="shared" ca="1" si="8"/>
        <v>55245.03805211361</v>
      </c>
      <c r="F61" s="740">
        <f t="shared" si="8"/>
        <v>3486.9520419764744</v>
      </c>
      <c r="G61" s="740">
        <f t="shared" ca="1" si="8"/>
        <v>21618.011679777432</v>
      </c>
      <c r="H61" s="740">
        <f t="shared" si="8"/>
        <v>116589.18575119444</v>
      </c>
      <c r="I61" s="740">
        <f t="shared" si="8"/>
        <v>16713.880215963287</v>
      </c>
      <c r="J61" s="740">
        <f t="shared" si="8"/>
        <v>0</v>
      </c>
      <c r="K61" s="740">
        <f t="shared" si="8"/>
        <v>916.21886645862583</v>
      </c>
      <c r="L61" s="740">
        <f t="shared" si="8"/>
        <v>0</v>
      </c>
      <c r="M61" s="740">
        <f t="shared" ca="1" si="8"/>
        <v>0</v>
      </c>
      <c r="N61" s="740">
        <f t="shared" si="8"/>
        <v>0</v>
      </c>
      <c r="O61" s="740">
        <f t="shared" ca="1" si="8"/>
        <v>0</v>
      </c>
      <c r="P61" s="740">
        <f t="shared" si="8"/>
        <v>0</v>
      </c>
      <c r="Q61" s="740">
        <f t="shared" si="8"/>
        <v>0</v>
      </c>
      <c r="R61" s="740">
        <f ca="1">R46+R52+R56</f>
        <v>244071.31202996479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0.18819564795726421</v>
      </c>
      <c r="D63" s="781">
        <f t="shared" ca="1" si="9"/>
        <v>1.2589461000716727E-4</v>
      </c>
      <c r="E63" s="1023">
        <f t="shared" ca="1" si="9"/>
        <v>0.20200000000000004</v>
      </c>
      <c r="F63" s="781">
        <f t="shared" si="9"/>
        <v>0.22700000000000001</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10532.900707166058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12735</v>
      </c>
      <c r="C76" s="750">
        <f>'lokale energieproductie'!B8*IFERROR(SUM(D76:H76)/SUM(D76:O76),0)</f>
        <v>6.7499999999999982</v>
      </c>
      <c r="D76" s="1033">
        <f>'lokale energieproductie'!C8</f>
        <v>7.9411764705882337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14982.35294117647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1.6041176470588234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23267.90070716606</v>
      </c>
      <c r="C78" s="755">
        <f>SUM(C72:C77)</f>
        <v>6.7499999999999982</v>
      </c>
      <c r="D78" s="756">
        <f t="shared" ref="D78:H78" si="10">SUM(D76:D77)</f>
        <v>7.9411764705882337</v>
      </c>
      <c r="E78" s="756">
        <f t="shared" si="10"/>
        <v>0</v>
      </c>
      <c r="F78" s="756">
        <f t="shared" si="10"/>
        <v>0</v>
      </c>
      <c r="G78" s="756">
        <f t="shared" si="10"/>
        <v>0</v>
      </c>
      <c r="H78" s="756">
        <f t="shared" si="10"/>
        <v>0</v>
      </c>
      <c r="I78" s="756">
        <f>SUM(I76:I77)</f>
        <v>0</v>
      </c>
      <c r="J78" s="756">
        <f>SUM(J76:J77)</f>
        <v>14982.35294117647</v>
      </c>
      <c r="K78" s="756">
        <f t="shared" ref="K78:L78" si="11">SUM(K76:K77)</f>
        <v>0</v>
      </c>
      <c r="L78" s="756">
        <f t="shared" si="11"/>
        <v>0</v>
      </c>
      <c r="M78" s="756">
        <f>SUM(M76:M77)</f>
        <v>0</v>
      </c>
      <c r="N78" s="756">
        <f>SUM(N76:N77)</f>
        <v>0</v>
      </c>
      <c r="O78" s="860">
        <f>SUM(O76:O77)</f>
        <v>0</v>
      </c>
      <c r="P78" s="757">
        <v>0</v>
      </c>
      <c r="Q78" s="757">
        <f>SUM(Q76:Q77)</f>
        <v>1.6041176470588234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18192.857142857149</v>
      </c>
      <c r="C87" s="766">
        <f>'lokale energieproductie'!B17*IFERROR(SUM(D87:H87)/SUM(D87:O87),0)</f>
        <v>9.6428571428571441</v>
      </c>
      <c r="D87" s="777">
        <f>'lokale energieproductie'!C17</f>
        <v>11.344537815126051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21403.361344537818</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2.2915966386554625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18192.857142857149</v>
      </c>
      <c r="C90" s="755">
        <f>SUM(C87:C89)</f>
        <v>9.6428571428571441</v>
      </c>
      <c r="D90" s="755">
        <f t="shared" ref="D90:H90" si="12">SUM(D87:D89)</f>
        <v>11.344537815126051</v>
      </c>
      <c r="E90" s="755">
        <f t="shared" si="12"/>
        <v>0</v>
      </c>
      <c r="F90" s="755">
        <f t="shared" si="12"/>
        <v>0</v>
      </c>
      <c r="G90" s="755">
        <f t="shared" si="12"/>
        <v>0</v>
      </c>
      <c r="H90" s="755">
        <f t="shared" si="12"/>
        <v>0</v>
      </c>
      <c r="I90" s="755">
        <f>SUM(I87:I89)</f>
        <v>0</v>
      </c>
      <c r="J90" s="755">
        <f>SUM(J87:J89)</f>
        <v>21403.361344537818</v>
      </c>
      <c r="K90" s="755">
        <f t="shared" ref="K90:L90" si="13">SUM(K87:K89)</f>
        <v>0</v>
      </c>
      <c r="L90" s="755">
        <f t="shared" si="13"/>
        <v>0</v>
      </c>
      <c r="M90" s="755">
        <f>SUM(M87:M89)</f>
        <v>0</v>
      </c>
      <c r="N90" s="755">
        <f>SUM(N87:N89)</f>
        <v>0</v>
      </c>
      <c r="O90" s="755">
        <f>SUM(O87:O89)</f>
        <v>0</v>
      </c>
      <c r="P90" s="755">
        <v>0</v>
      </c>
      <c r="Q90" s="755">
        <f>SUM(Q87:Q89)</f>
        <v>2.2915966386554625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10532.900707166058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12741.75</v>
      </c>
      <c r="C8" s="570">
        <f>B101</f>
        <v>7.9411764705882337</v>
      </c>
      <c r="D8" s="1043"/>
      <c r="E8" s="1043">
        <f>E101</f>
        <v>0</v>
      </c>
      <c r="F8" s="1044"/>
      <c r="G8" s="571"/>
      <c r="H8" s="1043">
        <f>I101</f>
        <v>0</v>
      </c>
      <c r="I8" s="1043">
        <f>G101+F101</f>
        <v>0</v>
      </c>
      <c r="J8" s="1043">
        <f>H101+D101+C101</f>
        <v>14982.35294117647</v>
      </c>
      <c r="K8" s="1043"/>
      <c r="L8" s="1043"/>
      <c r="M8" s="1043"/>
      <c r="N8" s="572"/>
      <c r="O8" s="573">
        <f>C8*$C$12+D8*$D$12+E8*$E$12+F8*$F$12+G8*$G$12+H8*$H$12+I8*$I$12+J8*$J$12</f>
        <v>1.6041176470588234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23274.65070716606</v>
      </c>
      <c r="C10" s="583">
        <f t="shared" ref="C10:L10" si="0">SUM(C8:C9)</f>
        <v>7.9411764705882337</v>
      </c>
      <c r="D10" s="583">
        <f t="shared" si="0"/>
        <v>0</v>
      </c>
      <c r="E10" s="583">
        <f t="shared" si="0"/>
        <v>0</v>
      </c>
      <c r="F10" s="583">
        <f t="shared" si="0"/>
        <v>0</v>
      </c>
      <c r="G10" s="583">
        <f t="shared" si="0"/>
        <v>0</v>
      </c>
      <c r="H10" s="583">
        <f t="shared" si="0"/>
        <v>0</v>
      </c>
      <c r="I10" s="583">
        <f t="shared" si="0"/>
        <v>0</v>
      </c>
      <c r="J10" s="583">
        <f t="shared" si="0"/>
        <v>14982.35294117647</v>
      </c>
      <c r="K10" s="583">
        <f t="shared" si="0"/>
        <v>0</v>
      </c>
      <c r="L10" s="583">
        <f t="shared" si="0"/>
        <v>0</v>
      </c>
      <c r="M10" s="1046"/>
      <c r="N10" s="1046"/>
      <c r="O10" s="584">
        <f>SUM(O4:O9)</f>
        <v>1.6041176470588234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18202.500000000004</v>
      </c>
      <c r="C17" s="595">
        <f>B102</f>
        <v>11.344537815126051</v>
      </c>
      <c r="D17" s="596"/>
      <c r="E17" s="596">
        <f>E102</f>
        <v>0</v>
      </c>
      <c r="F17" s="1049"/>
      <c r="G17" s="597"/>
      <c r="H17" s="595">
        <f>I102</f>
        <v>0</v>
      </c>
      <c r="I17" s="596">
        <f>G102+F102</f>
        <v>0</v>
      </c>
      <c r="J17" s="596">
        <f>H102+D102+C102</f>
        <v>21403.361344537818</v>
      </c>
      <c r="K17" s="596"/>
      <c r="L17" s="596"/>
      <c r="M17" s="596"/>
      <c r="N17" s="1050"/>
      <c r="O17" s="598">
        <f>C17*$C$22+E17*$E$22+H17*$H$22+I17*$I$22+J17*$J$22+D17*$D$22+F17*$F$22+G17*$G$22+K17*$K$22+L17*$L$22</f>
        <v>2.2915966386554625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18202.500000000004</v>
      </c>
      <c r="C20" s="582">
        <f>SUM(C17:C19)</f>
        <v>11.344537815126051</v>
      </c>
      <c r="D20" s="582">
        <f t="shared" ref="D20:L20" si="1">SUM(D17:D19)</f>
        <v>0</v>
      </c>
      <c r="E20" s="582">
        <f t="shared" si="1"/>
        <v>0</v>
      </c>
      <c r="F20" s="582">
        <f t="shared" si="1"/>
        <v>0</v>
      </c>
      <c r="G20" s="582">
        <f t="shared" si="1"/>
        <v>0</v>
      </c>
      <c r="H20" s="582">
        <f t="shared" si="1"/>
        <v>0</v>
      </c>
      <c r="I20" s="582">
        <f t="shared" si="1"/>
        <v>0</v>
      </c>
      <c r="J20" s="582">
        <f t="shared" si="1"/>
        <v>21403.361344537818</v>
      </c>
      <c r="K20" s="582">
        <f t="shared" si="1"/>
        <v>0</v>
      </c>
      <c r="L20" s="582">
        <f t="shared" si="1"/>
        <v>0</v>
      </c>
      <c r="M20" s="582"/>
      <c r="N20" s="582"/>
      <c r="O20" s="601">
        <f>SUM(O17:O19)</f>
        <v>2.2915966386554625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44001</v>
      </c>
      <c r="C28" s="796">
        <v>9880</v>
      </c>
      <c r="D28" s="653" t="s">
        <v>890</v>
      </c>
      <c r="E28" s="652" t="s">
        <v>891</v>
      </c>
      <c r="F28" s="652" t="s">
        <v>892</v>
      </c>
      <c r="G28" s="652" t="s">
        <v>893</v>
      </c>
      <c r="H28" s="652" t="s">
        <v>894</v>
      </c>
      <c r="I28" s="652" t="s">
        <v>895</v>
      </c>
      <c r="J28" s="795">
        <v>41128</v>
      </c>
      <c r="K28" s="795">
        <v>41130</v>
      </c>
      <c r="L28" s="652" t="s">
        <v>896</v>
      </c>
      <c r="M28" s="652">
        <v>2830</v>
      </c>
      <c r="N28" s="652">
        <v>12735</v>
      </c>
      <c r="O28" s="652">
        <v>18192.857142857145</v>
      </c>
      <c r="P28" s="652">
        <v>0</v>
      </c>
      <c r="Q28" s="652">
        <v>36385.71428571429</v>
      </c>
      <c r="R28" s="652">
        <v>0</v>
      </c>
      <c r="S28" s="652">
        <v>0</v>
      </c>
      <c r="T28" s="652">
        <v>0</v>
      </c>
      <c r="U28" s="652">
        <v>0</v>
      </c>
      <c r="V28" s="652">
        <v>0</v>
      </c>
      <c r="W28" s="652">
        <v>0</v>
      </c>
      <c r="X28" s="652">
        <v>11</v>
      </c>
      <c r="Y28" s="652" t="s">
        <v>112</v>
      </c>
      <c r="Z28" s="654" t="s">
        <v>112</v>
      </c>
    </row>
    <row r="29" spans="1:26" s="606" customFormat="1" ht="25.5">
      <c r="A29" s="605"/>
      <c r="B29" s="796">
        <v>44001</v>
      </c>
      <c r="C29" s="796">
        <v>9880</v>
      </c>
      <c r="D29" s="653"/>
      <c r="E29" s="652"/>
      <c r="F29" s="652" t="s">
        <v>897</v>
      </c>
      <c r="G29" s="652" t="s">
        <v>893</v>
      </c>
      <c r="H29" s="652" t="s">
        <v>894</v>
      </c>
      <c r="I29" s="652" t="s">
        <v>898</v>
      </c>
      <c r="J29" s="795">
        <v>42298</v>
      </c>
      <c r="K29" s="795">
        <v>42298</v>
      </c>
      <c r="L29" s="652" t="s">
        <v>896</v>
      </c>
      <c r="M29" s="652">
        <v>9</v>
      </c>
      <c r="N29" s="652">
        <v>6.7499999999999991</v>
      </c>
      <c r="O29" s="652">
        <v>9.6428571428571423</v>
      </c>
      <c r="P29" s="652">
        <v>19.285714285714285</v>
      </c>
      <c r="Q29" s="652">
        <v>0</v>
      </c>
      <c r="R29" s="652">
        <v>0</v>
      </c>
      <c r="S29" s="652">
        <v>0</v>
      </c>
      <c r="T29" s="652">
        <v>0</v>
      </c>
      <c r="U29" s="652">
        <v>0</v>
      </c>
      <c r="V29" s="652">
        <v>0</v>
      </c>
      <c r="W29" s="652">
        <v>0</v>
      </c>
      <c r="X29" s="652">
        <v>1100</v>
      </c>
      <c r="Y29" s="652" t="s">
        <v>52</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2839</v>
      </c>
      <c r="N58" s="610">
        <f>SUM(N28:N57)</f>
        <v>12741.75</v>
      </c>
      <c r="O58" s="610">
        <f t="shared" ref="O58:W58" si="2">SUM(O28:O57)</f>
        <v>18202.500000000004</v>
      </c>
      <c r="P58" s="610">
        <f t="shared" si="2"/>
        <v>19.285714285714285</v>
      </c>
      <c r="Q58" s="610">
        <f t="shared" si="2"/>
        <v>36385.71428571429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v>
      </c>
      <c r="N60" s="610">
        <f ca="1">SUMIF($Z$28:AD57,"tertiair",N28:N57)</f>
        <v>6.7499999999999991</v>
      </c>
      <c r="O60" s="610">
        <f ca="1">SUMIF($Z$28:AE57,"tertiair",O28:O57)</f>
        <v>9.6428571428571423</v>
      </c>
      <c r="P60" s="610">
        <f ca="1">SUMIF($Z$28:AF57,"tertiair",P28:P57)</f>
        <v>19.285714285714285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2830</v>
      </c>
      <c r="N61" s="615">
        <f t="shared" si="4"/>
        <v>12735</v>
      </c>
      <c r="O61" s="615">
        <f t="shared" si="4"/>
        <v>18192.857142857145</v>
      </c>
      <c r="P61" s="615">
        <f t="shared" si="4"/>
        <v>0</v>
      </c>
      <c r="Q61" s="615">
        <f t="shared" si="4"/>
        <v>36385.71428571429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7.9411764705882337</v>
      </c>
      <c r="C101" s="644">
        <f t="shared" si="9"/>
        <v>14982.35294117647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11.344537815126051</v>
      </c>
      <c r="C102" s="647">
        <f t="shared" si="10"/>
        <v>21403.361344537818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40287.041795403798</v>
      </c>
      <c r="C4" s="477">
        <f>huishoudens!C8</f>
        <v>0</v>
      </c>
      <c r="D4" s="477">
        <f>huishoudens!D8</f>
        <v>49062.694199639998</v>
      </c>
      <c r="E4" s="477">
        <f>huishoudens!E8</f>
        <v>10926.5351937757</v>
      </c>
      <c r="F4" s="477">
        <f>huishoudens!F8</f>
        <v>31859.011336129701</v>
      </c>
      <c r="G4" s="477">
        <f>huishoudens!G8</f>
        <v>0</v>
      </c>
      <c r="H4" s="477">
        <f>huishoudens!H8</f>
        <v>0</v>
      </c>
      <c r="I4" s="477">
        <f>huishoudens!I8</f>
        <v>0</v>
      </c>
      <c r="J4" s="477">
        <f>huishoudens!J8</f>
        <v>1120.5558003773822</v>
      </c>
      <c r="K4" s="477">
        <f>huishoudens!K8</f>
        <v>0</v>
      </c>
      <c r="L4" s="477">
        <f>huishoudens!L8</f>
        <v>0</v>
      </c>
      <c r="M4" s="477">
        <f>huishoudens!M8</f>
        <v>0</v>
      </c>
      <c r="N4" s="477">
        <f>huishoudens!N8</f>
        <v>20512.731289321135</v>
      </c>
      <c r="O4" s="477">
        <f>huishoudens!O8</f>
        <v>487.76000000000005</v>
      </c>
      <c r="P4" s="478">
        <f>huishoudens!P8</f>
        <v>1773.2</v>
      </c>
      <c r="Q4" s="479">
        <f>SUM(B4:P4)</f>
        <v>156029.52961464773</v>
      </c>
    </row>
    <row r="5" spans="1:17">
      <c r="A5" s="476" t="s">
        <v>156</v>
      </c>
      <c r="B5" s="477">
        <f ca="1">tertiair!B16</f>
        <v>26871.661704099999</v>
      </c>
      <c r="C5" s="477">
        <f ca="1">tertiair!C16</f>
        <v>9.6428571428571423</v>
      </c>
      <c r="D5" s="477">
        <f ca="1">tertiair!D16</f>
        <v>24485.211004263827</v>
      </c>
      <c r="E5" s="477">
        <f>tertiair!E16</f>
        <v>567.0869222493252</v>
      </c>
      <c r="F5" s="477">
        <f ca="1">tertiair!F16</f>
        <v>6720.4132121049333</v>
      </c>
      <c r="G5" s="477">
        <f>tertiair!G16</f>
        <v>0</v>
      </c>
      <c r="H5" s="477">
        <f>tertiair!H16</f>
        <v>0</v>
      </c>
      <c r="I5" s="477">
        <f>tertiair!I16</f>
        <v>0</v>
      </c>
      <c r="J5" s="477">
        <f>tertiair!J16</f>
        <v>0</v>
      </c>
      <c r="K5" s="477">
        <f>tertiair!K16</f>
        <v>0</v>
      </c>
      <c r="L5" s="477">
        <f ca="1">tertiair!L16</f>
        <v>0</v>
      </c>
      <c r="M5" s="477">
        <f>tertiair!M16</f>
        <v>0</v>
      </c>
      <c r="N5" s="477">
        <f ca="1">tertiair!N16</f>
        <v>2351.9668110919533</v>
      </c>
      <c r="O5" s="477">
        <f>tertiair!O16</f>
        <v>14.070000000000002</v>
      </c>
      <c r="P5" s="478">
        <f>tertiair!P16</f>
        <v>171.6</v>
      </c>
      <c r="Q5" s="476">
        <f t="shared" ref="Q5:Q14" ca="1" si="0">SUM(B5:P5)</f>
        <v>61191.652510952896</v>
      </c>
    </row>
    <row r="6" spans="1:17">
      <c r="A6" s="476" t="s">
        <v>194</v>
      </c>
      <c r="B6" s="477">
        <f>'openbare verlichting'!B8</f>
        <v>2069.902</v>
      </c>
      <c r="C6" s="477"/>
      <c r="D6" s="477"/>
      <c r="E6" s="477"/>
      <c r="F6" s="477"/>
      <c r="G6" s="477"/>
      <c r="H6" s="477"/>
      <c r="I6" s="477"/>
      <c r="J6" s="477"/>
      <c r="K6" s="477"/>
      <c r="L6" s="477"/>
      <c r="M6" s="477"/>
      <c r="N6" s="477"/>
      <c r="O6" s="477"/>
      <c r="P6" s="478"/>
      <c r="Q6" s="476">
        <f t="shared" si="0"/>
        <v>2069.902</v>
      </c>
    </row>
    <row r="7" spans="1:17">
      <c r="A7" s="476" t="s">
        <v>112</v>
      </c>
      <c r="B7" s="477">
        <f>landbouw!B8</f>
        <v>6573.6258191900006</v>
      </c>
      <c r="C7" s="477">
        <f>landbouw!C8</f>
        <v>18192.857142857145</v>
      </c>
      <c r="D7" s="477">
        <f>landbouw!D8</f>
        <v>7703.9447218553605</v>
      </c>
      <c r="E7" s="477">
        <f>landbouw!E8</f>
        <v>169.50857007185834</v>
      </c>
      <c r="F7" s="477">
        <f>landbouw!F8</f>
        <v>24027.854255363665</v>
      </c>
      <c r="G7" s="477">
        <f>landbouw!G8</f>
        <v>0</v>
      </c>
      <c r="H7" s="477">
        <f>landbouw!H8</f>
        <v>0</v>
      </c>
      <c r="I7" s="477">
        <f>landbouw!I8</f>
        <v>0</v>
      </c>
      <c r="J7" s="477">
        <f>landbouw!J8</f>
        <v>946.36029624461617</v>
      </c>
      <c r="K7" s="477">
        <f>landbouw!K8</f>
        <v>0</v>
      </c>
      <c r="L7" s="477">
        <f>landbouw!L8</f>
        <v>0</v>
      </c>
      <c r="M7" s="477">
        <f>landbouw!M8</f>
        <v>0</v>
      </c>
      <c r="N7" s="477">
        <f>landbouw!N8</f>
        <v>0</v>
      </c>
      <c r="O7" s="477">
        <f>landbouw!O8</f>
        <v>0</v>
      </c>
      <c r="P7" s="478">
        <f>landbouw!P8</f>
        <v>0</v>
      </c>
      <c r="Q7" s="476">
        <f t="shared" si="0"/>
        <v>57614.150805582649</v>
      </c>
    </row>
    <row r="8" spans="1:17">
      <c r="A8" s="476" t="s">
        <v>638</v>
      </c>
      <c r="B8" s="477">
        <f>industrie!B18</f>
        <v>79536.844153098005</v>
      </c>
      <c r="C8" s="477">
        <f>industrie!C18</f>
        <v>0</v>
      </c>
      <c r="D8" s="477">
        <f>industrie!D18</f>
        <v>190488.49020750879</v>
      </c>
      <c r="E8" s="477">
        <f>industrie!E18</f>
        <v>2592.1121684166656</v>
      </c>
      <c r="F8" s="477">
        <f>industrie!F18</f>
        <v>18359.057075717927</v>
      </c>
      <c r="G8" s="477">
        <f>industrie!G18</f>
        <v>0</v>
      </c>
      <c r="H8" s="477">
        <f>industrie!H18</f>
        <v>0</v>
      </c>
      <c r="I8" s="477">
        <f>industrie!I18</f>
        <v>0</v>
      </c>
      <c r="J8" s="477">
        <f>industrie!J18</f>
        <v>521.2727916792046</v>
      </c>
      <c r="K8" s="477">
        <f>industrie!K18</f>
        <v>0</v>
      </c>
      <c r="L8" s="477">
        <f>industrie!L18</f>
        <v>0</v>
      </c>
      <c r="M8" s="477">
        <f>industrie!M18</f>
        <v>0</v>
      </c>
      <c r="N8" s="477">
        <f>industrie!N18</f>
        <v>38228.472501841672</v>
      </c>
      <c r="O8" s="477">
        <f>industrie!O18</f>
        <v>0</v>
      </c>
      <c r="P8" s="478">
        <f>industrie!P18</f>
        <v>0</v>
      </c>
      <c r="Q8" s="476">
        <f t="shared" si="0"/>
        <v>329726.24889826227</v>
      </c>
    </row>
    <row r="9" spans="1:17" s="482" customFormat="1">
      <c r="A9" s="480" t="s">
        <v>564</v>
      </c>
      <c r="B9" s="481">
        <f>transport!B14</f>
        <v>111.11615835666537</v>
      </c>
      <c r="C9" s="481">
        <f>transport!C14</f>
        <v>0</v>
      </c>
      <c r="D9" s="481">
        <f>transport!D14</f>
        <v>241.50011003304144</v>
      </c>
      <c r="E9" s="481">
        <f>transport!E14</f>
        <v>1105.7793568365566</v>
      </c>
      <c r="F9" s="481">
        <f>transport!F14</f>
        <v>0</v>
      </c>
      <c r="G9" s="481">
        <f>transport!G14</f>
        <v>435995.44996206876</v>
      </c>
      <c r="H9" s="481">
        <f>transport!H14</f>
        <v>67124.016931579463</v>
      </c>
      <c r="I9" s="481">
        <f>transport!I14</f>
        <v>0</v>
      </c>
      <c r="J9" s="481">
        <f>transport!J14</f>
        <v>0</v>
      </c>
      <c r="K9" s="481">
        <f>transport!K14</f>
        <v>0</v>
      </c>
      <c r="L9" s="481">
        <f>transport!L14</f>
        <v>0</v>
      </c>
      <c r="M9" s="481">
        <f>transport!M14</f>
        <v>15746.590913179476</v>
      </c>
      <c r="N9" s="481">
        <f>transport!N14</f>
        <v>0</v>
      </c>
      <c r="O9" s="481">
        <f>transport!O14</f>
        <v>0</v>
      </c>
      <c r="P9" s="481">
        <f>transport!P14</f>
        <v>0</v>
      </c>
      <c r="Q9" s="480">
        <f>SUM(B9:P9)</f>
        <v>520324.45343205391</v>
      </c>
    </row>
    <row r="10" spans="1:17">
      <c r="A10" s="476" t="s">
        <v>554</v>
      </c>
      <c r="B10" s="477">
        <f>transport!B54</f>
        <v>0</v>
      </c>
      <c r="C10" s="477">
        <f>transport!C54</f>
        <v>0</v>
      </c>
      <c r="D10" s="477">
        <f>transport!D54</f>
        <v>0</v>
      </c>
      <c r="E10" s="477">
        <f>transport!E54</f>
        <v>0</v>
      </c>
      <c r="F10" s="477">
        <f>transport!F54</f>
        <v>0</v>
      </c>
      <c r="G10" s="477">
        <f>transport!G54</f>
        <v>668.16708360330858</v>
      </c>
      <c r="H10" s="477">
        <f>transport!H54</f>
        <v>0</v>
      </c>
      <c r="I10" s="477">
        <f>transport!I54</f>
        <v>0</v>
      </c>
      <c r="J10" s="477">
        <f>transport!J54</f>
        <v>0</v>
      </c>
      <c r="K10" s="477">
        <f>transport!K54</f>
        <v>0</v>
      </c>
      <c r="L10" s="477">
        <f>transport!L54</f>
        <v>0</v>
      </c>
      <c r="M10" s="477">
        <f>transport!M54</f>
        <v>20.72504812194332</v>
      </c>
      <c r="N10" s="477">
        <f>transport!N54</f>
        <v>0</v>
      </c>
      <c r="O10" s="477">
        <f>transport!O54</f>
        <v>0</v>
      </c>
      <c r="P10" s="478">
        <f>transport!P54</f>
        <v>0</v>
      </c>
      <c r="Q10" s="476">
        <f t="shared" si="0"/>
        <v>688.89213172525194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1300.1591140999999</v>
      </c>
      <c r="C14" s="484"/>
      <c r="D14" s="484">
        <f>'SEAP template'!E25</f>
        <v>1508.4471434</v>
      </c>
      <c r="E14" s="484"/>
      <c r="F14" s="484"/>
      <c r="G14" s="484"/>
      <c r="H14" s="484"/>
      <c r="I14" s="484"/>
      <c r="J14" s="484"/>
      <c r="K14" s="484"/>
      <c r="L14" s="484"/>
      <c r="M14" s="484"/>
      <c r="N14" s="484"/>
      <c r="O14" s="484"/>
      <c r="P14" s="485"/>
      <c r="Q14" s="476">
        <f t="shared" si="0"/>
        <v>2808.6062574999996</v>
      </c>
    </row>
    <row r="15" spans="1:17" s="486" customFormat="1">
      <c r="A15" s="1038" t="s">
        <v>558</v>
      </c>
      <c r="B15" s="978">
        <f ca="1">SUM(B4:B14)</f>
        <v>156750.35074424846</v>
      </c>
      <c r="C15" s="978">
        <f t="shared" ref="C15:Q15" ca="1" si="1">SUM(C4:C14)</f>
        <v>18202.500000000004</v>
      </c>
      <c r="D15" s="978">
        <f t="shared" ca="1" si="1"/>
        <v>273490.28738670098</v>
      </c>
      <c r="E15" s="978">
        <f t="shared" si="1"/>
        <v>15361.022211350108</v>
      </c>
      <c r="F15" s="978">
        <f t="shared" ca="1" si="1"/>
        <v>80966.335879316219</v>
      </c>
      <c r="G15" s="978">
        <f t="shared" si="1"/>
        <v>436663.61704567209</v>
      </c>
      <c r="H15" s="978">
        <f t="shared" si="1"/>
        <v>67124.016931579463</v>
      </c>
      <c r="I15" s="978">
        <f t="shared" si="1"/>
        <v>0</v>
      </c>
      <c r="J15" s="978">
        <f t="shared" si="1"/>
        <v>2588.188888301203</v>
      </c>
      <c r="K15" s="978">
        <f t="shared" si="1"/>
        <v>0</v>
      </c>
      <c r="L15" s="978">
        <f t="shared" ca="1" si="1"/>
        <v>0</v>
      </c>
      <c r="M15" s="978">
        <f t="shared" si="1"/>
        <v>15767.31596130142</v>
      </c>
      <c r="N15" s="978">
        <f t="shared" ca="1" si="1"/>
        <v>61093.170602254759</v>
      </c>
      <c r="O15" s="978">
        <f t="shared" si="1"/>
        <v>501.83000000000004</v>
      </c>
      <c r="P15" s="978">
        <f t="shared" si="1"/>
        <v>1944.8</v>
      </c>
      <c r="Q15" s="978">
        <f t="shared" ca="1" si="1"/>
        <v>1130453.4356507247</v>
      </c>
    </row>
    <row r="17" spans="1:17">
      <c r="A17" s="487" t="s">
        <v>559</v>
      </c>
      <c r="B17" s="786">
        <f ca="1">huishoudens!B10</f>
        <v>0.18819564795726421</v>
      </c>
      <c r="C17" s="786">
        <f ca="1">huishoudens!C10</f>
        <v>1.2589461000716727E-4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7581.8459349674022</v>
      </c>
      <c r="C22" s="477">
        <f t="shared" ref="C22:C32" ca="1" si="3">C4*$C$17</f>
        <v>0</v>
      </c>
      <c r="D22" s="477">
        <f t="shared" ref="D22:D32" si="4">D4*$D$17</f>
        <v>9910.6642283272795</v>
      </c>
      <c r="E22" s="477">
        <f t="shared" ref="E22:E32" si="5">E4*$E$17</f>
        <v>2480.3234889870841</v>
      </c>
      <c r="F22" s="477">
        <f t="shared" ref="F22:F32" si="6">F4*$F$17</f>
        <v>8506.356026746631</v>
      </c>
      <c r="G22" s="477">
        <f t="shared" ref="G22:G32" si="7">G4*$G$17</f>
        <v>0</v>
      </c>
      <c r="H22" s="477">
        <f t="shared" ref="H22:H32" si="8">H4*$H$17</f>
        <v>0</v>
      </c>
      <c r="I22" s="477">
        <f t="shared" ref="I22:I32" si="9">I4*$I$17</f>
        <v>0</v>
      </c>
      <c r="J22" s="477">
        <f t="shared" ref="J22:J32" si="10">J4*$J$17</f>
        <v>396.6767533335933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28875.866432361989</v>
      </c>
    </row>
    <row r="23" spans="1:17">
      <c r="A23" s="476" t="s">
        <v>156</v>
      </c>
      <c r="B23" s="477">
        <f t="shared" ca="1" si="2"/>
        <v>5057.129786091502</v>
      </c>
      <c r="C23" s="477">
        <f t="shared" ca="1" si="3"/>
        <v>1.2139837393548272E-3</v>
      </c>
      <c r="D23" s="477">
        <f t="shared" ca="1" si="4"/>
        <v>4946.0126228612935</v>
      </c>
      <c r="E23" s="477">
        <f t="shared" si="5"/>
        <v>128.72873135059683</v>
      </c>
      <c r="F23" s="477">
        <f t="shared" ca="1" si="6"/>
        <v>1794.3503276320173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11926.222681919149</v>
      </c>
    </row>
    <row r="24" spans="1:17">
      <c r="A24" s="476" t="s">
        <v>194</v>
      </c>
      <c r="B24" s="477">
        <f t="shared" ca="1" si="2"/>
        <v>389.54654809803708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389.54654809803708</v>
      </c>
    </row>
    <row r="25" spans="1:17">
      <c r="A25" s="476" t="s">
        <v>112</v>
      </c>
      <c r="B25" s="477">
        <f t="shared" ca="1" si="2"/>
        <v>1237.127770471064</v>
      </c>
      <c r="C25" s="477">
        <f t="shared" ca="1" si="3"/>
        <v>2.2903826549161077</v>
      </c>
      <c r="D25" s="477">
        <f t="shared" si="4"/>
        <v>1556.1968338147828</v>
      </c>
      <c r="E25" s="477">
        <f t="shared" si="5"/>
        <v>38.478445406311849</v>
      </c>
      <c r="F25" s="477">
        <f t="shared" si="6"/>
        <v>6415.4370861820989</v>
      </c>
      <c r="G25" s="477">
        <f t="shared" si="7"/>
        <v>0</v>
      </c>
      <c r="H25" s="477">
        <f t="shared" si="8"/>
        <v>0</v>
      </c>
      <c r="I25" s="477">
        <f t="shared" si="9"/>
        <v>0</v>
      </c>
      <c r="J25" s="477">
        <f t="shared" si="10"/>
        <v>335.01154487059409</v>
      </c>
      <c r="K25" s="477">
        <f t="shared" si="11"/>
        <v>0</v>
      </c>
      <c r="L25" s="477">
        <f t="shared" si="12"/>
        <v>0</v>
      </c>
      <c r="M25" s="477">
        <f t="shared" si="13"/>
        <v>0</v>
      </c>
      <c r="N25" s="477">
        <f t="shared" si="14"/>
        <v>0</v>
      </c>
      <c r="O25" s="477">
        <f t="shared" si="15"/>
        <v>0</v>
      </c>
      <c r="P25" s="478">
        <f t="shared" si="16"/>
        <v>0</v>
      </c>
      <c r="Q25" s="476">
        <f t="shared" ca="1" si="17"/>
        <v>9584.5420633997674</v>
      </c>
    </row>
    <row r="26" spans="1:17">
      <c r="A26" s="476" t="s">
        <v>638</v>
      </c>
      <c r="B26" s="477">
        <f t="shared" ca="1" si="2"/>
        <v>14968.48792186822</v>
      </c>
      <c r="C26" s="477">
        <f t="shared" ca="1" si="3"/>
        <v>0</v>
      </c>
      <c r="D26" s="477">
        <f t="shared" si="4"/>
        <v>38478.675021916781</v>
      </c>
      <c r="E26" s="477">
        <f t="shared" si="5"/>
        <v>588.40946223058313</v>
      </c>
      <c r="F26" s="477">
        <f t="shared" si="6"/>
        <v>4901.8682392166866</v>
      </c>
      <c r="G26" s="477">
        <f t="shared" si="7"/>
        <v>0</v>
      </c>
      <c r="H26" s="477">
        <f t="shared" si="8"/>
        <v>0</v>
      </c>
      <c r="I26" s="477">
        <f t="shared" si="9"/>
        <v>0</v>
      </c>
      <c r="J26" s="477">
        <f t="shared" si="10"/>
        <v>184.53056825443841</v>
      </c>
      <c r="K26" s="477">
        <f t="shared" si="11"/>
        <v>0</v>
      </c>
      <c r="L26" s="477">
        <f t="shared" si="12"/>
        <v>0</v>
      </c>
      <c r="M26" s="477">
        <f t="shared" si="13"/>
        <v>0</v>
      </c>
      <c r="N26" s="477">
        <f t="shared" si="14"/>
        <v>0</v>
      </c>
      <c r="O26" s="477">
        <f t="shared" si="15"/>
        <v>0</v>
      </c>
      <c r="P26" s="478">
        <f t="shared" si="16"/>
        <v>0</v>
      </c>
      <c r="Q26" s="476">
        <f t="shared" ca="1" si="17"/>
        <v>59121.971213486708</v>
      </c>
    </row>
    <row r="27" spans="1:17" s="482" customFormat="1">
      <c r="A27" s="480" t="s">
        <v>564</v>
      </c>
      <c r="B27" s="780">
        <f t="shared" ca="1" si="2"/>
        <v>20.911577420454616</v>
      </c>
      <c r="C27" s="481">
        <f t="shared" ca="1" si="3"/>
        <v>0</v>
      </c>
      <c r="D27" s="481">
        <f t="shared" si="4"/>
        <v>48.783022226674376</v>
      </c>
      <c r="E27" s="481">
        <f t="shared" si="5"/>
        <v>251.01191400189836</v>
      </c>
      <c r="F27" s="481">
        <f t="shared" si="6"/>
        <v>0</v>
      </c>
      <c r="G27" s="481">
        <f t="shared" si="7"/>
        <v>116410.78513987236</v>
      </c>
      <c r="H27" s="481">
        <f t="shared" si="8"/>
        <v>16713.880215963287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133445.37186948466</v>
      </c>
    </row>
    <row r="28" spans="1:17">
      <c r="A28" s="476" t="s">
        <v>554</v>
      </c>
      <c r="B28" s="477">
        <f t="shared" ca="1" si="2"/>
        <v>0</v>
      </c>
      <c r="C28" s="477">
        <f t="shared" ca="1" si="3"/>
        <v>0</v>
      </c>
      <c r="D28" s="477">
        <f t="shared" si="4"/>
        <v>0</v>
      </c>
      <c r="E28" s="477">
        <f t="shared" si="5"/>
        <v>0</v>
      </c>
      <c r="F28" s="477">
        <f t="shared" si="6"/>
        <v>0</v>
      </c>
      <c r="G28" s="477">
        <f t="shared" si="7"/>
        <v>178.40061132208339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178.40061132208339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244.68428692559209</v>
      </c>
      <c r="C32" s="477">
        <f t="shared" ca="1" si="3"/>
        <v>0</v>
      </c>
      <c r="D32" s="477">
        <f t="shared" si="4"/>
        <v>304.70632296680003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549.39060989239215</v>
      </c>
    </row>
    <row r="33" spans="1:17" s="486" customFormat="1">
      <c r="A33" s="1038" t="s">
        <v>558</v>
      </c>
      <c r="B33" s="978">
        <f ca="1">SUM(B22:B32)</f>
        <v>29499.733825842275</v>
      </c>
      <c r="C33" s="978">
        <f t="shared" ref="C33:Q33" ca="1" si="18">SUM(C22:C32)</f>
        <v>2.2915966386554625</v>
      </c>
      <c r="D33" s="978">
        <f t="shared" ca="1" si="18"/>
        <v>55245.038052113603</v>
      </c>
      <c r="E33" s="978">
        <f t="shared" si="18"/>
        <v>3486.9520419764744</v>
      </c>
      <c r="F33" s="978">
        <f t="shared" ca="1" si="18"/>
        <v>21618.011679777432</v>
      </c>
      <c r="G33" s="978">
        <f t="shared" si="18"/>
        <v>116589.18575119444</v>
      </c>
      <c r="H33" s="978">
        <f t="shared" si="18"/>
        <v>16713.880215963287</v>
      </c>
      <c r="I33" s="978">
        <f t="shared" si="18"/>
        <v>0</v>
      </c>
      <c r="J33" s="978">
        <f t="shared" si="18"/>
        <v>916.21886645862583</v>
      </c>
      <c r="K33" s="978">
        <f t="shared" si="18"/>
        <v>0</v>
      </c>
      <c r="L33" s="978">
        <f t="shared" ca="1" si="18"/>
        <v>0</v>
      </c>
      <c r="M33" s="978">
        <f t="shared" si="18"/>
        <v>0</v>
      </c>
      <c r="N33" s="978">
        <f t="shared" ca="1" si="18"/>
        <v>0</v>
      </c>
      <c r="O33" s="978">
        <f t="shared" si="18"/>
        <v>0</v>
      </c>
      <c r="P33" s="978">
        <f t="shared" si="18"/>
        <v>0</v>
      </c>
      <c r="Q33" s="978">
        <f t="shared" ca="1" si="18"/>
        <v>244071.31202996479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10532.900707166058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12735</v>
      </c>
      <c r="C8" s="1055">
        <f>'SEAP template'!C76</f>
        <v>6.7499999999999982</v>
      </c>
      <c r="D8" s="1055">
        <f>'SEAP template'!D76</f>
        <v>7.9411764705882337</v>
      </c>
      <c r="E8" s="1055">
        <f>'SEAP template'!E76</f>
        <v>0</v>
      </c>
      <c r="F8" s="1055">
        <f>'SEAP template'!F76</f>
        <v>0</v>
      </c>
      <c r="G8" s="1055">
        <f>'SEAP template'!G76</f>
        <v>0</v>
      </c>
      <c r="H8" s="1055">
        <f>'SEAP template'!H76</f>
        <v>0</v>
      </c>
      <c r="I8" s="1055">
        <f>'SEAP template'!I76</f>
        <v>0</v>
      </c>
      <c r="J8" s="1055">
        <f>'SEAP template'!J76</f>
        <v>14982.35294117647</v>
      </c>
      <c r="K8" s="1055">
        <f>'SEAP template'!K76</f>
        <v>0</v>
      </c>
      <c r="L8" s="1055">
        <f>'SEAP template'!L76</f>
        <v>0</v>
      </c>
      <c r="M8" s="1055">
        <f>'SEAP template'!M76</f>
        <v>0</v>
      </c>
      <c r="N8" s="1055">
        <f>'SEAP template'!N76</f>
        <v>0</v>
      </c>
      <c r="O8" s="1055">
        <f>'SEAP template'!O76</f>
        <v>0</v>
      </c>
      <c r="P8" s="1056">
        <f>'SEAP template'!Q76</f>
        <v>1.6041176470588234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23267.90070716606</v>
      </c>
      <c r="C10" s="1059">
        <f>SUM(C4:C9)</f>
        <v>6.7499999999999982</v>
      </c>
      <c r="D10" s="1059">
        <f t="shared" ref="D10:H10" si="0">SUM(D8:D9)</f>
        <v>7.9411764705882337</v>
      </c>
      <c r="E10" s="1059">
        <f t="shared" si="0"/>
        <v>0</v>
      </c>
      <c r="F10" s="1059">
        <f t="shared" si="0"/>
        <v>0</v>
      </c>
      <c r="G10" s="1059">
        <f t="shared" si="0"/>
        <v>0</v>
      </c>
      <c r="H10" s="1059">
        <f t="shared" si="0"/>
        <v>0</v>
      </c>
      <c r="I10" s="1059">
        <f>SUM(I8:I9)</f>
        <v>0</v>
      </c>
      <c r="J10" s="1059">
        <f>SUM(J8:J9)</f>
        <v>14982.35294117647</v>
      </c>
      <c r="K10" s="1059">
        <f t="shared" ref="K10:L10" si="1">SUM(K8:K9)</f>
        <v>0</v>
      </c>
      <c r="L10" s="1059">
        <f t="shared" si="1"/>
        <v>0</v>
      </c>
      <c r="M10" s="1059">
        <f>SUM(M8:M9)</f>
        <v>0</v>
      </c>
      <c r="N10" s="1059">
        <f>SUM(N8:N9)</f>
        <v>0</v>
      </c>
      <c r="O10" s="1059">
        <f>SUM(O8:O9)</f>
        <v>0</v>
      </c>
      <c r="P10" s="1059">
        <f>SUM(P8:P9)</f>
        <v>1.6041176470588234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0.18819564795726421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18192.857142857149</v>
      </c>
      <c r="C17" s="1061">
        <f>'SEAP template'!C87</f>
        <v>9.6428571428571441</v>
      </c>
      <c r="D17" s="1056">
        <f>'SEAP template'!D87</f>
        <v>11.344537815126051</v>
      </c>
      <c r="E17" s="1056">
        <f>'SEAP template'!E87</f>
        <v>0</v>
      </c>
      <c r="F17" s="1056">
        <f>'SEAP template'!F87</f>
        <v>0</v>
      </c>
      <c r="G17" s="1056">
        <f>'SEAP template'!G87</f>
        <v>0</v>
      </c>
      <c r="H17" s="1056">
        <f>'SEAP template'!H87</f>
        <v>0</v>
      </c>
      <c r="I17" s="1056">
        <f>'SEAP template'!I87</f>
        <v>0</v>
      </c>
      <c r="J17" s="1056">
        <f>'SEAP template'!J87</f>
        <v>21403.361344537818</v>
      </c>
      <c r="K17" s="1056">
        <f>'SEAP template'!K87</f>
        <v>0</v>
      </c>
      <c r="L17" s="1056">
        <f>'SEAP template'!L87</f>
        <v>0</v>
      </c>
      <c r="M17" s="1056">
        <f>'SEAP template'!M87</f>
        <v>0</v>
      </c>
      <c r="N17" s="1056">
        <f>'SEAP template'!N87</f>
        <v>0</v>
      </c>
      <c r="O17" s="1056">
        <f>'SEAP template'!O87</f>
        <v>0</v>
      </c>
      <c r="P17" s="1056">
        <f>'SEAP template'!Q87</f>
        <v>2.2915966386554625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18192.857142857149</v>
      </c>
      <c r="C20" s="1059">
        <f>SUM(C17:C19)</f>
        <v>9.6428571428571441</v>
      </c>
      <c r="D20" s="1059">
        <f t="shared" ref="D20:H20" si="2">SUM(D17:D19)</f>
        <v>11.344537815126051</v>
      </c>
      <c r="E20" s="1059">
        <f t="shared" si="2"/>
        <v>0</v>
      </c>
      <c r="F20" s="1059">
        <f t="shared" si="2"/>
        <v>0</v>
      </c>
      <c r="G20" s="1059">
        <f t="shared" si="2"/>
        <v>0</v>
      </c>
      <c r="H20" s="1059">
        <f t="shared" si="2"/>
        <v>0</v>
      </c>
      <c r="I20" s="1059">
        <f>SUM(I17:I19)</f>
        <v>0</v>
      </c>
      <c r="J20" s="1059">
        <f>SUM(J17:J19)</f>
        <v>21403.361344537818</v>
      </c>
      <c r="K20" s="1059">
        <f t="shared" ref="K20:L20" si="3">SUM(K17:K19)</f>
        <v>0</v>
      </c>
      <c r="L20" s="1059">
        <f t="shared" si="3"/>
        <v>0</v>
      </c>
      <c r="M20" s="1059">
        <f>SUM(M17:M19)</f>
        <v>0</v>
      </c>
      <c r="N20" s="1059">
        <f>SUM(N17:N19)</f>
        <v>0</v>
      </c>
      <c r="O20" s="1059">
        <f>SUM(O17:O19)</f>
        <v>0</v>
      </c>
      <c r="P20" s="1059">
        <f>SUM(P17:P19)</f>
        <v>2.2915966386554625</v>
      </c>
    </row>
    <row r="22" spans="1:16">
      <c r="A22" s="487" t="s">
        <v>871</v>
      </c>
      <c r="B22" s="786" t="s">
        <v>865</v>
      </c>
      <c r="C22" s="786">
        <f ca="1">'EF ele_warmte'!B22</f>
        <v>1.2589461000716727E-4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0.18819564795726421</v>
      </c>
      <c r="C17" s="524">
        <f ca="1">'EF ele_warmte'!B22</f>
        <v>1.2589461000716727E-4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2019-08-12T08:25:27Z</dcterms:modified>
</cp:coreProperties>
</file>