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0"/>
  <c r="J24"/>
  <c r="J31"/>
  <c r="P4"/>
  <c r="Q11" i="14"/>
  <c r="O4" i="48"/>
  <c r="P11" i="14"/>
  <c r="I28" i="48"/>
  <c r="I27"/>
  <c r="I32"/>
  <c r="I29"/>
  <c r="I25"/>
  <c r="I31"/>
  <c r="I24"/>
  <c r="I26"/>
  <c r="I22"/>
  <c r="I30"/>
  <c r="D4"/>
  <c r="D22" s="1"/>
  <c r="E11" i="14"/>
  <c r="H28" i="48"/>
  <c r="H32"/>
  <c r="H25"/>
  <c r="H29"/>
  <c r="H24"/>
  <c r="H22"/>
  <c r="H30"/>
  <c r="H26"/>
  <c r="H23"/>
  <c r="C4"/>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G13"/>
  <c r="H18" i="14"/>
  <c r="H13" i="48"/>
  <c r="H31" s="1"/>
  <c r="I18" i="14"/>
  <c r="K23" i="48"/>
  <c r="K33" s="1"/>
  <c r="K15"/>
  <c r="C22" i="14"/>
  <c r="P8" i="48"/>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K11"/>
  <c r="J4" i="48"/>
  <c r="E7"/>
  <c r="E25" s="1"/>
  <c r="F24" i="14"/>
  <c r="F26" s="1"/>
  <c r="M9" i="48"/>
  <c r="N20" i="14"/>
  <c r="N22" s="1"/>
  <c r="N27" s="1"/>
  <c r="O22" i="16"/>
  <c r="P43" i="14" s="1"/>
  <c r="P46" s="1"/>
  <c r="P61" s="1"/>
  <c r="P63" s="1"/>
  <c r="O8" i="48"/>
  <c r="O26" s="1"/>
  <c r="O33" s="1"/>
  <c r="P13" i="14"/>
  <c r="P16" s="1"/>
  <c r="P27" s="1"/>
  <c r="I23" i="48"/>
  <c r="I33" s="1"/>
  <c r="I15"/>
  <c r="G31"/>
  <c r="Q13"/>
  <c r="I20" i="14"/>
  <c r="I22" s="1"/>
  <c r="I27" s="1"/>
  <c r="H9" i="48"/>
  <c r="R18" i="14"/>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20"/>
  <c r="R20" s="1"/>
  <c r="R22" s="1"/>
  <c r="G9" i="48"/>
  <c r="M27"/>
  <c r="M33" s="1"/>
  <c r="M15"/>
  <c r="E22"/>
  <c r="Q4"/>
  <c r="H27"/>
  <c r="H33" s="1"/>
  <c r="H15"/>
  <c r="J22"/>
  <c r="E5"/>
  <c r="E23" s="1"/>
  <c r="F10" i="14"/>
  <c r="J5" i="48"/>
  <c r="J23" s="1"/>
  <c r="K10" i="14"/>
  <c r="G28" i="48"/>
  <c r="Q10"/>
  <c r="R24" i="14"/>
  <c r="R26" s="1"/>
  <c r="O15" i="48"/>
  <c r="Q7"/>
  <c r="E20" i="15"/>
  <c r="F40" i="14" s="1"/>
  <c r="J18" i="16"/>
  <c r="E18"/>
  <c r="F18"/>
  <c r="F22" s="1"/>
  <c r="G43" i="14" s="1"/>
  <c r="N18" i="16"/>
  <c r="G18" i="22"/>
  <c r="H50" i="14" s="1"/>
  <c r="H52" s="1"/>
  <c r="H61" s="1"/>
  <c r="H18" i="22"/>
  <c r="I50" i="14" s="1"/>
  <c r="I52" s="1"/>
  <c r="I61" s="1"/>
  <c r="I63" s="1"/>
  <c r="J22" i="16" l="1"/>
  <c r="K43" i="14" s="1"/>
  <c r="K46" s="1"/>
  <c r="K61" s="1"/>
  <c r="J8" i="48"/>
  <c r="K13" i="14"/>
  <c r="K16" s="1"/>
  <c r="K27" s="1"/>
  <c r="E8" i="48"/>
  <c r="E26" s="1"/>
  <c r="E33" s="1"/>
  <c r="F13" i="14"/>
  <c r="G27" i="48"/>
  <c r="G33" s="1"/>
  <c r="G15"/>
  <c r="Q9"/>
  <c r="H22" i="14"/>
  <c r="H27" s="1"/>
  <c r="H63" s="1"/>
  <c r="F16"/>
  <c r="F27" s="1"/>
  <c r="E22" i="16"/>
  <c r="F43" i="14" s="1"/>
  <c r="F46" s="1"/>
  <c r="F61" s="1"/>
  <c r="F63" s="1"/>
  <c r="N8" i="48"/>
  <c r="N26" s="1"/>
  <c r="O13" i="14"/>
  <c r="N22" i="16"/>
  <c r="O43" i="14" s="1"/>
  <c r="G13"/>
  <c r="F8" i="48"/>
  <c r="J26" l="1"/>
  <c r="J33" s="1"/>
  <c r="J15"/>
  <c r="R13" i="14"/>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<sst xmlns="http://schemas.openxmlformats.org/spreadsheetml/2006/main" count="2401" uniqueCount="897">
  <si>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</si>
  <si>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</si>
  <si>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</si>
  <si>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</si>
  <si>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</si>
  <si>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</si>
  <si>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</si>
  <si>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</si>
  <si>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</si>
  <si>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</si>
  <si>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</si>
  <si>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</si>
  <si>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</si>
  <si>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</si>
  <si>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</si>
  <si>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</si>
  <si>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</si>
  <si>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</si>
  <si>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</si>
  <si>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</si>
  <si>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</si>
  <si>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</si>
  <si>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</si>
  <si>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</si>
  <si>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</si>
  <si>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</si>
  <si>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</si>
  <si>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</si>
  <si>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</si>
  <si>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</si>
  <si>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</si>
  <si>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</si>
  <si>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</si>
  <si>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</si>
  <si>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</si>
  <si>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</si>
  <si>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</si>
  <si>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</si>
  <si>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</si>
  <si>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</si>
  <si>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</si>
  <si>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</si>
  <si>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</si>
  <si>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</si>
  <si>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</si>
  <si>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</si>
  <si>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</si>
  <si>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</si>
  <si>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</si>
  <si>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</si>
  <si>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</si>
  <si>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</si>
  <si>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</si>
  <si>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</si>
  <si>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</si>
  <si>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</si>
  <si>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</si>
  <si>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</si>
  <si>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</si>
  <si>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</si>
  <si>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</si>
  <si>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</si>
  <si>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</si>
  <si>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</si>
  <si>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</si>
  <si>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</si>
  <si>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</si>
  <si>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</si>
  <si>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</si>
  <si>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</si>
  <si>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</si>
  <si>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</si>
  <si>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</si>
  <si>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</si>
  <si>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</si>
  <si>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</si>
  <si>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</si>
  <si>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</si>
  <si>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</si>
  <si>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</si>
  <si>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</si>
  <si>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</si>
  <si>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</si>
  <si>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</si>
  <si>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</si>
  <si>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</si>
  <si>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</si>
  <si>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</si>
  <si>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</si>
  <si>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</si>
  <si>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</si>
  <si>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</si>
  <si>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</si>
  <si>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</si>
  <si>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</si>
  <si>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</si>
  <si>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</si>
  <si>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</si>
  <si>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</si>
  <si>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</si>
  <si>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</si>
  <si>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</si>
  <si>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</si>
  <si>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</si>
  <si>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</si>
  <si>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</si>
  <si>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</si>
  <si>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</si>
  <si>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</si>
  <si>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</si>
  <si>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</si>
  <si>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</si>
  <si>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</si>
  <si>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</si>
  <si>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</si>
  <si>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</si>
  <si>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</si>
  <si>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</si>
  <si>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</si>
  <si>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</si>
  <si>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</si>
  <si>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</si>
  <si>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</si>
  <si>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</si>
  <si>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</si>
  <si>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</si>
  <si>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</si>
  <si>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</si>
  <si>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</si>
  <si>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</si>
  <si>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</si>
  <si>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</si>
  <si>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</si>
  <si>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</si>
  <si>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</si>
  <si>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</si>
  <si>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</si>
  <si>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</si>
  <si>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</si>
  <si>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</si>
  <si>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</si>
  <si>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</si>
  <si>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</si>
  <si>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</si>
  <si>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</si>
  <si>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</si>
  <si>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</si>
  <si>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</si>
  <si>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</si>
  <si>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</si>
  <si>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</si>
  <si>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</si>
  <si>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</si>
  <si>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</si>
  <si>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</si>
  <si>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</si>
  <si>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</si>
  <si>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</si>
  <si>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</si>
  <si>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</si>
  <si>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</si>
  <si>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</si>
  <si>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</si>
  <si>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</si>
  <si>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</si>
  <si>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</si>
  <si>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</si>
  <si>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</si>
  <si>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</si>
  <si>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</si>
  <si>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</si>
  <si>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</si>
  <si>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</si>
  <si>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</si>
  <si>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</si>
  <si>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</si>
  <si>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</si>
  <si>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</si>
  <si>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</si>
  <si>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</si>
  <si>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</si>
  <si>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</si>
  <si>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</si>
  <si>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</si>
  <si>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</si>
  <si>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</si>
  <si>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</si>
  <si>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</si>
  <si>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</si>
  <si>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</si>
  <si>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</si>
  <si>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</si>
  <si>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</si>
  <si>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</si>
  <si>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</si>
  <si>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</si>
  <si>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</si>
  <si>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</si>
  <si>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</si>
  <si>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</si>
  <si>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</si>
  <si>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</si>
  <si>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</si>
  <si>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</si>
  <si>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</si>
  <si>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</si>
  <si>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</si>
  <si>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</si>
  <si>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</si>
  <si>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</si>
  <si>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</si>
  <si>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</si>
  <si>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</si>
  <si>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</si>
  <si>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</si>
  <si>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</si>
  <si>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</si>
  <si>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</si>
  <si>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</si>
  <si>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</si>
  <si>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</si>
  <si>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</si>
  <si>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</si>
  <si>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</si>
  <si>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</si>
  <si>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</si>
  <si>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</si>
  <si>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</si>
  <si>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</si>
  <si>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</si>
  <si>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</si>
  <si>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</si>
  <si>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</si>
  <si>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</si>
  <si>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</si>
  <si>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</si>
  <si>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</si>
  <si>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</si>
  <si>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</si>
  <si>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</si>
  <si>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</si>
  <si>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</si>
  <si>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</si>
  <si>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</si>
  <si>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</si>
  <si>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</si>
  <si>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</si>
  <si>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</si>
  <si>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</si>
  <si>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</si>
  <si>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</si>
  <si>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</si>
  <si>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</si>
  <si>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</si>
  <si>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</si>
  <si>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</si>
  <si>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</si>
  <si>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</si>
  <si>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</si>
  <si>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</si>
  <si>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</si>
  <si>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</si>
  <si>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</si>
  <si>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</si>
  <si>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</si>
  <si>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</si>
  <si>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</si>
  <si>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</si>
  <si>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</si>
  <si>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</si>
  <si>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</si>
  <si>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</si>
  <si>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</si>
  <si>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</si>
  <si>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</si>
  <si>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</si>
  <si>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</si>
  <si>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</si>
  <si>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</si>
  <si>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</si>
  <si>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</si>
  <si>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</si>
  <si>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</si>
  <si>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</si>
  <si>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</si>
  <si>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</si>
  <si>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</si>
  <si>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</si>
  <si>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</si>
  <si>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</si>
  <si>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</si>
  <si>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</si>
  <si>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</si>
  <si>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</si>
  <si>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</si>
  <si>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</si>
  <si>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</si>
  <si>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</si>
  <si>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</si>
  <si>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</si>
  <si>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</si>
  <si>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</si>
  <si>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</si>
  <si>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</si>
  <si>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</si>
  <si>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</si>
  <si>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</si>
  <si>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</si>
  <si>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</si>
  <si>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</si>
  <si>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</si>
  <si>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</si>
  <si>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</si>
  <si>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</si>
  <si>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</si>
  <si>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</si>
  <si>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</si>
  <si>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</si>
  <si>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</si>
  <si>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</si>
  <si>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</si>
  <si>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</si>
  <si>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</si>
  <si>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</si>
  <si>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</si>
  <si>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</si>
  <si>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</si>
  <si>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</si>
  <si>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</si>
  <si>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</si>
  <si>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</si>
  <si>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</si>
  <si>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</si>
  <si>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</si>
  <si>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</si>
  <si>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</si>
  <si>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</si>
  <si>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</si>
  <si>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</si>
  <si>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</si>
  <si>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</si>
  <si>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</si>
  <si>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</si>
  <si>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</si>
  <si>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</si>
  <si>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</si>
  <si>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</si>
  <si>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</si>
  <si>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</si>
  <si>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</si>
  <si>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</si>
  <si>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</si>
  <si>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</si>
  <si>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</si>
  <si>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</si>
  <si>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</si>
  <si>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</si>
  <si>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</si>
  <si>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</si>
  <si>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</si>
  <si>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</si>
  <si>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</si>
  <si>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</si>
  <si>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</si>
  <si>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</si>
  <si>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</si>
  <si>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</si>
  <si>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</si>
  <si>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</si>
  <si>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</si>
  <si>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</si>
  <si>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</si>
  <si>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</si>
  <si>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</si>
  <si>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</si>
  <si>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</si>
  <si>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</si>
  <si>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</si>
  <si>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</si>
  <si>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</si>
  <si>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</si>
  <si>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</si>
  <si>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</si>
  <si>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</si>
  <si>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</si>
  <si>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</si>
  <si>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</si>
  <si>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</si>
  <si>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</si>
  <si>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</si>
  <si>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</si>
  <si>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</si>
  <si>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</si>
  <si>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</si>
  <si>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</si>
  <si>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</si>
  <si>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</si>
  <si>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</si>
  <si>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</si>
  <si>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</si>
  <si>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</si>
  <si>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</si>
  <si>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</si>
  <si>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</si>
  <si>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</si>
  <si>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</si>
  <si>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</si>
  <si>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</si>
  <si>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</si>
  <si>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</si>
  <si>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</si>
  <si>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</si>
  <si>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</si>
  <si>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</si>
  <si>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</si>
  <si>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</si>
  <si>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</si>
  <si>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</si>
  <si>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</si>
  <si>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</si>
  <si>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</si>
  <si>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</si>
  <si>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</si>
  <si>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</si>
  <si>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</si>
  <si>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</si>
  <si>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</si>
  <si>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</si>
  <si>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</si>
  <si>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</si>
  <si>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</si>
  <si>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</si>
  <si>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</si>
  <si>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</si>
  <si>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</si>
  <si>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</si>
  <si>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</si>
  <si>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</si>
  <si>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</si>
  <si>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</si>
  <si>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</si>
  <si>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</si>
  <si>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</si>
  <si>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</si>
  <si>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</si>
  <si>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</si>
  <si>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</si>
  <si>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</si>
  <si>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</si>
  <si>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</si>
  <si>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</si>
  <si>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</si>
  <si>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</si>
  <si>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</si>
  <si>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</si>
  <si>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</si>
  <si>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</si>
  <si>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</si>
  <si>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</si>
  <si>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</si>
  <si>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</si>
  <si>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</si>
  <si>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</si>
  <si>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</si>
  <si>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</si>
  <si>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</si>
  <si>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</si>
  <si>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</si>
  <si>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</si>
  <si>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</si>
  <si>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</si>
  <si>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</si>
  <si>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</si>
  <si>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</si>
  <si>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</si>
  <si>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</si>
  <si>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</si>
  <si>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</si>
  <si>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</si>
  <si>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</si>
  <si>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</si>
  <si>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</si>
  <si>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</si>
  <si>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</si>
  <si>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</si>
  <si>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</si>
  <si>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</si>
  <si>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</si>
  <si>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</si>
  <si>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</si>
  <si>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</si>
  <si>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</si>
  <si>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</si>
  <si>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</si>
  <si>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</si>
  <si>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</si>
  <si>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</si>
  <si>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</si>
  <si>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</si>
  <si>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</si>
  <si>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</si>
  <si>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</si>
  <si>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</si>
  <si>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</si>
  <si>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</si>
  <si>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</si>
  <si>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</si>
  <si>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</si>
  <si>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</si>
  <si>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</si>
  <si>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</si>
  <si>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</si>
  <si>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</si>
  <si>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</si>
  <si>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</si>
  <si>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</si>
  <si>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</si>
  <si>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</si>
  <si>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</si>
  <si>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</si>
  <si>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</si>
  <si>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</si>
  <si>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</si>
  <si>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</si>
  <si>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</si>
  <si>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</si>
  <si>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</si>
  <si>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</si>
  <si>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</si>
  <si>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</si>
  <si>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</si>
  <si>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</si>
  <si>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</si>
  <si>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</si>
  <si>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</si>
  <si>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</si>
  <si>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</si>
  <si>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</si>
  <si>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</si>
  <si>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</si>
  <si>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</si>
  <si>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</si>
  <si>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</si>
  <si>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</si>
  <si>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</si>
  <si>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</si>
  <si>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</si>
  <si>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</si>
  <si>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</si>
  <si>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</si>
  <si>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</si>
  <si>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</si>
  <si>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</si>
  <si>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</si>
  <si>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</si>
  <si>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</si>
  <si>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</si>
  <si>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</si>
  <si>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</si>
  <si>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</si>
  <si>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</si>
  <si>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</si>
  <si>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</si>
  <si>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</si>
  <si>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</si>
  <si>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</si>
  <si>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</si>
  <si>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</si>
  <si>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</si>
  <si>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</si>
  <si>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</si>
  <si>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</si>
  <si>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</si>
  <si>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</si>
  <si>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</si>
  <si>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</si>
  <si>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</si>
  <si>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</si>
  <si>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</si>
  <si>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</si>
  <si>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</si>
  <si>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</si>
  <si>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</si>
  <si>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</si>
  <si>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</si>
  <si>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</si>
  <si>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</si>
  <si>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</si>
  <si>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</si>
  <si>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</si>
  <si>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</si>
  <si>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</si>
  <si>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</si>
  <si>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</si>
  <si>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</si>
  <si>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</si>
  <si>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</si>
  <si>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</si>
  <si>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</si>
  <si>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</si>
  <si>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</si>
  <si>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</si>
  <si>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</si>
  <si>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</si>
  <si>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</si>
  <si>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</si>
  <si>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</si>
  <si>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</si>
  <si>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</si>
  <si>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</si>
  <si>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</si>
  <si>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</si>
  <si>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</si>
  <si>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</si>
  <si>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</si>
  <si>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</si>
  <si>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</si>
  <si>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</si>
  <si>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</si>
  <si>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</si>
  <si>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</si>
  <si>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</si>
  <si>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</si>
  <si>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</si>
  <si>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</si>
  <si>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</si>
  <si>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</si>
  <si>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</si>
  <si>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</si>
  <si>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</si>
  <si>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</si>
  <si>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</si>
  <si>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</si>
  <si>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</si>
  <si>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</si>
  <si>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</si>
  <si>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</si>
  <si>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</si>
  <si>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</si>
  <si>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</si>
  <si>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</si>
  <si>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</si>
  <si>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</si>
  <si>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</si>
  <si>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</si>
  <si>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</si>
  <si>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</si>
  <si>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</si>
  <si>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</si>
  <si>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</si>
  <si>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</si>
  <si>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</si>
  <si>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</si>
  <si>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</si>
  <si>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</si>
  <si>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</si>
  <si>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</si>
  <si>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</si>
  <si>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</si>
  <si>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</si>
  <si>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</si>
  <si>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</si>
  <si>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</si>
  <si>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</si>
  <si>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</si>
  <si>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</si>
  <si>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</si>
  <si>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</si>
  <si>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</si>
  <si>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</si>
  <si>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</si>
  <si>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</si>
  <si>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</si>
  <si>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</si>
  <si>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</si>
  <si>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</si>
  <si>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</si>
  <si>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</si>
  <si>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</si>
  <si>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</si>
  <si>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</si>
  <si>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</si>
  <si>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</si>
  <si>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</si>
  <si>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</si>
  <si>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</si>
  <si>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</si>
  <si>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</si>
  <si>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</si>
  <si>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</si>
  <si>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</si>
  <si>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</si>
  <si>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</si>
  <si>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</si>
  <si>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</si>
  <si>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</si>
  <si>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</si>
  <si>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</si>
  <si>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</si>
  <si>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</si>
  <si>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</si>
  <si>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</si>
  <si>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</si>
  <si>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</si>
  <si>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</si>
  <si>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</si>
  <si>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</si>
  <si>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</si>
  <si>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</si>
  <si>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</si>
  <si>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</si>
  <si>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</si>
  <si>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</si>
  <si>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</si>
  <si>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</si>
  <si>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</si>
  <si>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</si>
  <si>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</si>
  <si>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</si>
  <si>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</si>
  <si>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</si>
  <si>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</si>
  <si>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</si>
  <si>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</si>
  <si>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</si>
  <si>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</si>
  <si>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</si>
  <si>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</si>
  <si>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</si>
  <si>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</si>
  <si>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</si>
  <si>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</si>
  <si>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</si>
  <si>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</si>
  <si>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</si>
  <si>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</si>
  <si>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</si>
  <si>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</si>
  <si>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</si>
  <si>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</si>
  <si>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</si>
  <si>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</si>
  <si>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</si>
  <si>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</si>
  <si>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</si>
  <si>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</si>
  <si>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</si>
  <si>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</si>
  <si>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</si>
  <si>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</si>
  <si>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</si>
  <si>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</si>
  <si>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</si>
  <si>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</si>
  <si>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</si>
  <si>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</si>
  <si>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</si>
  <si>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</si>
  <si>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</si>
  <si>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</si>
  <si>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</si>
  <si>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</si>
  <si>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</si>
  <si>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</si>
  <si>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</si>
  <si>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</si>
  <si>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</si>
  <si>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</si>
  <si>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</si>
  <si>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</si>
  <si>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</si>
  <si>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</si>
  <si>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</si>
  <si>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</si>
  <si>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</si>
  <si>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</si>
  <si>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</si>
  <si>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</si>
  <si>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</si>
  <si>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</si>
  <si>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</si>
  <si>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</si>
  <si>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</si>
  <si>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</si>
  <si>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</si>
  <si>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</si>
  <si>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</si>
  <si>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</si>
  <si>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</si>
  <si>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</si>
  <si>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</si>
  <si>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</si>
  <si>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</si>
  <si>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</si>
  <si>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</si>
  <si>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</si>
  <si>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</si>
  <si>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</si>
  <si>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</si>
  <si>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</si>
  <si>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</si>
  <si>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</si>
  <si>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</si>
  <si>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</si>
  <si>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</si>
  <si>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</si>
  <si>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</si>
  <si>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</si>
  <si>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</si>
  <si>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</si>
  <si>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</si>
  <si>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</si>
  <si>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</si>
  <si>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</si>
  <si>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</si>
  <si>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</si>
  <si>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</si>
  <si>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</si>
  <si>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</si>
  <si>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</si>
  <si>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</si>
  <si>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</si>
  <si>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</si>
  <si>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</si>
  <si>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</si>
  <si>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</si>
  <si>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</si>
  <si>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</si>
  <si>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</si>
  <si>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</si>
  <si>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</si>
  <si>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</si>
  <si>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</si>
  <si>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</si>
  <si>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</si>
  <si>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</si>
  <si>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</si>
  <si>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</si>
  <si>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</si>
  <si>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</si>
  <si>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</si>
  <si>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</si>
  <si>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</si>
  <si>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</si>
  <si>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</si>
  <si>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</si>
  <si>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</si>
  <si>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</si>
  <si>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</si>
  <si>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</si>
  <si>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</si>
  <si>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</si>
  <si>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</si>
  <si>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</si>
  <si>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</si>
  <si>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</si>
  <si>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</si>
  <si>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</si>
  <si>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</si>
  <si>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</si>
  <si>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</si>
  <si>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</si>
  <si>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</si>
  <si>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</si>
  <si>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</si>
  <si>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</si>
  <si>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</si>
  <si>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</si>
  <si>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</si>
  <si>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</si>
  <si>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</si>
  <si>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</si>
  <si>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</si>
  <si>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</si>
  <si>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</si>
  <si>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</si>
  <si>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</si>
  <si>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</si>
  <si>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</si>
  <si>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</si>
  <si>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</si>
  <si>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</si>
  <si>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43005</t>
  </si>
  <si>
    <t>EEKLO</t>
  </si>
  <si>
    <t>Paarden&amp;pony's 200 - 600 kg</t>
  </si>
  <si>
    <t>Paarden&amp;pony's &lt; 200 kg</t>
  </si>
  <si>
    <t>referentietaak LNE (2017); Jaarverslag De Lijn (2015)</t>
  </si>
  <si>
    <t>op basis van VEA (maart 2018) en Inventaris Hernieuwbare Energiebronnen (juni 2018)</t>
  </si>
  <si>
    <t>VEA (januari 2017)</t>
  </si>
  <si>
    <t>VEA (juni 2018)</t>
  </si>
  <si>
    <t>Ecopower cvba</t>
  </si>
  <si>
    <t>Posthoflei 3 3, 2600 Berchem</t>
  </si>
  <si>
    <t>BMS-0039 Ecopower Eeklo plantenolie</t>
  </si>
  <si>
    <t>biomassa uit land- of bosbouw</t>
  </si>
  <si>
    <t>niet WKK interne verbrandingsmotor (vloeibaar)</t>
  </si>
  <si>
    <t>Industrielaan 2 , 9900 Eeklo</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</si>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</sst>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138858.65577108008</c:v>
                </c:pt>
                <c:pt idx="1">
                  <c:v>95391.807148476932</c:v>
                </c:pt>
                <c:pt idx="2">
                  <c:v>1454.172</c:v>
                </c:pt>
                <c:pt idx="3">
                  <c:v>10344.243881612998</c:v>
                </c:pt>
                <c:pt idx="4">
                  <c:v>153314.90002386871</c:v>
                </c:pt>
                <c:pt idx="5">
                  <c:v>120957.83309082611</c:v>
                </c:pt>
                <c:pt idx="6">
                  <c:v>1406.5137133443759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49852544"/>
        <c:axId val="149854080"/>
      </c:barChart>
      <c:catAx>
        <c:axId val="149852544"/>
        <c:scaling>
          <c:orientation val="minMax"/>
        </c:scaling>
        <c:axPos val="b"/>
        <c:numFmt formatCode="General" sourceLinked="0"/>
        <c:tickLblPos val="nextTo"/>
        <c:crossAx val="149854080"/>
        <c:crosses val="autoZero"/>
        <c:auto val="1"/>
        <c:lblAlgn val="ctr"/>
        <c:lblOffset val="100"/>
      </c:catAx>
      <c:valAx>
        <c:axId val="149854080"/>
        <c:scaling>
          <c:orientation val="minMax"/>
        </c:scaling>
        <c:axPos val="l"/>
        <c:majorGridlines/>
        <c:numFmt formatCode="#,##0" sourceLinked="1"/>
        <c:tickLblPos val="nextTo"/>
        <c:crossAx val="1498525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138858.65577108008</c:v>
                </c:pt>
                <c:pt idx="1">
                  <c:v>95391.807148476932</c:v>
                </c:pt>
                <c:pt idx="2">
                  <c:v>1454.172</c:v>
                </c:pt>
                <c:pt idx="3">
                  <c:v>10344.243881612998</c:v>
                </c:pt>
                <c:pt idx="4">
                  <c:v>153314.90002386871</c:v>
                </c:pt>
                <c:pt idx="5">
                  <c:v>120957.83309082611</c:v>
                </c:pt>
                <c:pt idx="6">
                  <c:v>1406.5137133443759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24817.459122126569</c:v>
                </c:pt>
                <c:pt idx="2">
                  <c:v>17901.096281957376</c:v>
                </c:pt>
                <c:pt idx="3">
                  <c:v>245.90654301496431</c:v>
                </c:pt>
                <c:pt idx="4">
                  <c:v>2566.7191191813099</c:v>
                </c:pt>
                <c:pt idx="5">
                  <c:v>18296.109168333507</c:v>
                </c:pt>
                <c:pt idx="6">
                  <c:v>31011.885114971883</c:v>
                </c:pt>
                <c:pt idx="7">
                  <c:v>364.24121388224074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79284992"/>
        <c:axId val="179319552"/>
      </c:barChart>
      <c:catAx>
        <c:axId val="179284992"/>
        <c:scaling>
          <c:orientation val="minMax"/>
        </c:scaling>
        <c:axPos val="b"/>
        <c:numFmt formatCode="General" sourceLinked="0"/>
        <c:tickLblPos val="nextTo"/>
        <c:crossAx val="179319552"/>
        <c:crosses val="autoZero"/>
        <c:auto val="1"/>
        <c:lblAlgn val="ctr"/>
        <c:lblOffset val="100"/>
      </c:catAx>
      <c:valAx>
        <c:axId val="179319552"/>
        <c:scaling>
          <c:orientation val="minMax"/>
        </c:scaling>
        <c:axPos val="l"/>
        <c:majorGridlines/>
        <c:numFmt formatCode="#,##0" sourceLinked="1"/>
        <c:tickLblPos val="nextTo"/>
        <c:crossAx val="179284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24817.459122126569</c:v>
                </c:pt>
                <c:pt idx="2">
                  <c:v>17901.096281957376</c:v>
                </c:pt>
                <c:pt idx="3">
                  <c:v>245.90654301496431</c:v>
                </c:pt>
                <c:pt idx="4">
                  <c:v>2566.7191191813099</c:v>
                </c:pt>
                <c:pt idx="5">
                  <c:v>18296.109168333507</c:v>
                </c:pt>
                <c:pt idx="6">
                  <c:v>31011.885114971883</c:v>
                </c:pt>
                <c:pt idx="7">
                  <c:v>364.24121388224074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43005</v>
      </c>
      <c r="B6" s="415"/>
      <c r="C6" s="416"/>
    </row>
    <row r="7" spans="1:7" s="413" customFormat="1" ht="15.75" customHeight="1">
      <c r="A7" s="417" t="str">
        <f>txtMunicipality</f>
        <v>EEKLO</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0.16910416581736157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0.16910416581736157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9243</v>
      </c>
      <c r="C9" s="342">
        <v>9763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1629.5</v>
      </c>
    </row>
    <row r="15" spans="1:6">
      <c r="A15" s="348" t="s">
        <v>184</v>
      </c>
      <c r="B15" s="334">
        <v>36</v>
      </c>
    </row>
    <row r="16" spans="1:6">
      <c r="A16" s="348" t="s">
        <v>6</v>
      </c>
      <c r="B16" s="334">
        <v>1318</v>
      </c>
    </row>
    <row r="17" spans="1:6">
      <c r="A17" s="348" t="s">
        <v>7</v>
      </c>
      <c r="B17" s="334">
        <v>445</v>
      </c>
    </row>
    <row r="18" spans="1:6">
      <c r="A18" s="348" t="s">
        <v>8</v>
      </c>
      <c r="B18" s="334">
        <v>1002</v>
      </c>
    </row>
    <row r="19" spans="1:6">
      <c r="A19" s="348" t="s">
        <v>9</v>
      </c>
      <c r="B19" s="334">
        <v>1013</v>
      </c>
    </row>
    <row r="20" spans="1:6">
      <c r="A20" s="348" t="s">
        <v>10</v>
      </c>
      <c r="B20" s="334">
        <v>607</v>
      </c>
    </row>
    <row r="21" spans="1:6">
      <c r="A21" s="348" t="s">
        <v>11</v>
      </c>
      <c r="B21" s="334">
        <v>11099</v>
      </c>
    </row>
    <row r="22" spans="1:6">
      <c r="A22" s="348" t="s">
        <v>12</v>
      </c>
      <c r="B22" s="334">
        <v>25866</v>
      </c>
    </row>
    <row r="23" spans="1:6">
      <c r="A23" s="348" t="s">
        <v>13</v>
      </c>
      <c r="B23" s="334">
        <v>551</v>
      </c>
    </row>
    <row r="24" spans="1:6">
      <c r="A24" s="348" t="s">
        <v>14</v>
      </c>
      <c r="B24" s="334">
        <v>18</v>
      </c>
    </row>
    <row r="25" spans="1:6">
      <c r="A25" s="348" t="s">
        <v>15</v>
      </c>
      <c r="B25" s="334">
        <v>2228</v>
      </c>
    </row>
    <row r="26" spans="1:6">
      <c r="A26" s="348" t="s">
        <v>16</v>
      </c>
      <c r="B26" s="334">
        <v>127</v>
      </c>
    </row>
    <row r="27" spans="1:6">
      <c r="A27" s="348" t="s">
        <v>17</v>
      </c>
      <c r="B27" s="334">
        <v>0</v>
      </c>
    </row>
    <row r="28" spans="1:6" s="356" customFormat="1">
      <c r="A28" s="355" t="s">
        <v>18</v>
      </c>
      <c r="B28" s="355">
        <v>33003</v>
      </c>
    </row>
    <row r="29" spans="1:6">
      <c r="A29" s="355" t="s">
        <v>884</v>
      </c>
      <c r="B29" s="355">
        <v>57</v>
      </c>
      <c r="C29" s="356"/>
      <c r="D29" s="356"/>
      <c r="E29" s="356"/>
      <c r="F29" s="356"/>
    </row>
    <row r="30" spans="1:6">
      <c r="A30" s="355" t="s">
        <v>885</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17</v>
      </c>
      <c r="F35" s="334">
        <v>46176.464339999999</v>
      </c>
    </row>
    <row r="36" spans="1:6">
      <c r="A36" s="348" t="s">
        <v>25</v>
      </c>
      <c r="B36" s="348" t="s">
        <v>27</v>
      </c>
      <c r="C36" s="334">
        <v>0</v>
      </c>
      <c r="D36" s="334">
        <v>0</v>
      </c>
      <c r="E36" s="334">
        <v>5</v>
      </c>
      <c r="F36" s="334">
        <v>24423</v>
      </c>
    </row>
    <row r="37" spans="1:6">
      <c r="A37" s="348" t="s">
        <v>25</v>
      </c>
      <c r="B37" s="348" t="s">
        <v>28</v>
      </c>
      <c r="C37" s="334">
        <v>0</v>
      </c>
      <c r="D37" s="334">
        <v>0</v>
      </c>
      <c r="E37" s="334">
        <v>0</v>
      </c>
      <c r="F37" s="334">
        <v>0</v>
      </c>
    </row>
    <row r="38" spans="1:6">
      <c r="A38" s="348" t="s">
        <v>25</v>
      </c>
      <c r="B38" s="348" t="s">
        <v>29</v>
      </c>
      <c r="C38" s="334">
        <v>1</v>
      </c>
      <c r="D38" s="334">
        <v>20727.423271</v>
      </c>
      <c r="E38" s="334">
        <v>2</v>
      </c>
      <c r="F38" s="334">
        <v>113931.88849</v>
      </c>
    </row>
    <row r="39" spans="1:6">
      <c r="A39" s="348" t="s">
        <v>30</v>
      </c>
      <c r="B39" s="348" t="s">
        <v>31</v>
      </c>
      <c r="C39" s="334">
        <v>7023</v>
      </c>
      <c r="D39" s="334">
        <v>98729403.952000007</v>
      </c>
      <c r="E39" s="334">
        <v>9087</v>
      </c>
      <c r="F39" s="334">
        <v>32696991.93</v>
      </c>
    </row>
    <row r="40" spans="1:6">
      <c r="A40" s="348" t="s">
        <v>30</v>
      </c>
      <c r="B40" s="348" t="s">
        <v>29</v>
      </c>
      <c r="C40" s="334">
        <v>0</v>
      </c>
      <c r="D40" s="334">
        <v>0</v>
      </c>
      <c r="E40" s="334">
        <v>0</v>
      </c>
      <c r="F40" s="334">
        <v>0</v>
      </c>
    </row>
    <row r="41" spans="1:6">
      <c r="A41" s="348" t="s">
        <v>32</v>
      </c>
      <c r="B41" s="348" t="s">
        <v>33</v>
      </c>
      <c r="C41" s="334">
        <v>107</v>
      </c>
      <c r="D41" s="334">
        <v>3312751.0123000001</v>
      </c>
      <c r="E41" s="334">
        <v>219</v>
      </c>
      <c r="F41" s="334">
        <v>2694111.0808999999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5274738.1892999997</v>
      </c>
      <c r="E44" s="334">
        <v>34</v>
      </c>
      <c r="F44" s="334">
        <v>4847891.9928000001</v>
      </c>
    </row>
    <row r="45" spans="1:6">
      <c r="A45" s="348" t="s">
        <v>32</v>
      </c>
      <c r="B45" s="348" t="s">
        <v>37</v>
      </c>
      <c r="C45" s="334">
        <v>0</v>
      </c>
      <c r="D45" s="334">
        <v>0</v>
      </c>
      <c r="E45" s="334">
        <v>5</v>
      </c>
      <c r="F45" s="334">
        <v>112416.8973</v>
      </c>
    </row>
    <row r="46" spans="1:6">
      <c r="A46" s="348" t="s">
        <v>32</v>
      </c>
      <c r="B46" s="348" t="s">
        <v>38</v>
      </c>
      <c r="C46" s="334">
        <v>0</v>
      </c>
      <c r="D46" s="334">
        <v>0</v>
      </c>
      <c r="E46" s="334">
        <v>0</v>
      </c>
      <c r="F46" s="334">
        <v>0</v>
      </c>
    </row>
    <row r="47" spans="1:6">
      <c r="A47" s="348" t="s">
        <v>32</v>
      </c>
      <c r="B47" s="348" t="s">
        <v>39</v>
      </c>
      <c r="C47" s="334">
        <v>3</v>
      </c>
      <c r="D47" s="334">
        <v>83083.769824000003</v>
      </c>
      <c r="E47" s="334">
        <v>8</v>
      </c>
      <c r="F47" s="334">
        <v>28859122.105999999</v>
      </c>
    </row>
    <row r="48" spans="1:6">
      <c r="A48" s="348" t="s">
        <v>32</v>
      </c>
      <c r="B48" s="348" t="s">
        <v>29</v>
      </c>
      <c r="C48" s="334">
        <v>41</v>
      </c>
      <c r="D48" s="334">
        <v>11040040.005000001</v>
      </c>
      <c r="E48" s="334">
        <v>40</v>
      </c>
      <c r="F48" s="334">
        <v>21522616.805</v>
      </c>
    </row>
    <row r="49" spans="1:6">
      <c r="A49" s="348" t="s">
        <v>32</v>
      </c>
      <c r="B49" s="348" t="s">
        <v>40</v>
      </c>
      <c r="C49" s="334">
        <v>0</v>
      </c>
      <c r="D49" s="334">
        <v>0</v>
      </c>
      <c r="E49" s="334">
        <v>3</v>
      </c>
      <c r="F49" s="334">
        <v>8653.2420660000007</v>
      </c>
    </row>
    <row r="50" spans="1:6">
      <c r="A50" s="348" t="s">
        <v>32</v>
      </c>
      <c r="B50" s="348" t="s">
        <v>41</v>
      </c>
      <c r="C50" s="334">
        <v>11</v>
      </c>
      <c r="D50" s="334">
        <v>4565644.6721999999</v>
      </c>
      <c r="E50" s="334">
        <v>17</v>
      </c>
      <c r="F50" s="334">
        <v>792248.54318000004</v>
      </c>
    </row>
    <row r="51" spans="1:6">
      <c r="A51" s="348" t="s">
        <v>42</v>
      </c>
      <c r="B51" s="348" t="s">
        <v>43</v>
      </c>
      <c r="C51" s="334">
        <v>6</v>
      </c>
      <c r="D51" s="334">
        <v>120796.87389</v>
      </c>
      <c r="E51" s="334">
        <v>69</v>
      </c>
      <c r="F51" s="334">
        <v>1978670.6096000001</v>
      </c>
    </row>
    <row r="52" spans="1:6">
      <c r="A52" s="348" t="s">
        <v>42</v>
      </c>
      <c r="B52" s="348" t="s">
        <v>29</v>
      </c>
      <c r="C52" s="334">
        <v>8</v>
      </c>
      <c r="D52" s="334">
        <v>113556.26347999999</v>
      </c>
      <c r="E52" s="334">
        <v>10</v>
      </c>
      <c r="F52" s="334">
        <v>121429.64889</v>
      </c>
    </row>
    <row r="53" spans="1:6">
      <c r="A53" s="348" t="s">
        <v>44</v>
      </c>
      <c r="B53" s="348" t="s">
        <v>45</v>
      </c>
      <c r="C53" s="334">
        <v>195</v>
      </c>
      <c r="D53" s="334">
        <v>2848028.4078000002</v>
      </c>
      <c r="E53" s="334">
        <v>363</v>
      </c>
      <c r="F53" s="334">
        <v>1198032.7242000001</v>
      </c>
    </row>
    <row r="54" spans="1:6">
      <c r="A54" s="348" t="s">
        <v>46</v>
      </c>
      <c r="B54" s="348" t="s">
        <v>47</v>
      </c>
      <c r="C54" s="334">
        <v>0</v>
      </c>
      <c r="D54" s="334">
        <v>0</v>
      </c>
      <c r="E54" s="334">
        <v>1</v>
      </c>
      <c r="F54" s="334">
        <v>1454172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65</v>
      </c>
      <c r="D57" s="334">
        <v>7578576.0855999999</v>
      </c>
      <c r="E57" s="334">
        <v>118</v>
      </c>
      <c r="F57" s="334">
        <v>4233754.2176000001</v>
      </c>
    </row>
    <row r="58" spans="1:6">
      <c r="A58" s="348" t="s">
        <v>49</v>
      </c>
      <c r="B58" s="348" t="s">
        <v>51</v>
      </c>
      <c r="C58" s="334">
        <v>48</v>
      </c>
      <c r="D58" s="334">
        <v>12682666.971999999</v>
      </c>
      <c r="E58" s="334">
        <v>72</v>
      </c>
      <c r="F58" s="334">
        <v>5717540.7089</v>
      </c>
    </row>
    <row r="59" spans="1:6">
      <c r="A59" s="348" t="s">
        <v>49</v>
      </c>
      <c r="B59" s="348" t="s">
        <v>52</v>
      </c>
      <c r="C59" s="334">
        <v>159</v>
      </c>
      <c r="D59" s="334">
        <v>5623678.4203000003</v>
      </c>
      <c r="E59" s="334">
        <v>334</v>
      </c>
      <c r="F59" s="334">
        <v>10953788.805</v>
      </c>
    </row>
    <row r="60" spans="1:6">
      <c r="A60" s="348" t="s">
        <v>49</v>
      </c>
      <c r="B60" s="348" t="s">
        <v>53</v>
      </c>
      <c r="C60" s="334">
        <v>89</v>
      </c>
      <c r="D60" s="334">
        <v>2989270.3684999999</v>
      </c>
      <c r="E60" s="334">
        <v>105</v>
      </c>
      <c r="F60" s="334">
        <v>2092265.4183</v>
      </c>
    </row>
    <row r="61" spans="1:6">
      <c r="A61" s="348" t="s">
        <v>49</v>
      </c>
      <c r="B61" s="348" t="s">
        <v>54</v>
      </c>
      <c r="C61" s="334">
        <v>230</v>
      </c>
      <c r="D61" s="334">
        <v>8627030.0504000001</v>
      </c>
      <c r="E61" s="334">
        <v>507</v>
      </c>
      <c r="F61" s="334">
        <v>4790574.7419999996</v>
      </c>
    </row>
    <row r="62" spans="1:6">
      <c r="A62" s="348" t="s">
        <v>49</v>
      </c>
      <c r="B62" s="348" t="s">
        <v>55</v>
      </c>
      <c r="C62" s="334">
        <v>22</v>
      </c>
      <c r="D62" s="334">
        <v>9302554.2123000007</v>
      </c>
      <c r="E62" s="334">
        <v>28</v>
      </c>
      <c r="F62" s="334">
        <v>2116276.3459000001</v>
      </c>
    </row>
    <row r="63" spans="1:6">
      <c r="A63" s="348" t="s">
        <v>49</v>
      </c>
      <c r="B63" s="348" t="s">
        <v>29</v>
      </c>
      <c r="C63" s="334">
        <v>90</v>
      </c>
      <c r="D63" s="334">
        <v>6433539.8808000004</v>
      </c>
      <c r="E63" s="334">
        <v>98</v>
      </c>
      <c r="F63" s="334">
        <v>3772785.2891000002</v>
      </c>
    </row>
    <row r="64" spans="1:6">
      <c r="A64" s="348" t="s">
        <v>56</v>
      </c>
      <c r="B64" s="348" t="s">
        <v>57</v>
      </c>
      <c r="C64" s="334">
        <v>0</v>
      </c>
      <c r="D64" s="334">
        <v>0</v>
      </c>
      <c r="E64" s="334">
        <v>0</v>
      </c>
      <c r="F64" s="334">
        <v>0</v>
      </c>
    </row>
    <row r="65" spans="1:6">
      <c r="A65" s="348" t="s">
        <v>56</v>
      </c>
      <c r="B65" s="348" t="s">
        <v>29</v>
      </c>
      <c r="C65" s="334">
        <v>3</v>
      </c>
      <c r="D65" s="334">
        <v>80253.449997999996</v>
      </c>
      <c r="E65" s="334">
        <v>4</v>
      </c>
      <c r="F65" s="334">
        <v>34760.812671</v>
      </c>
    </row>
    <row r="66" spans="1:6">
      <c r="A66" s="348" t="s">
        <v>56</v>
      </c>
      <c r="B66" s="348" t="s">
        <v>58</v>
      </c>
      <c r="C66" s="334">
        <v>0</v>
      </c>
      <c r="D66" s="334">
        <v>0</v>
      </c>
      <c r="E66" s="334">
        <v>18</v>
      </c>
      <c r="F66" s="334">
        <v>788402.45212999999</v>
      </c>
    </row>
    <row r="67" spans="1:6">
      <c r="A67" s="355" t="s">
        <v>56</v>
      </c>
      <c r="B67" s="355" t="s">
        <v>59</v>
      </c>
      <c r="C67" s="334">
        <v>0</v>
      </c>
      <c r="D67" s="334">
        <v>0</v>
      </c>
      <c r="E67" s="334">
        <v>0</v>
      </c>
      <c r="F67" s="334">
        <v>0</v>
      </c>
    </row>
    <row r="68" spans="1:6">
      <c r="A68" s="341" t="s">
        <v>56</v>
      </c>
      <c r="B68" s="341" t="s">
        <v>60</v>
      </c>
      <c r="C68" s="334">
        <v>0</v>
      </c>
      <c r="D68" s="334">
        <v>0</v>
      </c>
      <c r="E68" s="334">
        <v>15</v>
      </c>
      <c r="F68" s="334">
        <v>60879.576222000003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98557539</v>
      </c>
      <c r="E73" s="475">
        <v>107016306.38676333</v>
      </c>
    </row>
    <row r="74" spans="1:6">
      <c r="A74" s="348" t="s">
        <v>64</v>
      </c>
      <c r="B74" s="348" t="s">
        <v>667</v>
      </c>
      <c r="C74" s="1294" t="s">
        <v>669</v>
      </c>
      <c r="D74" s="475">
        <v>15561697.79586041</v>
      </c>
      <c r="E74" s="475">
        <v>16230373.473372994</v>
      </c>
    </row>
    <row r="75" spans="1:6">
      <c r="A75" s="348" t="s">
        <v>65</v>
      </c>
      <c r="B75" s="348" t="s">
        <v>666</v>
      </c>
      <c r="C75" s="1294" t="s">
        <v>670</v>
      </c>
      <c r="D75" s="475">
        <v>17146701</v>
      </c>
      <c r="E75" s="475">
        <v>19239969.328887537</v>
      </c>
    </row>
    <row r="76" spans="1:6">
      <c r="A76" s="348" t="s">
        <v>65</v>
      </c>
      <c r="B76" s="348" t="s">
        <v>667</v>
      </c>
      <c r="C76" s="1294" t="s">
        <v>671</v>
      </c>
      <c r="D76" s="475">
        <v>1484550.7958604104</v>
      </c>
      <c r="E76" s="475">
        <v>1554375.2430115517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377770.40827917913</v>
      </c>
      <c r="C83" s="475">
        <v>377770.40827917913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26810.539684339295</v>
      </c>
    </row>
    <row r="91" spans="1:6">
      <c r="A91" s="348" t="s">
        <v>68</v>
      </c>
      <c r="B91" s="334">
        <v>2574.2302993043704</v>
      </c>
    </row>
    <row r="92" spans="1:6">
      <c r="A92" s="341" t="s">
        <v>69</v>
      </c>
      <c r="B92" s="342">
        <v>1055.7787273320246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4927</v>
      </c>
    </row>
    <row r="98" spans="1:6">
      <c r="A98" s="348" t="s">
        <v>72</v>
      </c>
      <c r="B98" s="334">
        <v>3</v>
      </c>
    </row>
    <row r="99" spans="1:6">
      <c r="A99" s="348" t="s">
        <v>73</v>
      </c>
      <c r="B99" s="334">
        <v>85</v>
      </c>
    </row>
    <row r="100" spans="1:6">
      <c r="A100" s="348" t="s">
        <v>74</v>
      </c>
      <c r="B100" s="334">
        <v>935</v>
      </c>
    </row>
    <row r="101" spans="1:6">
      <c r="A101" s="348" t="s">
        <v>75</v>
      </c>
      <c r="B101" s="334">
        <v>75</v>
      </c>
    </row>
    <row r="102" spans="1:6">
      <c r="A102" s="348" t="s">
        <v>76</v>
      </c>
      <c r="B102" s="334">
        <v>200</v>
      </c>
    </row>
    <row r="103" spans="1:6">
      <c r="A103" s="348" t="s">
        <v>77</v>
      </c>
      <c r="B103" s="334">
        <v>148</v>
      </c>
    </row>
    <row r="104" spans="1:6">
      <c r="A104" s="348" t="s">
        <v>78</v>
      </c>
      <c r="B104" s="334">
        <v>1641</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12</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2</v>
      </c>
    </row>
    <row r="131" spans="1:6">
      <c r="A131" s="348" t="s">
        <v>296</v>
      </c>
      <c r="B131" s="334">
        <v>7</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133464.68698720302</v>
      </c>
      <c r="C3" s="43" t="s">
        <v>170</v>
      </c>
      <c r="D3" s="43"/>
      <c r="E3" s="154"/>
      <c r="F3" s="43"/>
      <c r="G3" s="43"/>
      <c r="H3" s="43"/>
      <c r="I3" s="43"/>
      <c r="J3" s="43"/>
      <c r="K3" s="96"/>
    </row>
    <row r="4" spans="1:11">
      <c r="A4" s="383" t="s">
        <v>171</v>
      </c>
      <c r="B4" s="49">
        <f>IF(ISERROR('SEAP template'!B78+'SEAP template'!C78),0,'SEAP template'!B78+'SEAP template'!C78)</f>
        <v>31340.54871097569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0.16910416581736157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1454.172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1454.172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0.16910416581736157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245.90654301496431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32696.99193</v>
      </c>
      <c r="C5" s="17">
        <f>IF(ISERROR('Eigen informatie GS &amp; warmtenet'!B57),0,'Eigen informatie GS &amp; warmtenet'!B57)</f>
        <v>0</v>
      </c>
      <c r="D5" s="30">
        <f>(SUM(HH_hh_gas_kWh,HH_rest_gas_kWh)/1000)*0.902</f>
        <v>89053.922364704005</v>
      </c>
      <c r="E5" s="17">
        <f>B46*B57</f>
        <v>3806.4149427800035</v>
      </c>
      <c r="F5" s="17">
        <f>B51*B62</f>
        <v>0</v>
      </c>
      <c r="G5" s="18"/>
      <c r="H5" s="17"/>
      <c r="I5" s="17"/>
      <c r="J5" s="17">
        <f>B50*B61+C50*C61</f>
        <v>0</v>
      </c>
      <c r="K5" s="17"/>
      <c r="L5" s="17"/>
      <c r="M5" s="17"/>
      <c r="N5" s="17">
        <f>B48*B59+C48*C59</f>
        <v>9538.6495676250215</v>
      </c>
      <c r="O5" s="17">
        <f>B69*B70*B71</f>
        <v>196.98000000000002</v>
      </c>
      <c r="P5" s="17">
        <f>B77*B78*B79/1000-B77*B78*B79/1000/B80</f>
        <v>991.4666666666667</v>
      </c>
    </row>
    <row r="6" spans="1:16">
      <c r="A6" s="16" t="s">
        <v>624</v>
      </c>
      <c r="B6" s="788">
        <f>kWh_PV_kleiner_dan_10kW</f>
        <v>2574.2302993043704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35271.222229304374</v>
      </c>
      <c r="C8" s="21">
        <f>C5</f>
        <v>0</v>
      </c>
      <c r="D8" s="21">
        <f>D5</f>
        <v>89053.922364704005</v>
      </c>
      <c r="E8" s="21">
        <f>E5</f>
        <v>3806.4149427800035</v>
      </c>
      <c r="F8" s="21">
        <f>F5</f>
        <v>0</v>
      </c>
      <c r="G8" s="21"/>
      <c r="H8" s="21"/>
      <c r="I8" s="21"/>
      <c r="J8" s="21">
        <f>J5</f>
        <v>0</v>
      </c>
      <c r="K8" s="21"/>
      <c r="L8" s="21">
        <f>L5</f>
        <v>0</v>
      </c>
      <c r="M8" s="21">
        <f>M5</f>
        <v>0</v>
      </c>
      <c r="N8" s="21">
        <f>N5</f>
        <v>9538.6495676250215</v>
      </c>
      <c r="O8" s="21">
        <f>O5</f>
        <v>196.98000000000002</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0.16910416581736157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5964.5106124452959</v>
      </c>
      <c r="C12" s="23">
        <f ca="1">C10*C8</f>
        <v>0</v>
      </c>
      <c r="D12" s="23">
        <f>D8*D10</f>
        <v>17988.892317670212</v>
      </c>
      <c r="E12" s="23">
        <f>E10*E8</f>
        <v>864.05619201106083</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4927</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7.7625570776255701</v>
      </c>
      <c r="D20" s="229"/>
      <c r="E20" s="15"/>
    </row>
    <row r="21" spans="1:7">
      <c r="A21" s="171" t="s">
        <v>74</v>
      </c>
      <c r="B21" s="37">
        <f>aantalw2001_elektriciteit</f>
        <v>935</v>
      </c>
      <c r="C21" s="167">
        <f>IF(ISERROR(B21/SUM($B$20,$B$21,$B$22)*100),0,B21/SUM($B$20,$B$21,$B$22)*100)</f>
        <v>85.388127853881286</v>
      </c>
      <c r="D21" s="229"/>
      <c r="E21" s="15"/>
    </row>
    <row r="22" spans="1:7">
      <c r="A22" s="171" t="s">
        <v>75</v>
      </c>
      <c r="B22" s="37">
        <f>aantalw2001_hout</f>
        <v>75</v>
      </c>
      <c r="C22" s="167">
        <f>IF(ISERROR(B22/SUM($B$20,$B$21,$B$22)*100),0,B22/SUM($B$20,$B$21,$B$22)*100)</f>
        <v>6.8493150684931505</v>
      </c>
      <c r="D22" s="229"/>
      <c r="E22" s="15"/>
    </row>
    <row r="23" spans="1:7">
      <c r="A23" s="171" t="s">
        <v>76</v>
      </c>
      <c r="B23" s="37">
        <f>aantalw2001_niet_gespec</f>
        <v>200</v>
      </c>
      <c r="C23" s="166" t="s">
        <v>111</v>
      </c>
      <c r="D23" s="228"/>
      <c r="E23" s="15"/>
    </row>
    <row r="24" spans="1:7">
      <c r="A24" s="171" t="s">
        <v>77</v>
      </c>
      <c r="B24" s="37">
        <f>aantalw2001_steenkool</f>
        <v>148</v>
      </c>
      <c r="C24" s="166" t="s">
        <v>111</v>
      </c>
      <c r="D24" s="229"/>
      <c r="E24" s="15"/>
    </row>
    <row r="25" spans="1:7">
      <c r="A25" s="171" t="s">
        <v>78</v>
      </c>
      <c r="B25" s="37">
        <f>aantalw2001_stookolie</f>
        <v>1641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9243</v>
      </c>
      <c r="C28" s="36"/>
      <c r="D28" s="228"/>
    </row>
    <row r="29" spans="1:7" s="15" customFormat="1">
      <c r="A29" s="230" t="s">
        <v>699</v>
      </c>
      <c r="B29" s="37">
        <f>SUM(HH_hh_gas_aantal,HH_rest_gas_aantal)</f>
        <v>7023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7023</v>
      </c>
      <c r="C32" s="167">
        <f>IF(ISERROR(B32/SUM($B$32,$B$34,$B$35,$B$36,$B$38,$B$39)*100),0,B32/SUM($B$32,$B$34,$B$35,$B$36,$B$38,$B$39)*100)</f>
        <v>76.411707104776411</v>
      </c>
      <c r="D32" s="233"/>
      <c r="G32" s="15"/>
    </row>
    <row r="33" spans="1:7">
      <c r="A33" s="171" t="s">
        <v>72</v>
      </c>
      <c r="B33" s="34" t="s">
        <v>111</v>
      </c>
      <c r="C33" s="167"/>
      <c r="D33" s="233"/>
      <c r="G33" s="15"/>
    </row>
    <row r="34" spans="1:7">
      <c r="A34" s="171" t="s">
        <v>73</v>
      </c>
      <c r="B34" s="33">
        <f>IF((($B$28-$B$32-$B$39-$B$77-$B$38)*C20/100)&lt;0,0,($B$28-$B$32-$B$39-$B$77-$B$38)*C20/100)</f>
        <v>168.29223744292239</v>
      </c>
      <c r="C34" s="167">
        <f>IF(ISERROR(B34/SUM($B$32,$B$34,$B$35,$B$36,$B$38,$B$39)*100),0,B34/SUM($B$32,$B$34,$B$35,$B$36,$B$38,$B$39)*100)</f>
        <v>1.8310546996292285</v>
      </c>
      <c r="D34" s="233"/>
      <c r="G34" s="15"/>
    </row>
    <row r="35" spans="1:7">
      <c r="A35" s="171" t="s">
        <v>74</v>
      </c>
      <c r="B35" s="33">
        <f>IF((($B$28-$B$32-$B$39-$B$77-$B$38)*C21/100)&lt;0,0,($B$28-$B$32-$B$39-$B$77-$B$38)*C21/100)</f>
        <v>1851.2146118721462</v>
      </c>
      <c r="C35" s="167">
        <f>IF(ISERROR(B35/SUM($B$32,$B$34,$B$35,$B$36,$B$38,$B$39)*100),0,B35/SUM($B$32,$B$34,$B$35,$B$36,$B$38,$B$39)*100)</f>
        <v>20.141601695921512</v>
      </c>
      <c r="D35" s="233"/>
      <c r="G35" s="15"/>
    </row>
    <row r="36" spans="1:7">
      <c r="A36" s="171" t="s">
        <v>75</v>
      </c>
      <c r="B36" s="33">
        <f>IF((($B$28-$B$32-$B$39-$B$77-$B$38)*C22/100)&lt;0,0,($B$28-$B$32-$B$39-$B$77-$B$38)*C22/100)</f>
        <v>148.49315068493149</v>
      </c>
      <c r="C36" s="167">
        <f>IF(ISERROR(B36/SUM($B$32,$B$34,$B$35,$B$36,$B$38,$B$39)*100),0,B36/SUM($B$32,$B$34,$B$35,$B$36,$B$38,$B$39)*100)</f>
        <v>1.6156364996728483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7023</v>
      </c>
      <c r="C44" s="34" t="s">
        <v>111</v>
      </c>
      <c r="D44" s="174"/>
    </row>
    <row r="45" spans="1:7">
      <c r="A45" s="171" t="s">
        <v>72</v>
      </c>
      <c r="B45" s="33" t="str">
        <f t="shared" si="0"/>
        <v>-</v>
      </c>
      <c r="C45" s="34" t="s">
        <v>111</v>
      </c>
      <c r="D45" s="174"/>
    </row>
    <row r="46" spans="1:7">
      <c r="A46" s="171" t="s">
        <v>73</v>
      </c>
      <c r="B46" s="33">
        <f t="shared" si="0"/>
        <v>168.29223744292239</v>
      </c>
      <c r="C46" s="34" t="s">
        <v>111</v>
      </c>
      <c r="D46" s="174"/>
    </row>
    <row r="47" spans="1:7">
      <c r="A47" s="171" t="s">
        <v>74</v>
      </c>
      <c r="B47" s="33">
        <f t="shared" si="0"/>
        <v>1851.2146118721462</v>
      </c>
      <c r="C47" s="34" t="s">
        <v>111</v>
      </c>
      <c r="D47" s="174"/>
    </row>
    <row r="48" spans="1:7">
      <c r="A48" s="171" t="s">
        <v>75</v>
      </c>
      <c r="B48" s="33">
        <f t="shared" si="0"/>
        <v>148.49315068493149</v>
      </c>
      <c r="C48" s="33">
        <f>B48*10</f>
        <v>1484.9315068493149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33676.985526799996</v>
      </c>
      <c r="C5" s="17">
        <f>IF(ISERROR('Eigen informatie GS &amp; warmtenet'!B58),0,'Eigen informatie GS &amp; warmtenet'!B58)</f>
        <v>0</v>
      </c>
      <c r="D5" s="30">
        <f>SUM(D6:D12)</f>
        <v>48020.059022889807</v>
      </c>
      <c r="E5" s="17">
        <f>SUM(E6:E12)</f>
        <v>554.92520576306549</v>
      </c>
      <c r="F5" s="17">
        <f>SUM(F6:F12)</f>
        <v>8344.4346203630012</v>
      </c>
      <c r="G5" s="18"/>
      <c r="H5" s="17"/>
      <c r="I5" s="17"/>
      <c r="J5" s="17">
        <f>SUM(J6:J12)</f>
        <v>0</v>
      </c>
      <c r="K5" s="17"/>
      <c r="L5" s="17"/>
      <c r="M5" s="17"/>
      <c r="N5" s="17">
        <f>SUM(N6:N12)</f>
        <v>3758.8094393277393</v>
      </c>
      <c r="O5" s="17">
        <f>B38*B39*B40</f>
        <v>3.1266666666666669</v>
      </c>
      <c r="P5" s="17">
        <f>B46*B47*B48/1000-B46*B47*B48/1000/B49</f>
        <v>133.46666666666667</v>
      </c>
      <c r="R5" s="32"/>
    </row>
    <row r="6" spans="1:18">
      <c r="A6" s="32" t="s">
        <v>54</v>
      </c>
      <c r="B6" s="37">
        <f>B26</f>
        <v>4790.5747419999998</v>
      </c>
      <c r="C6" s="33"/>
      <c r="D6" s="37">
        <f>IF(ISERROR(TER_kantoor_gas_kWh/1000),0,TER_kantoor_gas_kWh/1000)*0.902</f>
        <v>7781.5811054608012</v>
      </c>
      <c r="E6" s="33">
        <f>$C$26*'E Balans VL '!I12/100/3.6*1000000</f>
        <v>62.714524505174197</v>
      </c>
      <c r="F6" s="33">
        <f>$C$26*('E Balans VL '!L12+'E Balans VL '!N12)/100/3.6*1000000</f>
        <v>1221.547055259831</v>
      </c>
      <c r="G6" s="34"/>
      <c r="H6" s="33"/>
      <c r="I6" s="33"/>
      <c r="J6" s="33">
        <f>$C$26*('E Balans VL '!D12+'E Balans VL '!E12)/100/3.6*1000000</f>
        <v>0</v>
      </c>
      <c r="K6" s="33"/>
      <c r="L6" s="33"/>
      <c r="M6" s="33"/>
      <c r="N6" s="33">
        <f>$C$26*'E Balans VL '!Y12/100/3.6*1000000</f>
        <v>4.8067067458470429</v>
      </c>
      <c r="O6" s="33"/>
      <c r="P6" s="33"/>
      <c r="R6" s="32"/>
    </row>
    <row r="7" spans="1:18">
      <c r="A7" s="32" t="s">
        <v>53</v>
      </c>
      <c r="B7" s="37">
        <f t="shared" ref="B7:B12" si="0">B27</f>
        <v>2092.2654183</v>
      </c>
      <c r="C7" s="33"/>
      <c r="D7" s="37">
        <f>IF(ISERROR(TER_horeca_gas_kWh/1000),0,TER_horeca_gas_kWh/1000)*0.902</f>
        <v>2696.321872387</v>
      </c>
      <c r="E7" s="33">
        <f>$C$27*'E Balans VL '!I9/100/3.6*1000000</f>
        <v>69.241258522123758</v>
      </c>
      <c r="F7" s="33">
        <f>$C$27*('E Balans VL '!L9+'E Balans VL '!N9)/100/3.6*1000000</f>
        <v>899.6661113366464</v>
      </c>
      <c r="G7" s="34"/>
      <c r="H7" s="33"/>
      <c r="I7" s="33"/>
      <c r="J7" s="33">
        <f>$C$27*('E Balans VL '!D9+'E Balans VL '!E9)/100/3.6*1000000</f>
        <v>0</v>
      </c>
      <c r="K7" s="33"/>
      <c r="L7" s="33"/>
      <c r="M7" s="33"/>
      <c r="N7" s="33">
        <f>$C$27*'E Balans VL '!Y9/100/3.6*1000000</f>
        <v>0.50363866921294409</v>
      </c>
      <c r="O7" s="33"/>
      <c r="P7" s="33"/>
      <c r="R7" s="32"/>
    </row>
    <row r="8" spans="1:18">
      <c r="A8" s="6" t="s">
        <v>52</v>
      </c>
      <c r="B8" s="37">
        <f t="shared" si="0"/>
        <v>10953.788805</v>
      </c>
      <c r="C8" s="33"/>
      <c r="D8" s="37">
        <f>IF(ISERROR(TER_handel_gas_kWh/1000),0,TER_handel_gas_kWh/1000)*0.902</f>
        <v>5072.5579351106007</v>
      </c>
      <c r="E8" s="33">
        <f>$C$28*'E Balans VL '!I13/100/3.6*1000000</f>
        <v>345.71831157689394</v>
      </c>
      <c r="F8" s="33">
        <f>$C$28*('E Balans VL '!L13+'E Balans VL '!N13)/100/3.6*1000000</f>
        <v>2148.2308689060405</v>
      </c>
      <c r="G8" s="34"/>
      <c r="H8" s="33"/>
      <c r="I8" s="33"/>
      <c r="J8" s="33">
        <f>$C$28*('E Balans VL '!D13+'E Balans VL '!E13)/100/3.6*1000000</f>
        <v>0</v>
      </c>
      <c r="K8" s="33"/>
      <c r="L8" s="33"/>
      <c r="M8" s="33"/>
      <c r="N8" s="33">
        <f>$C$28*'E Balans VL '!Y13/100/3.6*1000000</f>
        <v>13.00002065954628</v>
      </c>
      <c r="O8" s="33"/>
      <c r="P8" s="33"/>
      <c r="R8" s="32"/>
    </row>
    <row r="9" spans="1:18">
      <c r="A9" s="32" t="s">
        <v>51</v>
      </c>
      <c r="B9" s="37">
        <f t="shared" si="0"/>
        <v>5717.5407089</v>
      </c>
      <c r="C9" s="33"/>
      <c r="D9" s="37">
        <f>IF(ISERROR(TER_gezond_gas_kWh/1000),0,TER_gezond_gas_kWh/1000)*0.902</f>
        <v>11439.765608743999</v>
      </c>
      <c r="E9" s="33">
        <f>$C$29*'E Balans VL '!I10/100/3.6*1000000</f>
        <v>0.73201247368138778</v>
      </c>
      <c r="F9" s="33">
        <f>$C$29*('E Balans VL '!L10+'E Balans VL '!N10)/100/3.6*1000000</f>
        <v>1191.2033737567751</v>
      </c>
      <c r="G9" s="34"/>
      <c r="H9" s="33"/>
      <c r="I9" s="33"/>
      <c r="J9" s="33">
        <f>$C$29*('E Balans VL '!D10+'E Balans VL '!E10)/100/3.6*1000000</f>
        <v>0</v>
      </c>
      <c r="K9" s="33"/>
      <c r="L9" s="33"/>
      <c r="M9" s="33"/>
      <c r="N9" s="33">
        <f>$C$29*'E Balans VL '!Y10/100/3.6*1000000</f>
        <v>67.15521809105131</v>
      </c>
      <c r="O9" s="33"/>
      <c r="P9" s="33"/>
      <c r="R9" s="32"/>
    </row>
    <row r="10" spans="1:18">
      <c r="A10" s="32" t="s">
        <v>50</v>
      </c>
      <c r="B10" s="37">
        <f t="shared" si="0"/>
        <v>4233.7542175999997</v>
      </c>
      <c r="C10" s="33"/>
      <c r="D10" s="37">
        <f>IF(ISERROR(TER_ander_gas_kWh/1000),0,TER_ander_gas_kWh/1000)*0.902</f>
        <v>6835.8756292112002</v>
      </c>
      <c r="E10" s="33">
        <f>$C$30*'E Balans VL '!I14/100/3.6*1000000</f>
        <v>6.3665707099707065</v>
      </c>
      <c r="F10" s="33">
        <f>$C$30*('E Balans VL '!L14+'E Balans VL '!N14)/100/3.6*1000000</f>
        <v>934.67645788513141</v>
      </c>
      <c r="G10" s="34"/>
      <c r="H10" s="33"/>
      <c r="I10" s="33"/>
      <c r="J10" s="33">
        <f>$C$30*('E Balans VL '!D14+'E Balans VL '!E14)/100/3.6*1000000</f>
        <v>0</v>
      </c>
      <c r="K10" s="33"/>
      <c r="L10" s="33"/>
      <c r="M10" s="33"/>
      <c r="N10" s="33">
        <f>$C$30*'E Balans VL '!Y14/100/3.6*1000000</f>
        <v>3336.4832443850573</v>
      </c>
      <c r="O10" s="33"/>
      <c r="P10" s="33"/>
      <c r="R10" s="32"/>
    </row>
    <row r="11" spans="1:18">
      <c r="A11" s="32" t="s">
        <v>55</v>
      </c>
      <c r="B11" s="37">
        <f t="shared" si="0"/>
        <v>2116.2763459000003</v>
      </c>
      <c r="C11" s="33"/>
      <c r="D11" s="37">
        <f>IF(ISERROR(TER_onderwijs_gas_kWh/1000),0,TER_onderwijs_gas_kWh/1000)*0.902</f>
        <v>8390.9038994946022</v>
      </c>
      <c r="E11" s="33">
        <f>$C$31*'E Balans VL '!I11/100/3.6*1000000</f>
        <v>3.7269399884746743</v>
      </c>
      <c r="F11" s="33">
        <f>$C$31*('E Balans VL '!L11+'E Balans VL '!N11)/100/3.6*1000000</f>
        <v>977.12308285917356</v>
      </c>
      <c r="G11" s="34"/>
      <c r="H11" s="33"/>
      <c r="I11" s="33"/>
      <c r="J11" s="33">
        <f>$C$31*('E Balans VL '!D11+'E Balans VL '!E11)/100/3.6*1000000</f>
        <v>0</v>
      </c>
      <c r="K11" s="33"/>
      <c r="L11" s="33"/>
      <c r="M11" s="33"/>
      <c r="N11" s="33">
        <f>$C$31*'E Balans VL '!Y11/100/3.6*1000000</f>
        <v>3.9426520979289781</v>
      </c>
      <c r="O11" s="33"/>
      <c r="P11" s="33"/>
      <c r="R11" s="32"/>
    </row>
    <row r="12" spans="1:18">
      <c r="A12" s="32" t="s">
        <v>260</v>
      </c>
      <c r="B12" s="37">
        <f t="shared" si="0"/>
        <v>3772.7852891000002</v>
      </c>
      <c r="C12" s="33"/>
      <c r="D12" s="37">
        <f>IF(ISERROR(TER_rest_gas_kWh/1000),0,TER_rest_gas_kWh/1000)*0.902</f>
        <v>5803.0529724816006</v>
      </c>
      <c r="E12" s="33">
        <f>$C$32*'E Balans VL '!I8/100/3.6*1000000</f>
        <v>66.425587986746862</v>
      </c>
      <c r="F12" s="33">
        <f>$C$32*('E Balans VL '!L8+'E Balans VL '!N8)/100/3.6*1000000</f>
        <v>971.98767035940239</v>
      </c>
      <c r="G12" s="34"/>
      <c r="H12" s="33"/>
      <c r="I12" s="33"/>
      <c r="J12" s="33">
        <f>$C$32*('E Balans VL '!D8+'E Balans VL '!E8)/100/3.6*1000000</f>
        <v>0</v>
      </c>
      <c r="K12" s="33"/>
      <c r="L12" s="33"/>
      <c r="M12" s="33"/>
      <c r="N12" s="33">
        <f>$C$32*'E Balans VL '!Y8/100/3.6*1000000</f>
        <v>332.91795867909502</v>
      </c>
      <c r="O12" s="33"/>
      <c r="P12" s="33"/>
      <c r="R12" s="32"/>
    </row>
    <row r="13" spans="1:18">
      <c r="A13" s="16" t="s">
        <v>491</v>
      </c>
      <c r="B13" s="247">
        <f ca="1">'lokale energieproductie'!N91+'lokale energieproductie'!N60</f>
        <v>900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-2250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34576.985526799996</v>
      </c>
      <c r="C16" s="21">
        <f t="shared" ca="1" si="1"/>
        <v>0</v>
      </c>
      <c r="D16" s="21">
        <f t="shared" ca="1" si="1"/>
        <v>48020.059022889807</v>
      </c>
      <c r="E16" s="21">
        <f t="shared" si="1"/>
        <v>554.92520576306549</v>
      </c>
      <c r="F16" s="21">
        <f t="shared" ca="1" si="1"/>
        <v>8344.4346203630012</v>
      </c>
      <c r="G16" s="21">
        <f t="shared" si="1"/>
        <v>0</v>
      </c>
      <c r="H16" s="21">
        <f t="shared" si="1"/>
        <v>0</v>
      </c>
      <c r="I16" s="21">
        <f t="shared" si="1"/>
        <v>0</v>
      </c>
      <c r="J16" s="21">
        <f t="shared" si="1"/>
        <v>0</v>
      </c>
      <c r="K16" s="21">
        <f t="shared" si="1"/>
        <v>0</v>
      </c>
      <c r="L16" s="21">
        <f t="shared" ca="1" si="1"/>
        <v>0</v>
      </c>
      <c r="M16" s="21">
        <f t="shared" si="1"/>
        <v>0</v>
      </c>
      <c r="N16" s="21">
        <f t="shared" ca="1" si="1"/>
        <v>3758.8094393277393</v>
      </c>
      <c r="O16" s="21">
        <f>O5</f>
        <v>3.1266666666666669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0.16910416581736157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5847.1122939884972</v>
      </c>
      <c r="C20" s="23">
        <f t="shared" ref="C20:P20" ca="1" si="2">C16*C18</f>
        <v>0</v>
      </c>
      <c r="D20" s="23">
        <f t="shared" ca="1" si="2"/>
        <v>9700.0519226237411</v>
      </c>
      <c r="E20" s="23">
        <f t="shared" si="2"/>
        <v>125.96802170821587</v>
      </c>
      <c r="F20" s="23">
        <f t="shared" ca="1" si="2"/>
        <v>2227.9640436369214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4790.5747419999998</v>
      </c>
      <c r="C26" s="39">
        <f>IF(ISERROR(B26*3.6/1000000/'E Balans VL '!Z12*100),0,B26*3.6/1000000/'E Balans VL '!Z12*100)</f>
        <v>0.10261783262623765</v>
      </c>
      <c r="D26" s="237" t="s">
        <v>660</v>
      </c>
      <c r="F26" s="6"/>
    </row>
    <row r="27" spans="1:18">
      <c r="A27" s="231" t="s">
        <v>53</v>
      </c>
      <c r="B27" s="33">
        <f>IF(ISERROR(TER_horeca_ele_kWh/1000),0,TER_horeca_ele_kWh/1000)</f>
        <v>2092.2654183</v>
      </c>
      <c r="C27" s="39">
        <f>IF(ISERROR(B27*3.6/1000000/'E Balans VL '!Z9*100),0,B27*3.6/1000000/'E Balans VL '!Z9*100)</f>
        <v>0.16789702717821406</v>
      </c>
      <c r="D27" s="237" t="s">
        <v>660</v>
      </c>
      <c r="F27" s="6"/>
    </row>
    <row r="28" spans="1:18">
      <c r="A28" s="171" t="s">
        <v>52</v>
      </c>
      <c r="B28" s="33">
        <f>IF(ISERROR(TER_handel_ele_kWh/1000),0,TER_handel_ele_kWh/1000)</f>
        <v>10953.788805</v>
      </c>
      <c r="C28" s="39">
        <f>IF(ISERROR(B28*3.6/1000000/'E Balans VL '!Z13*100),0,B28*3.6/1000000/'E Balans VL '!Z13*100)</f>
        <v>0.32307394132093686</v>
      </c>
      <c r="D28" s="237" t="s">
        <v>660</v>
      </c>
      <c r="F28" s="6"/>
    </row>
    <row r="29" spans="1:18">
      <c r="A29" s="231" t="s">
        <v>51</v>
      </c>
      <c r="B29" s="33">
        <f>IF(ISERROR(TER_gezond_ele_kWh/1000),0,TER_gezond_ele_kWh/1000)</f>
        <v>5717.5407089</v>
      </c>
      <c r="C29" s="39">
        <f>IF(ISERROR(B29*3.6/1000000/'E Balans VL '!Z10*100),0,B29*3.6/1000000/'E Balans VL '!Z10*100)</f>
        <v>0.61048005469567368</v>
      </c>
      <c r="D29" s="237" t="s">
        <v>660</v>
      </c>
      <c r="F29" s="6"/>
    </row>
    <row r="30" spans="1:18">
      <c r="A30" s="231" t="s">
        <v>50</v>
      </c>
      <c r="B30" s="33">
        <f>IF(ISERROR(TER_ander_ele_kWh/1000),0,TER_ander_ele_kWh/1000)</f>
        <v>4233.7542175999997</v>
      </c>
      <c r="C30" s="39">
        <f>IF(ISERROR(B30*3.6/1000000/'E Balans VL '!Z14*100),0,B30*3.6/1000000/'E Balans VL '!Z14*100)</f>
        <v>0.31979208133753195</v>
      </c>
      <c r="D30" s="237" t="s">
        <v>660</v>
      </c>
      <c r="F30" s="6"/>
    </row>
    <row r="31" spans="1:18">
      <c r="A31" s="231" t="s">
        <v>55</v>
      </c>
      <c r="B31" s="33">
        <f>IF(ISERROR(TER_onderwijs_ele_kWh/1000),0,TER_onderwijs_ele_kWh/1000)</f>
        <v>2116.2763459000003</v>
      </c>
      <c r="C31" s="39">
        <f>IF(ISERROR(B31*3.6/1000000/'E Balans VL '!Z11*100),0,B31*3.6/1000000/'E Balans VL '!Z11*100)</f>
        <v>0.42734684099939607</v>
      </c>
      <c r="D31" s="237" t="s">
        <v>660</v>
      </c>
    </row>
    <row r="32" spans="1:18">
      <c r="A32" s="231" t="s">
        <v>260</v>
      </c>
      <c r="B32" s="33">
        <f>IF(ISERROR(TER_rest_ele_kWh/1000),0,TER_rest_ele_kWh/1000)</f>
        <v>3772.7852891000002</v>
      </c>
      <c r="C32" s="39">
        <f>IF(ISERROR(B32*3.6/1000000/'E Balans VL '!Z8*100),0,B32*3.6/1000000/'E Balans VL '!Z8*100)</f>
        <v>3.1281643612254217E-2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7</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58837.060667245998</v>
      </c>
      <c r="C5" s="17">
        <f>IF(ISERROR('Eigen informatie GS &amp; warmtenet'!B59),0,'Eigen informatie GS &amp; warmtenet'!B59)</f>
        <v>0</v>
      </c>
      <c r="D5" s="30">
        <f>SUM(D6:D15)</f>
        <v>21897.184399058853</v>
      </c>
      <c r="E5" s="17">
        <f>SUM(E6:E15)</f>
        <v>2176.3333829322546</v>
      </c>
      <c r="F5" s="17">
        <f>SUM(F6:F15)</f>
        <v>10050.673519143005</v>
      </c>
      <c r="G5" s="18"/>
      <c r="H5" s="17"/>
      <c r="I5" s="17"/>
      <c r="J5" s="17">
        <f>SUM(J6:J15)</f>
        <v>2106.5772567985364</v>
      </c>
      <c r="K5" s="17"/>
      <c r="L5" s="17"/>
      <c r="M5" s="17"/>
      <c r="N5" s="17">
        <f>SUM(N6:N15)</f>
        <v>58247.07079869006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4847.8919928000005</v>
      </c>
      <c r="C8" s="33"/>
      <c r="D8" s="37">
        <f>IF( ISERROR(IND_metaal_Gas_kWH/1000),0,IND_metaal_Gas_kWH/1000)*0.902</f>
        <v>4757.8138467486006</v>
      </c>
      <c r="E8" s="33">
        <f>C30*'E Balans VL '!I18/100/3.6*1000000</f>
        <v>174.44181976839215</v>
      </c>
      <c r="F8" s="33">
        <f>C30*'E Balans VL '!L18/100/3.6*1000000+C30*'E Balans VL '!N18/100/3.6*1000000</f>
        <v>2116.9172815052902</v>
      </c>
      <c r="G8" s="34"/>
      <c r="H8" s="33"/>
      <c r="I8" s="33"/>
      <c r="J8" s="40">
        <f>C30*'E Balans VL '!D18/100/3.6*1000000+C30*'E Balans VL '!E18/100/3.6*1000000</f>
        <v>0</v>
      </c>
      <c r="K8" s="33"/>
      <c r="L8" s="33"/>
      <c r="M8" s="33"/>
      <c r="N8" s="33">
        <f>C30*'E Balans VL '!Y18/100/3.6*1000000</f>
        <v>242.97305218744393</v>
      </c>
      <c r="O8" s="33"/>
      <c r="P8" s="33"/>
      <c r="R8" s="32"/>
    </row>
    <row r="9" spans="1:18">
      <c r="A9" s="6" t="s">
        <v>33</v>
      </c>
      <c r="B9" s="37">
        <f t="shared" si="0"/>
        <v>2694.1110809000002</v>
      </c>
      <c r="C9" s="33"/>
      <c r="D9" s="37">
        <f>IF( ISERROR(IND_andere_gas_kWh/1000),0,IND_andere_gas_kWh/1000)*0.902</f>
        <v>2988.1014130946</v>
      </c>
      <c r="E9" s="33">
        <f>C31*'E Balans VL '!I19/100/3.6*1000000</f>
        <v>687.47619187516136</v>
      </c>
      <c r="F9" s="33">
        <f>C31*'E Balans VL '!L19/100/3.6*1000000+C31*'E Balans VL '!N19/100/3.6*1000000</f>
        <v>2319.4271433936428</v>
      </c>
      <c r="G9" s="34"/>
      <c r="H9" s="33"/>
      <c r="I9" s="33"/>
      <c r="J9" s="40">
        <f>C31*'E Balans VL '!D19/100/3.6*1000000+C31*'E Balans VL '!E19/100/3.6*1000000</f>
        <v>0</v>
      </c>
      <c r="K9" s="33"/>
      <c r="L9" s="33"/>
      <c r="M9" s="33"/>
      <c r="N9" s="33">
        <f>C31*'E Balans VL '!Y19/100/3.6*1000000</f>
        <v>842.54079866604604</v>
      </c>
      <c r="O9" s="33"/>
      <c r="P9" s="33"/>
      <c r="R9" s="32"/>
    </row>
    <row r="10" spans="1:18">
      <c r="A10" s="6" t="s">
        <v>41</v>
      </c>
      <c r="B10" s="37">
        <f t="shared" si="0"/>
        <v>792.24854318000007</v>
      </c>
      <c r="C10" s="33"/>
      <c r="D10" s="37">
        <f>IF( ISERROR(IND_voed_gas_kWh/1000),0,IND_voed_gas_kWh/1000)*0.902</f>
        <v>4118.2114943244005</v>
      </c>
      <c r="E10" s="33">
        <f>C32*'E Balans VL '!I20/100/3.6*1000000</f>
        <v>20.140045814032561</v>
      </c>
      <c r="F10" s="33">
        <f>C32*'E Balans VL '!L20/100/3.6*1000000+C32*'E Balans VL '!N20/100/3.6*1000000</f>
        <v>179.27395264537583</v>
      </c>
      <c r="G10" s="34"/>
      <c r="H10" s="33"/>
      <c r="I10" s="33"/>
      <c r="J10" s="40">
        <f>C32*'E Balans VL '!D20/100/3.6*1000000+C32*'E Balans VL '!E20/100/3.6*1000000</f>
        <v>0</v>
      </c>
      <c r="K10" s="33"/>
      <c r="L10" s="33"/>
      <c r="M10" s="33"/>
      <c r="N10" s="33">
        <f>C32*'E Balans VL '!Y20/100/3.6*1000000</f>
        <v>297.11467843394308</v>
      </c>
      <c r="O10" s="33"/>
      <c r="P10" s="33"/>
      <c r="R10" s="32"/>
    </row>
    <row r="11" spans="1:18">
      <c r="A11" s="6" t="s">
        <v>40</v>
      </c>
      <c r="B11" s="37">
        <f t="shared" si="0"/>
        <v>8.6532420660000007</v>
      </c>
      <c r="C11" s="33"/>
      <c r="D11" s="37">
        <f>IF( ISERROR(IND_textiel_gas_kWh/1000),0,IND_textiel_gas_kWh/1000)*0.902</f>
        <v>0</v>
      </c>
      <c r="E11" s="33">
        <f>C33*'E Balans VL '!I21/100/3.6*1000000</f>
        <v>2.3755476525689739E-2</v>
      </c>
      <c r="F11" s="33">
        <f>C33*'E Balans VL '!L21/100/3.6*1000000+C33*'E Balans VL '!N21/100/3.6*1000000</f>
        <v>0.45875883163280906</v>
      </c>
      <c r="G11" s="34"/>
      <c r="H11" s="33"/>
      <c r="I11" s="33"/>
      <c r="J11" s="40">
        <f>C33*'E Balans VL '!D21/100/3.6*1000000+C33*'E Balans VL '!E21/100/3.6*1000000</f>
        <v>0</v>
      </c>
      <c r="K11" s="33"/>
      <c r="L11" s="33"/>
      <c r="M11" s="33"/>
      <c r="N11" s="33">
        <f>C33*'E Balans VL '!Y21/100/3.6*1000000</f>
        <v>1.7391584591610349E-2</v>
      </c>
      <c r="O11" s="33"/>
      <c r="P11" s="33"/>
      <c r="R11" s="32"/>
    </row>
    <row r="12" spans="1:18">
      <c r="A12" s="6" t="s">
        <v>37</v>
      </c>
      <c r="B12" s="37">
        <f t="shared" si="0"/>
        <v>112.4168973</v>
      </c>
      <c r="C12" s="33"/>
      <c r="D12" s="37">
        <f>IF( ISERROR(IND_min_gas_kWh/1000),0,IND_min_gas_kWh/1000)*0.902</f>
        <v>0</v>
      </c>
      <c r="E12" s="33">
        <f>C34*'E Balans VL '!I22/100/3.6*1000000</f>
        <v>2.3885773258996483</v>
      </c>
      <c r="F12" s="33">
        <f>C34*'E Balans VL '!L22/100/3.6*1000000+C34*'E Balans VL '!N22/100/3.6*1000000</f>
        <v>18.341774822379847</v>
      </c>
      <c r="G12" s="34"/>
      <c r="H12" s="33"/>
      <c r="I12" s="33"/>
      <c r="J12" s="40">
        <f>C34*'E Balans VL '!D22/100/3.6*1000000+C34*'E Balans VL '!E22/100/3.6*1000000</f>
        <v>0.1309761761569079</v>
      </c>
      <c r="K12" s="33"/>
      <c r="L12" s="33"/>
      <c r="M12" s="33"/>
      <c r="N12" s="33">
        <f>C34*'E Balans VL '!Y22/100/3.6*1000000</f>
        <v>0</v>
      </c>
      <c r="O12" s="33"/>
      <c r="P12" s="33"/>
      <c r="R12" s="32"/>
    </row>
    <row r="13" spans="1:18">
      <c r="A13" s="6" t="s">
        <v>39</v>
      </c>
      <c r="B13" s="37">
        <f t="shared" si="0"/>
        <v>28859.122105999999</v>
      </c>
      <c r="C13" s="33"/>
      <c r="D13" s="37">
        <f>IF( ISERROR(IND_papier_gas_kWh/1000),0,IND_papier_gas_kWh/1000)*0.902</f>
        <v>74.941560381247996</v>
      </c>
      <c r="E13" s="33">
        <f>C35*'E Balans VL '!I23/100/3.6*1000000</f>
        <v>123.76837908079509</v>
      </c>
      <c r="F13" s="33">
        <f>C35*'E Balans VL '!L23/100/3.6*1000000+C35*'E Balans VL '!N23/100/3.6*1000000</f>
        <v>725.31931153657501</v>
      </c>
      <c r="G13" s="34"/>
      <c r="H13" s="33"/>
      <c r="I13" s="33"/>
      <c r="J13" s="40">
        <f>C35*'E Balans VL '!D23/100/3.6*1000000+C35*'E Balans VL '!E23/100/3.6*1000000</f>
        <v>1931.9599392231853</v>
      </c>
      <c r="K13" s="33"/>
      <c r="L13" s="33"/>
      <c r="M13" s="33"/>
      <c r="N13" s="33">
        <f>C35*'E Balans VL '!Y23/100/3.6*1000000</f>
        <v>52530.465193995013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21522.616805000001</v>
      </c>
      <c r="C15" s="33"/>
      <c r="D15" s="37">
        <f>IF( ISERROR(IND_rest_gas_kWh/1000),0,IND_rest_gas_kWh/1000)*0.902</f>
        <v>9958.1160845100003</v>
      </c>
      <c r="E15" s="33">
        <f>C37*'E Balans VL '!I15/100/3.6*1000000</f>
        <v>1168.094613591448</v>
      </c>
      <c r="F15" s="33">
        <f>C37*'E Balans VL '!L15/100/3.6*1000000+C37*'E Balans VL '!N15/100/3.6*1000000</f>
        <v>4690.9352964081081</v>
      </c>
      <c r="G15" s="34"/>
      <c r="H15" s="33"/>
      <c r="I15" s="33"/>
      <c r="J15" s="40">
        <f>C37*'E Balans VL '!D15/100/3.6*1000000+C37*'E Balans VL '!E15/100/3.6*1000000</f>
        <v>174.48634139919409</v>
      </c>
      <c r="K15" s="33"/>
      <c r="L15" s="33"/>
      <c r="M15" s="33"/>
      <c r="N15" s="33">
        <f>C37*'E Balans VL '!Y15/100/3.6*1000000</f>
        <v>4333.9596838230182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58837.060667245998</v>
      </c>
      <c r="C18" s="21">
        <f>C5+C16</f>
        <v>0</v>
      </c>
      <c r="D18" s="21">
        <f>MAX((D5+D16),0)</f>
        <v>21897.184399058853</v>
      </c>
      <c r="E18" s="21">
        <f>MAX((E5+E16),0)</f>
        <v>2176.3333829322546</v>
      </c>
      <c r="F18" s="21">
        <f>MAX((F5+F16),0)</f>
        <v>10050.673519143005</v>
      </c>
      <c r="G18" s="21"/>
      <c r="H18" s="21"/>
      <c r="I18" s="21"/>
      <c r="J18" s="21">
        <f>MAX((J5+J16),0)</f>
        <v>2106.5772567985364</v>
      </c>
      <c r="K18" s="21"/>
      <c r="L18" s="21">
        <f>MAX((L5+L16),0)</f>
        <v>0</v>
      </c>
      <c r="M18" s="21"/>
      <c r="N18" s="21">
        <f>MAX((N5+N16),0)</f>
        <v>58247.07079869006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0.16910416581736157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9949.5920632801299</v>
      </c>
      <c r="C22" s="23">
        <f ca="1">C18*C20</f>
        <v>0</v>
      </c>
      <c r="D22" s="23">
        <f>D18*D20</f>
        <v>4423.231248609889</v>
      </c>
      <c r="E22" s="23">
        <f>E18*E20</f>
        <v>494.02767792562179</v>
      </c>
      <c r="F22" s="23">
        <f>F18*F20</f>
        <v>2683.5298296111828</v>
      </c>
      <c r="G22" s="23"/>
      <c r="H22" s="23"/>
      <c r="I22" s="23"/>
      <c r="J22" s="23">
        <f>J18*J20</f>
        <v>745.72834890668184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4847.8919928000005</v>
      </c>
      <c r="C30" s="39">
        <f>IF(ISERROR(B30*3.6/1000000/'E Balans VL '!Z18*100),0,B30*3.6/1000000/'E Balans VL '!Z18*100)</f>
        <v>1.027164377209286</v>
      </c>
      <c r="D30" s="237" t="s">
        <v>660</v>
      </c>
    </row>
    <row r="31" spans="1:18">
      <c r="A31" s="6" t="s">
        <v>33</v>
      </c>
      <c r="B31" s="37">
        <f>IF( ISERROR(IND_ander_ele_kWh/1000),0,IND_ander_ele_kWh/1000)</f>
        <v>2694.1110809000002</v>
      </c>
      <c r="C31" s="39">
        <f>IF(ISERROR(B31*3.6/1000000/'E Balans VL '!Z19*100),0,B31*3.6/1000000/'E Balans VL '!Z19*100)</f>
        <v>0.11340125281918546</v>
      </c>
      <c r="D31" s="237" t="s">
        <v>660</v>
      </c>
    </row>
    <row r="32" spans="1:18">
      <c r="A32" s="171" t="s">
        <v>41</v>
      </c>
      <c r="B32" s="37">
        <f>IF( ISERROR(IND_voed_ele_kWh/1000),0,IND_voed_ele_kWh/1000)</f>
        <v>792.24854318000007</v>
      </c>
      <c r="C32" s="39">
        <f>IF(ISERROR(B32*3.6/1000000/'E Balans VL '!Z20*100),0,B32*3.6/1000000/'E Balans VL '!Z20*100)</f>
        <v>0.1323540828139933</v>
      </c>
      <c r="D32" s="237" t="s">
        <v>660</v>
      </c>
    </row>
    <row r="33" spans="1:5">
      <c r="A33" s="171" t="s">
        <v>40</v>
      </c>
      <c r="B33" s="37">
        <f>IF( ISERROR(IND_textiel_ele_kWh/1000),0,IND_textiel_ele_kWh/1000)</f>
        <v>8.6532420660000007</v>
      </c>
      <c r="C33" s="39">
        <f>IF(ISERROR(B33*3.6/1000000/'E Balans VL '!Z21*100),0,B33*3.6/1000000/'E Balans VL '!Z21*100)</f>
        <v>5.0520216678606679E-4</v>
      </c>
      <c r="D33" s="237" t="s">
        <v>660</v>
      </c>
    </row>
    <row r="34" spans="1:5">
      <c r="A34" s="171" t="s">
        <v>37</v>
      </c>
      <c r="B34" s="37">
        <f>IF( ISERROR(IND_min_ele_kWh/1000),0,IND_min_ele_kWh/1000)</f>
        <v>112.4168973</v>
      </c>
      <c r="C34" s="39">
        <f>IF(ISERROR(B34*3.6/1000000/'E Balans VL '!Z22*100),0,B34*3.6/1000000/'E Balans VL '!Z22*100)</f>
        <v>1.4249447995311564E-2</v>
      </c>
      <c r="D34" s="237" t="s">
        <v>660</v>
      </c>
    </row>
    <row r="35" spans="1:5">
      <c r="A35" s="171" t="s">
        <v>39</v>
      </c>
      <c r="B35" s="37">
        <f>IF( ISERROR(IND_papier_ele_kWh/1000),0,IND_papier_ele_kWh/1000)</f>
        <v>28859.122105999999</v>
      </c>
      <c r="C35" s="39">
        <f>IF(ISERROR(B35*3.6/1000000/'E Balans VL '!Z22*100),0,B35*3.6/1000000/'E Balans VL '!Z22*100)</f>
        <v>3.6580493637213496</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21522.616805000001</v>
      </c>
      <c r="C37" s="39">
        <f>IF(ISERROR(B37*3.6/1000000/'E Balans VL '!Z15*100),0,B37*3.6/1000000/'E Balans VL '!Z15*100)</f>
        <v>0.17376041940596756</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2100.1002584899998</v>
      </c>
      <c r="C5" s="17">
        <f>'Eigen informatie GS &amp; warmtenet'!B60</f>
        <v>0</v>
      </c>
      <c r="D5" s="30">
        <f>IF(ISERROR(SUM(LB_lb_gas_kWh,LB_rest_gas_kWh)/1000),0,SUM(LB_lb_gas_kWh,LB_rest_gas_kWh)/1000)*0.902</f>
        <v>211.38652990774003</v>
      </c>
      <c r="E5" s="17">
        <f>B17*'E Balans VL '!I25/3.6*1000000/100</f>
        <v>54.153522213718624</v>
      </c>
      <c r="F5" s="17">
        <f>B17*('E Balans VL '!L25/3.6*1000000+'E Balans VL '!N25/3.6*1000000)/100</f>
        <v>7676.2663894470106</v>
      </c>
      <c r="G5" s="18"/>
      <c r="H5" s="17"/>
      <c r="I5" s="17"/>
      <c r="J5" s="17">
        <f>('E Balans VL '!D25+'E Balans VL '!E25)/3.6*1000000*landbouw!B17/100</f>
        <v>302.33718155452971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2100.1002584899998</v>
      </c>
      <c r="C8" s="21">
        <f>C5+C6</f>
        <v>0</v>
      </c>
      <c r="D8" s="21">
        <f>MAX((D5+D6),0)</f>
        <v>211.38652990774003</v>
      </c>
      <c r="E8" s="21">
        <f>MAX((E5+E6),0)</f>
        <v>54.153522213718624</v>
      </c>
      <c r="F8" s="21">
        <f>MAX((F5+F6),0)</f>
        <v>7676.2663894470106</v>
      </c>
      <c r="G8" s="21"/>
      <c r="H8" s="21"/>
      <c r="I8" s="21"/>
      <c r="J8" s="21">
        <f>MAX((J5+J6),0)</f>
        <v>302.33718155452971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0.16910416581736157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355.1357023447768</v>
      </c>
      <c r="C12" s="23">
        <f ca="1">C8*C10</f>
        <v>0</v>
      </c>
      <c r="D12" s="23">
        <f>D8*D10</f>
        <v>42.700079041363487</v>
      </c>
      <c r="E12" s="23">
        <f>E8*E10</f>
        <v>12.292849542514128</v>
      </c>
      <c r="F12" s="23">
        <f>F8*F10</f>
        <v>2049.5631259823522</v>
      </c>
      <c r="G12" s="23"/>
      <c r="H12" s="23"/>
      <c r="I12" s="23"/>
      <c r="J12" s="23">
        <f>J8*J10</f>
        <v>107.02736227030351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0.29612804719928321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409.81228591247788</v>
      </c>
      <c r="C26" s="247">
        <f>B26*'GWP N2O_CH4'!B5</f>
        <v>8606.058004162036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233.35938446336178</v>
      </c>
      <c r="C27" s="247">
        <f>B27*'GWP N2O_CH4'!B5</f>
        <v>4900.5470737305977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5.2611793500576605</v>
      </c>
      <c r="C28" s="247">
        <f>B28*'GWP N2O_CH4'!B4</f>
        <v>1630.9655985178747</v>
      </c>
      <c r="D28" s="50"/>
    </row>
    <row r="29" spans="1:4">
      <c r="A29" s="41" t="s">
        <v>277</v>
      </c>
      <c r="B29" s="247">
        <f>B34*'ha_N2O bodem landbouw'!B4</f>
        <v>10.749942863558115</v>
      </c>
      <c r="C29" s="247">
        <f>B29*'GWP N2O_CH4'!B4</f>
        <v>3332.4822877030156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2.4193213131889013E-3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9.760889218553482E-5</v>
      </c>
      <c r="C5" s="463" t="s">
        <v>211</v>
      </c>
      <c r="D5" s="448">
        <f>SUM(D6:D11)</f>
        <v>2.1610045089959682E-4</v>
      </c>
      <c r="E5" s="448">
        <f>SUM(E6:E11)</f>
        <v>8.3537642075189218E-4</v>
      </c>
      <c r="F5" s="461" t="s">
        <v>211</v>
      </c>
      <c r="G5" s="448">
        <f>SUM(G6:G11)</f>
        <v>0.36298131414009416</v>
      </c>
      <c r="H5" s="448">
        <f>SUM(H6:H11)</f>
        <v>5.8140508954264446E-2</v>
      </c>
      <c r="I5" s="463" t="s">
        <v>211</v>
      </c>
      <c r="J5" s="463" t="s">
        <v>211</v>
      </c>
      <c r="K5" s="463" t="s">
        <v>211</v>
      </c>
      <c r="L5" s="463" t="s">
        <v>211</v>
      </c>
      <c r="M5" s="448">
        <f>SUM(M6:M11)</f>
        <v>1.3177290268778443E-2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8.3143817359870677E-5</v>
      </c>
      <c r="C6" s="449"/>
      <c r="D6" s="892">
        <f>vkm_2011_GW_PW*SUMIFS(TableVerdeelsleutelVkm[CNG],TableVerdeelsleutelVkm[Voertuigtype],"Lichte voertuigen")*SUMIFS(TableECFTransport[EnergieConsumptieFactor (PJ per km)],TableECFTransport[Index],CONCATENATE($A6,"_CNG_CNG"))</f>
        <v>1.6520822148560505E-4</v>
      </c>
      <c r="E6" s="892">
        <f>vkm_2011_GW_PW*SUMIFS(TableVerdeelsleutelVkm[LPG],TableVerdeelsleutelVkm[Voertuigtype],"Lichte voertuigen")*SUMIFS(TableECFTransport[EnergieConsumptieFactor (PJ per km)],TableECFTransport[Index],CONCATENATE($A6,"_LPG_LPG"))</f>
        <v>6.5015357425365981E-4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0.15458421188756624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4.4726835735616484E-2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6.2107162904507145E-3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0.14911526458816415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4.8170599697991503E-5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4.6983938294756526E-3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1.4465074825664141E-5</v>
      </c>
      <c r="C8" s="449"/>
      <c r="D8" s="451">
        <f>vkm_2011_NGW_PW*SUMIFS(TableVerdeelsleutelVkm[CNG],TableVerdeelsleutelVkm[Voertuigtype],"Lichte voertuigen")*SUMIFS(TableECFTransport[EnergieConsumptieFactor (PJ per km)],TableECFTransport[Index],CONCATENATE($A8,"_CNG_CNG"))</f>
        <v>5.0892229413991764E-5</v>
      </c>
      <c r="E8" s="451">
        <f>vkm_2011_NGW_PW*SUMIFS(TableVerdeelsleutelVkm[LPG],TableVerdeelsleutelVkm[Voertuigtype],"Lichte voertuigen")*SUMIFS(TableECFTransport[EnergieConsumptieFactor (PJ per km)],TableECFTransport[Index],CONCATENATE($A8,"_LPG_LPG"))</f>
        <v>1.8522284649823235E-4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4.1124678726390647E-2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1.3359955452937956E-2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1.696085401550546E-3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1.8157158937973154E-2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5.5471660120143275E-6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5.7209474730153022E-4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27.113581162648561</v>
      </c>
      <c r="C14" s="21"/>
      <c r="D14" s="21">
        <f t="shared" ref="D14:M14" si="0">((D5)*10^9/3600)+D12</f>
        <v>60.027903027665786</v>
      </c>
      <c r="E14" s="21">
        <f t="shared" si="0"/>
        <v>232.04900576441449</v>
      </c>
      <c r="F14" s="21"/>
      <c r="G14" s="21">
        <f t="shared" si="0"/>
        <v>100828.14281669282</v>
      </c>
      <c r="H14" s="21">
        <f t="shared" si="0"/>
        <v>16150.141376184569</v>
      </c>
      <c r="I14" s="21"/>
      <c r="J14" s="21"/>
      <c r="K14" s="21"/>
      <c r="L14" s="21"/>
      <c r="M14" s="21">
        <f t="shared" si="0"/>
        <v>3660.3584079940119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0.16910416581736157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4.5850195248310133</v>
      </c>
      <c r="C18" s="23"/>
      <c r="D18" s="23">
        <f t="shared" ref="D18:M18" si="1">D14*D16</f>
        <v>12.12563641158849</v>
      </c>
      <c r="E18" s="23">
        <f t="shared" si="1"/>
        <v>52.675124308522093</v>
      </c>
      <c r="F18" s="23"/>
      <c r="G18" s="23">
        <f t="shared" si="1"/>
        <v>26921.114132056984</v>
      </c>
      <c r="H18" s="23">
        <f t="shared" si="1"/>
        <v>4021.3852026699578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4.9111174905470652E-3</v>
      </c>
      <c r="H50" s="321">
        <f t="shared" si="2"/>
        <v>0</v>
      </c>
      <c r="I50" s="321">
        <f t="shared" si="2"/>
        <v>0</v>
      </c>
      <c r="J50" s="321">
        <f t="shared" si="2"/>
        <v>0</v>
      </c>
      <c r="K50" s="321">
        <f t="shared" si="2"/>
        <v>0</v>
      </c>
      <c r="L50" s="321">
        <f t="shared" si="2"/>
        <v>0</v>
      </c>
      <c r="M50" s="321">
        <f t="shared" si="2"/>
        <v>1.5233187749268741E-4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4.9111174905470652E-3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1.5233187749268741E-4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1364.1993029297405</v>
      </c>
      <c r="H54" s="21">
        <f t="shared" si="3"/>
        <v>0</v>
      </c>
      <c r="I54" s="21">
        <f t="shared" si="3"/>
        <v>0</v>
      </c>
      <c r="J54" s="21">
        <f t="shared" si="3"/>
        <v>0</v>
      </c>
      <c r="K54" s="21">
        <f t="shared" si="3"/>
        <v>0</v>
      </c>
      <c r="L54" s="21">
        <f t="shared" si="3"/>
        <v>0</v>
      </c>
      <c r="M54" s="21">
        <f t="shared" si="3"/>
        <v>42.31441041463539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0.16910416581736157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364.24121388224074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36031.157526799994</v>
      </c>
      <c r="D10" s="1012">
        <f ca="1">tertiair!C16</f>
        <v>0</v>
      </c>
      <c r="E10" s="1012">
        <f ca="1">tertiair!D16</f>
        <v>48020.059022889807</v>
      </c>
      <c r="F10" s="1012">
        <f>tertiair!E16</f>
        <v>554.92520576306549</v>
      </c>
      <c r="G10" s="1012">
        <f ca="1">tertiair!F16</f>
        <v>8344.4346203630012</v>
      </c>
      <c r="H10" s="1012">
        <f>tertiair!G16</f>
        <v>0</v>
      </c>
      <c r="I10" s="1012">
        <f>tertiair!H16</f>
        <v>0</v>
      </c>
      <c r="J10" s="1012">
        <f>tertiair!I16</f>
        <v>0</v>
      </c>
      <c r="K10" s="1012">
        <f>tertiair!J16</f>
        <v>0</v>
      </c>
      <c r="L10" s="1012">
        <f>tertiair!K16</f>
        <v>0</v>
      </c>
      <c r="M10" s="1012">
        <f ca="1">tertiair!L16</f>
        <v>0</v>
      </c>
      <c r="N10" s="1012">
        <f>tertiair!M16</f>
        <v>0</v>
      </c>
      <c r="O10" s="1012">
        <f ca="1">tertiair!N16</f>
        <v>3758.8094393277393</v>
      </c>
      <c r="P10" s="1012">
        <f>tertiair!O16</f>
        <v>3.1266666666666669</v>
      </c>
      <c r="Q10" s="1013">
        <f>tertiair!P16</f>
        <v>133.46666666666667</v>
      </c>
      <c r="R10" s="700">
        <f ca="1">SUM(C10:Q10)</f>
        <v>96845.979148476923</v>
      </c>
      <c r="S10" s="67"/>
    </row>
    <row r="11" spans="1:19" s="473" customFormat="1">
      <c r="A11" s="809" t="s">
        <v>225</v>
      </c>
      <c r="B11" s="814"/>
      <c r="C11" s="1012">
        <f>huishoudens!B8</f>
        <v>35271.222229304374</v>
      </c>
      <c r="D11" s="1012">
        <f>huishoudens!C8</f>
        <v>0</v>
      </c>
      <c r="E11" s="1012">
        <f>huishoudens!D8</f>
        <v>89053.922364704005</v>
      </c>
      <c r="F11" s="1012">
        <f>huishoudens!E8</f>
        <v>3806.4149427800035</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9538.6495676250215</v>
      </c>
      <c r="P11" s="1012">
        <f>huishoudens!O8</f>
        <v>196.98000000000002</v>
      </c>
      <c r="Q11" s="1013">
        <f>huishoudens!P8</f>
        <v>991.4666666666667</v>
      </c>
      <c r="R11" s="700">
        <f>SUM(C11:Q11)</f>
        <v>138858.65577108008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58837.060667245998</v>
      </c>
      <c r="D13" s="1012">
        <f>industrie!C18</f>
        <v>0</v>
      </c>
      <c r="E13" s="1012">
        <f>industrie!D18</f>
        <v>21897.184399058853</v>
      </c>
      <c r="F13" s="1012">
        <f>industrie!E18</f>
        <v>2176.3333829322546</v>
      </c>
      <c r="G13" s="1012">
        <f>industrie!F18</f>
        <v>10050.673519143005</v>
      </c>
      <c r="H13" s="1012">
        <f>industrie!G18</f>
        <v>0</v>
      </c>
      <c r="I13" s="1012">
        <f>industrie!H18</f>
        <v>0</v>
      </c>
      <c r="J13" s="1012">
        <f>industrie!I18</f>
        <v>0</v>
      </c>
      <c r="K13" s="1012">
        <f>industrie!J18</f>
        <v>2106.5772567985364</v>
      </c>
      <c r="L13" s="1012">
        <f>industrie!K18</f>
        <v>0</v>
      </c>
      <c r="M13" s="1012">
        <f>industrie!L18</f>
        <v>0</v>
      </c>
      <c r="N13" s="1012">
        <f>industrie!M18</f>
        <v>0</v>
      </c>
      <c r="O13" s="1012">
        <f>industrie!N18</f>
        <v>58247.07079869006</v>
      </c>
      <c r="P13" s="1012">
        <f>industrie!O18</f>
        <v>0</v>
      </c>
      <c r="Q13" s="1013">
        <f>industrie!P18</f>
        <v>0</v>
      </c>
      <c r="R13" s="700">
        <f>SUM(C13:Q13)</f>
        <v>153314.90002386871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130139.44042335037</v>
      </c>
      <c r="D16" s="732">
        <f t="shared" ref="D16:R16" ca="1" si="0">SUM(D9:D15)</f>
        <v>0</v>
      </c>
      <c r="E16" s="732">
        <f t="shared" ca="1" si="0"/>
        <v>158971.16578665265</v>
      </c>
      <c r="F16" s="732">
        <f t="shared" si="0"/>
        <v>6537.6735314753232</v>
      </c>
      <c r="G16" s="732">
        <f t="shared" ca="1" si="0"/>
        <v>18395.108139506006</v>
      </c>
      <c r="H16" s="732">
        <f t="shared" si="0"/>
        <v>0</v>
      </c>
      <c r="I16" s="732">
        <f t="shared" si="0"/>
        <v>0</v>
      </c>
      <c r="J16" s="732">
        <f t="shared" si="0"/>
        <v>0</v>
      </c>
      <c r="K16" s="732">
        <f t="shared" si="0"/>
        <v>2106.5772567985364</v>
      </c>
      <c r="L16" s="732">
        <f t="shared" si="0"/>
        <v>0</v>
      </c>
      <c r="M16" s="732">
        <f t="shared" ca="1" si="0"/>
        <v>0</v>
      </c>
      <c r="N16" s="732">
        <f t="shared" si="0"/>
        <v>0</v>
      </c>
      <c r="O16" s="732">
        <f t="shared" ca="1" si="0"/>
        <v>71544.529805642815</v>
      </c>
      <c r="P16" s="732">
        <f t="shared" si="0"/>
        <v>200.10666666666668</v>
      </c>
      <c r="Q16" s="732">
        <f t="shared" si="0"/>
        <v>1124.9333333333334</v>
      </c>
      <c r="R16" s="732">
        <f t="shared" ca="1" si="0"/>
        <v>389019.53494342574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1364.1993029297405</v>
      </c>
      <c r="I19" s="1012">
        <f>transport!H54</f>
        <v>0</v>
      </c>
      <c r="J19" s="1012">
        <f>transport!I54</f>
        <v>0</v>
      </c>
      <c r="K19" s="1012">
        <f>transport!J54</f>
        <v>0</v>
      </c>
      <c r="L19" s="1012">
        <f>transport!K54</f>
        <v>0</v>
      </c>
      <c r="M19" s="1012">
        <f>transport!L54</f>
        <v>0</v>
      </c>
      <c r="N19" s="1012">
        <f>transport!M54</f>
        <v>42.31441041463539</v>
      </c>
      <c r="O19" s="1012">
        <f>transport!N54</f>
        <v>0</v>
      </c>
      <c r="P19" s="1012">
        <f>transport!O54</f>
        <v>0</v>
      </c>
      <c r="Q19" s="1013">
        <f>transport!P54</f>
        <v>0</v>
      </c>
      <c r="R19" s="700">
        <f>SUM(C19:Q19)</f>
        <v>1406.5137133443759</v>
      </c>
      <c r="S19" s="67"/>
    </row>
    <row r="20" spans="1:19" s="473" customFormat="1">
      <c r="A20" s="809" t="s">
        <v>307</v>
      </c>
      <c r="B20" s="814"/>
      <c r="C20" s="1012">
        <f>transport!B14</f>
        <v>27.113581162648561</v>
      </c>
      <c r="D20" s="1012">
        <f>transport!C14</f>
        <v>0</v>
      </c>
      <c r="E20" s="1012">
        <f>transport!D14</f>
        <v>60.027903027665786</v>
      </c>
      <c r="F20" s="1012">
        <f>transport!E14</f>
        <v>232.04900576441449</v>
      </c>
      <c r="G20" s="1012">
        <f>transport!F14</f>
        <v>0</v>
      </c>
      <c r="H20" s="1012">
        <f>transport!G14</f>
        <v>100828.14281669282</v>
      </c>
      <c r="I20" s="1012">
        <f>transport!H14</f>
        <v>16150.141376184569</v>
      </c>
      <c r="J20" s="1012">
        <f>transport!I14</f>
        <v>0</v>
      </c>
      <c r="K20" s="1012">
        <f>transport!J14</f>
        <v>0</v>
      </c>
      <c r="L20" s="1012">
        <f>transport!K14</f>
        <v>0</v>
      </c>
      <c r="M20" s="1012">
        <f>transport!L14</f>
        <v>0</v>
      </c>
      <c r="N20" s="1012">
        <f>transport!M14</f>
        <v>3660.3584079940119</v>
      </c>
      <c r="O20" s="1012">
        <f>transport!N14</f>
        <v>0</v>
      </c>
      <c r="P20" s="1012">
        <f>transport!O14</f>
        <v>0</v>
      </c>
      <c r="Q20" s="1013">
        <f>transport!P14</f>
        <v>0</v>
      </c>
      <c r="R20" s="700">
        <f>SUM(C20:Q20)</f>
        <v>120957.83309082611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27.113581162648561</v>
      </c>
      <c r="D22" s="812">
        <f t="shared" ref="D22:R22" si="1">SUM(D18:D21)</f>
        <v>0</v>
      </c>
      <c r="E22" s="812">
        <f t="shared" si="1"/>
        <v>60.027903027665786</v>
      </c>
      <c r="F22" s="812">
        <f t="shared" si="1"/>
        <v>232.04900576441449</v>
      </c>
      <c r="G22" s="812">
        <f t="shared" si="1"/>
        <v>0</v>
      </c>
      <c r="H22" s="812">
        <f t="shared" si="1"/>
        <v>102192.34211962257</v>
      </c>
      <c r="I22" s="812">
        <f t="shared" si="1"/>
        <v>16150.141376184569</v>
      </c>
      <c r="J22" s="812">
        <f t="shared" si="1"/>
        <v>0</v>
      </c>
      <c r="K22" s="812">
        <f t="shared" si="1"/>
        <v>0</v>
      </c>
      <c r="L22" s="812">
        <f t="shared" si="1"/>
        <v>0</v>
      </c>
      <c r="M22" s="812">
        <f t="shared" si="1"/>
        <v>0</v>
      </c>
      <c r="N22" s="812">
        <f t="shared" si="1"/>
        <v>3702.6728184086473</v>
      </c>
      <c r="O22" s="812">
        <f t="shared" si="1"/>
        <v>0</v>
      </c>
      <c r="P22" s="812">
        <f t="shared" si="1"/>
        <v>0</v>
      </c>
      <c r="Q22" s="812">
        <f t="shared" si="1"/>
        <v>0</v>
      </c>
      <c r="R22" s="812">
        <f t="shared" si="1"/>
        <v>122364.34680417049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2100.1002584899998</v>
      </c>
      <c r="D24" s="1012">
        <f>+landbouw!C8</f>
        <v>0</v>
      </c>
      <c r="E24" s="1012">
        <f>+landbouw!D8</f>
        <v>211.38652990774003</v>
      </c>
      <c r="F24" s="1012">
        <f>+landbouw!E8</f>
        <v>54.153522213718624</v>
      </c>
      <c r="G24" s="1012">
        <f>+landbouw!F8</f>
        <v>7676.2663894470106</v>
      </c>
      <c r="H24" s="1012">
        <f>+landbouw!G8</f>
        <v>0</v>
      </c>
      <c r="I24" s="1012">
        <f>+landbouw!H8</f>
        <v>0</v>
      </c>
      <c r="J24" s="1012">
        <f>+landbouw!I8</f>
        <v>0</v>
      </c>
      <c r="K24" s="1012">
        <f>+landbouw!J8</f>
        <v>302.33718155452971</v>
      </c>
      <c r="L24" s="1012">
        <f>+landbouw!K8</f>
        <v>0</v>
      </c>
      <c r="M24" s="1012">
        <f>+landbouw!L8</f>
        <v>0</v>
      </c>
      <c r="N24" s="1012">
        <f>+landbouw!M8</f>
        <v>0</v>
      </c>
      <c r="O24" s="1012">
        <f>+landbouw!N8</f>
        <v>0</v>
      </c>
      <c r="P24" s="1012">
        <f>+landbouw!O8</f>
        <v>0</v>
      </c>
      <c r="Q24" s="1013">
        <f>+landbouw!P8</f>
        <v>0</v>
      </c>
      <c r="R24" s="700">
        <f>SUM(C24:Q24)</f>
        <v>10344.243881612998</v>
      </c>
      <c r="S24" s="67"/>
    </row>
    <row r="25" spans="1:19" s="473" customFormat="1" ht="15" thickBot="1">
      <c r="A25" s="831" t="s">
        <v>848</v>
      </c>
      <c r="B25" s="1015"/>
      <c r="C25" s="1016">
        <f>IF(Onbekend_ele_kWh="---",0,Onbekend_ele_kWh)/1000+IF(REST_rest_ele_kWh="---",0,REST_rest_ele_kWh)/1000</f>
        <v>1198.0327242000001</v>
      </c>
      <c r="D25" s="1016"/>
      <c r="E25" s="1016">
        <f>IF(onbekend_gas_kWh="---",0,onbekend_gas_kWh)/1000+IF(REST_rest_gas_kWh="---",0,REST_rest_gas_kWh)/1000</f>
        <v>2848.0284078</v>
      </c>
      <c r="F25" s="1016"/>
      <c r="G25" s="1016"/>
      <c r="H25" s="1016"/>
      <c r="I25" s="1016"/>
      <c r="J25" s="1016"/>
      <c r="K25" s="1016"/>
      <c r="L25" s="1016"/>
      <c r="M25" s="1016"/>
      <c r="N25" s="1016"/>
      <c r="O25" s="1016"/>
      <c r="P25" s="1016"/>
      <c r="Q25" s="1017"/>
      <c r="R25" s="700">
        <f>SUM(C25:Q25)</f>
        <v>4046.0611319999998</v>
      </c>
      <c r="S25" s="67"/>
    </row>
    <row r="26" spans="1:19" s="473" customFormat="1" ht="15.75" thickBot="1">
      <c r="A26" s="705" t="s">
        <v>849</v>
      </c>
      <c r="B26" s="817"/>
      <c r="C26" s="812">
        <f>SUM(C24:C25)</f>
        <v>3298.1329826900001</v>
      </c>
      <c r="D26" s="812">
        <f t="shared" ref="D26:R26" si="2">SUM(D24:D25)</f>
        <v>0</v>
      </c>
      <c r="E26" s="812">
        <f t="shared" si="2"/>
        <v>3059.4149377077401</v>
      </c>
      <c r="F26" s="812">
        <f t="shared" si="2"/>
        <v>54.153522213718624</v>
      </c>
      <c r="G26" s="812">
        <f t="shared" si="2"/>
        <v>7676.2663894470106</v>
      </c>
      <c r="H26" s="812">
        <f t="shared" si="2"/>
        <v>0</v>
      </c>
      <c r="I26" s="812">
        <f t="shared" si="2"/>
        <v>0</v>
      </c>
      <c r="J26" s="812">
        <f t="shared" si="2"/>
        <v>0</v>
      </c>
      <c r="K26" s="812">
        <f t="shared" si="2"/>
        <v>302.33718155452971</v>
      </c>
      <c r="L26" s="812">
        <f t="shared" si="2"/>
        <v>0</v>
      </c>
      <c r="M26" s="812">
        <f t="shared" si="2"/>
        <v>0</v>
      </c>
      <c r="N26" s="812">
        <f t="shared" si="2"/>
        <v>0</v>
      </c>
      <c r="O26" s="812">
        <f t="shared" si="2"/>
        <v>0</v>
      </c>
      <c r="P26" s="812">
        <f t="shared" si="2"/>
        <v>0</v>
      </c>
      <c r="Q26" s="812">
        <f t="shared" si="2"/>
        <v>0</v>
      </c>
      <c r="R26" s="812">
        <f t="shared" si="2"/>
        <v>14390.305013612997</v>
      </c>
      <c r="S26" s="67"/>
    </row>
    <row r="27" spans="1:19" s="473" customFormat="1" ht="17.25" thickTop="1" thickBot="1">
      <c r="A27" s="706" t="s">
        <v>116</v>
      </c>
      <c r="B27" s="805"/>
      <c r="C27" s="707">
        <f ca="1">C22+C16+C26</f>
        <v>133464.68698720302</v>
      </c>
      <c r="D27" s="707">
        <f t="shared" ref="D27:R27" ca="1" si="3">D22+D16+D26</f>
        <v>0</v>
      </c>
      <c r="E27" s="707">
        <f t="shared" ca="1" si="3"/>
        <v>162090.60862738805</v>
      </c>
      <c r="F27" s="707">
        <f t="shared" si="3"/>
        <v>6823.8760594534569</v>
      </c>
      <c r="G27" s="707">
        <f t="shared" ca="1" si="3"/>
        <v>26071.374528953016</v>
      </c>
      <c r="H27" s="707">
        <f t="shared" si="3"/>
        <v>102192.34211962257</v>
      </c>
      <c r="I27" s="707">
        <f t="shared" si="3"/>
        <v>16150.141376184569</v>
      </c>
      <c r="J27" s="707">
        <f t="shared" si="3"/>
        <v>0</v>
      </c>
      <c r="K27" s="707">
        <f t="shared" si="3"/>
        <v>2408.9144383530661</v>
      </c>
      <c r="L27" s="707">
        <f t="shared" si="3"/>
        <v>0</v>
      </c>
      <c r="M27" s="707">
        <f t="shared" ca="1" si="3"/>
        <v>0</v>
      </c>
      <c r="N27" s="707">
        <f t="shared" si="3"/>
        <v>3702.6728184086473</v>
      </c>
      <c r="O27" s="707">
        <f t="shared" ca="1" si="3"/>
        <v>71544.529805642815</v>
      </c>
      <c r="P27" s="707">
        <f t="shared" si="3"/>
        <v>200.10666666666668</v>
      </c>
      <c r="Q27" s="707">
        <f t="shared" si="3"/>
        <v>1124.9333333333334</v>
      </c>
      <c r="R27" s="707">
        <f t="shared" ca="1" si="3"/>
        <v>525774.18676120916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6093.0188370034612</v>
      </c>
      <c r="D40" s="1012">
        <f ca="1">tertiair!C20</f>
        <v>0</v>
      </c>
      <c r="E40" s="1012">
        <f ca="1">tertiair!D20</f>
        <v>9700.0519226237411</v>
      </c>
      <c r="F40" s="1012">
        <f>tertiair!E20</f>
        <v>125.96802170821587</v>
      </c>
      <c r="G40" s="1012">
        <f ca="1">tertiair!F20</f>
        <v>2227.9640436369214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18147.00282497234</v>
      </c>
    </row>
    <row r="41" spans="1:18">
      <c r="A41" s="822" t="s">
        <v>225</v>
      </c>
      <c r="B41" s="829"/>
      <c r="C41" s="1012">
        <f ca="1">huishoudens!B12</f>
        <v>5964.5106124452959</v>
      </c>
      <c r="D41" s="1012">
        <f ca="1">huishoudens!C12</f>
        <v>0</v>
      </c>
      <c r="E41" s="1012">
        <f>huishoudens!D12</f>
        <v>17988.892317670212</v>
      </c>
      <c r="F41" s="1012">
        <f>huishoudens!E12</f>
        <v>864.05619201106083</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24817.459122126569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9949.5920632801299</v>
      </c>
      <c r="D43" s="1012">
        <f ca="1">industrie!C22</f>
        <v>0</v>
      </c>
      <c r="E43" s="1012">
        <f>industrie!D22</f>
        <v>4423.231248609889</v>
      </c>
      <c r="F43" s="1012">
        <f>industrie!E22</f>
        <v>494.02767792562179</v>
      </c>
      <c r="G43" s="1012">
        <f>industrie!F22</f>
        <v>2683.5298296111828</v>
      </c>
      <c r="H43" s="1012">
        <f>industrie!G22</f>
        <v>0</v>
      </c>
      <c r="I43" s="1012">
        <f>industrie!H22</f>
        <v>0</v>
      </c>
      <c r="J43" s="1012">
        <f>industrie!I22</f>
        <v>0</v>
      </c>
      <c r="K43" s="1012">
        <f>industrie!J22</f>
        <v>745.72834890668184</v>
      </c>
      <c r="L43" s="1012">
        <f>industrie!K22</f>
        <v>0</v>
      </c>
      <c r="M43" s="1012">
        <f>industrie!L22</f>
        <v>0</v>
      </c>
      <c r="N43" s="1012">
        <f>industrie!M22</f>
        <v>0</v>
      </c>
      <c r="O43" s="1012">
        <f>industrie!N22</f>
        <v>0</v>
      </c>
      <c r="P43" s="1012">
        <f>industrie!O22</f>
        <v>0</v>
      </c>
      <c r="Q43" s="774">
        <f>industrie!P22</f>
        <v>0</v>
      </c>
      <c r="R43" s="849">
        <f t="shared" ca="1" si="4"/>
        <v>18296.109168333507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22007.121512728889</v>
      </c>
      <c r="D46" s="732">
        <f t="shared" ref="D46:Q46" ca="1" si="5">SUM(D39:D45)</f>
        <v>0</v>
      </c>
      <c r="E46" s="732">
        <f t="shared" ca="1" si="5"/>
        <v>32112.175488903842</v>
      </c>
      <c r="F46" s="732">
        <f t="shared" si="5"/>
        <v>1484.0518916448987</v>
      </c>
      <c r="G46" s="732">
        <f t="shared" ca="1" si="5"/>
        <v>4911.4938732481041</v>
      </c>
      <c r="H46" s="732">
        <f t="shared" si="5"/>
        <v>0</v>
      </c>
      <c r="I46" s="732">
        <f t="shared" si="5"/>
        <v>0</v>
      </c>
      <c r="J46" s="732">
        <f t="shared" si="5"/>
        <v>0</v>
      </c>
      <c r="K46" s="732">
        <f t="shared" si="5"/>
        <v>745.72834890668184</v>
      </c>
      <c r="L46" s="732">
        <f t="shared" si="5"/>
        <v>0</v>
      </c>
      <c r="M46" s="732">
        <f t="shared" ca="1" si="5"/>
        <v>0</v>
      </c>
      <c r="N46" s="732">
        <f t="shared" si="5"/>
        <v>0</v>
      </c>
      <c r="O46" s="732">
        <f t="shared" ca="1" si="5"/>
        <v>0</v>
      </c>
      <c r="P46" s="732">
        <f t="shared" si="5"/>
        <v>0</v>
      </c>
      <c r="Q46" s="732">
        <f t="shared" si="5"/>
        <v>0</v>
      </c>
      <c r="R46" s="732">
        <f ca="1">SUM(R39:R45)</f>
        <v>61260.571115432424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364.24121388224074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364.24121388224074</v>
      </c>
    </row>
    <row r="50" spans="1:18">
      <c r="A50" s="825" t="s">
        <v>307</v>
      </c>
      <c r="B50" s="835"/>
      <c r="C50" s="703">
        <f ca="1">transport!B18</f>
        <v>4.5850195248310133</v>
      </c>
      <c r="D50" s="703">
        <f>transport!C18</f>
        <v>0</v>
      </c>
      <c r="E50" s="703">
        <f>transport!D18</f>
        <v>12.12563641158849</v>
      </c>
      <c r="F50" s="703">
        <f>transport!E18</f>
        <v>52.675124308522093</v>
      </c>
      <c r="G50" s="703">
        <f>transport!F18</f>
        <v>0</v>
      </c>
      <c r="H50" s="703">
        <f>transport!G18</f>
        <v>26921.114132056984</v>
      </c>
      <c r="I50" s="703">
        <f>transport!H18</f>
        <v>4021.3852026699578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31011.885114971883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4.5850195248310133</v>
      </c>
      <c r="D52" s="732">
        <f t="shared" ref="D52:Q52" ca="1" si="6">SUM(D48:D51)</f>
        <v>0</v>
      </c>
      <c r="E52" s="732">
        <f t="shared" si="6"/>
        <v>12.12563641158849</v>
      </c>
      <c r="F52" s="732">
        <f t="shared" si="6"/>
        <v>52.675124308522093</v>
      </c>
      <c r="G52" s="732">
        <f t="shared" si="6"/>
        <v>0</v>
      </c>
      <c r="H52" s="732">
        <f t="shared" si="6"/>
        <v>27285.355345939224</v>
      </c>
      <c r="I52" s="732">
        <f t="shared" si="6"/>
        <v>4021.3852026699578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31376.126328854123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355.1357023447768</v>
      </c>
      <c r="D54" s="703">
        <f ca="1">+landbouw!C12</f>
        <v>0</v>
      </c>
      <c r="E54" s="703">
        <f>+landbouw!D12</f>
        <v>42.700079041363487</v>
      </c>
      <c r="F54" s="703">
        <f>+landbouw!E12</f>
        <v>12.292849542514128</v>
      </c>
      <c r="G54" s="703">
        <f>+landbouw!F12</f>
        <v>2049.5631259823522</v>
      </c>
      <c r="H54" s="703">
        <f>+landbouw!G12</f>
        <v>0</v>
      </c>
      <c r="I54" s="703">
        <f>+landbouw!H12</f>
        <v>0</v>
      </c>
      <c r="J54" s="703">
        <f>+landbouw!I12</f>
        <v>0</v>
      </c>
      <c r="K54" s="703">
        <f>+landbouw!J12</f>
        <v>107.02736227030351</v>
      </c>
      <c r="L54" s="703">
        <f>+landbouw!K12</f>
        <v>0</v>
      </c>
      <c r="M54" s="703">
        <f>+landbouw!L12</f>
        <v>0</v>
      </c>
      <c r="N54" s="703">
        <f>+landbouw!M12</f>
        <v>0</v>
      </c>
      <c r="O54" s="703">
        <f>+landbouw!N12</f>
        <v>0</v>
      </c>
      <c r="P54" s="703">
        <f>+landbouw!O12</f>
        <v>0</v>
      </c>
      <c r="Q54" s="704">
        <f>+landbouw!P12</f>
        <v>0</v>
      </c>
      <c r="R54" s="731">
        <f ca="1">SUM(C54:Q54)</f>
        <v>2566.7191191813099</v>
      </c>
    </row>
    <row r="55" spans="1:18" ht="15" thickBot="1">
      <c r="A55" s="825" t="s">
        <v>848</v>
      </c>
      <c r="B55" s="835"/>
      <c r="C55" s="703">
        <f ca="1">C25*'EF ele_warmte'!B12</f>
        <v>202.59232444774221</v>
      </c>
      <c r="D55" s="703"/>
      <c r="E55" s="703">
        <f>E25*EF_CO2_aardgas</f>
        <v>575.30173837560005</v>
      </c>
      <c r="F55" s="703"/>
      <c r="G55" s="703"/>
      <c r="H55" s="703"/>
      <c r="I55" s="703"/>
      <c r="J55" s="703"/>
      <c r="K55" s="703"/>
      <c r="L55" s="703"/>
      <c r="M55" s="703"/>
      <c r="N55" s="703"/>
      <c r="O55" s="703"/>
      <c r="P55" s="703"/>
      <c r="Q55" s="704"/>
      <c r="R55" s="731">
        <f ca="1">SUM(C55:Q55)</f>
        <v>777.89406282334221</v>
      </c>
    </row>
    <row r="56" spans="1:18" ht="15.75" thickBot="1">
      <c r="A56" s="823" t="s">
        <v>849</v>
      </c>
      <c r="B56" s="836"/>
      <c r="C56" s="732">
        <f ca="1">SUM(C54:C55)</f>
        <v>557.72802679251902</v>
      </c>
      <c r="D56" s="732">
        <f t="shared" ref="D56:Q56" ca="1" si="7">SUM(D54:D55)</f>
        <v>0</v>
      </c>
      <c r="E56" s="732">
        <f t="shared" si="7"/>
        <v>618.00181741696349</v>
      </c>
      <c r="F56" s="732">
        <f t="shared" si="7"/>
        <v>12.292849542514128</v>
      </c>
      <c r="G56" s="732">
        <f t="shared" si="7"/>
        <v>2049.5631259823522</v>
      </c>
      <c r="H56" s="732">
        <f t="shared" si="7"/>
        <v>0</v>
      </c>
      <c r="I56" s="732">
        <f t="shared" si="7"/>
        <v>0</v>
      </c>
      <c r="J56" s="732">
        <f t="shared" si="7"/>
        <v>0</v>
      </c>
      <c r="K56" s="732">
        <f t="shared" si="7"/>
        <v>107.02736227030351</v>
      </c>
      <c r="L56" s="732">
        <f t="shared" si="7"/>
        <v>0</v>
      </c>
      <c r="M56" s="732">
        <f t="shared" si="7"/>
        <v>0</v>
      </c>
      <c r="N56" s="732">
        <f t="shared" si="7"/>
        <v>0</v>
      </c>
      <c r="O56" s="732">
        <f t="shared" si="7"/>
        <v>0</v>
      </c>
      <c r="P56" s="732">
        <f t="shared" si="7"/>
        <v>0</v>
      </c>
      <c r="Q56" s="733">
        <f t="shared" si="7"/>
        <v>0</v>
      </c>
      <c r="R56" s="734">
        <f ca="1">SUM(R54:R55)</f>
        <v>3344.6131820046521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22569.43455904624</v>
      </c>
      <c r="D61" s="740">
        <f t="shared" ref="D61:Q61" ca="1" si="8">D46+D52+D56</f>
        <v>0</v>
      </c>
      <c r="E61" s="740">
        <f t="shared" ca="1" si="8"/>
        <v>32742.302942732393</v>
      </c>
      <c r="F61" s="740">
        <f t="shared" si="8"/>
        <v>1549.0198654959349</v>
      </c>
      <c r="G61" s="740">
        <f t="shared" ca="1" si="8"/>
        <v>6961.0569992304563</v>
      </c>
      <c r="H61" s="740">
        <f t="shared" si="8"/>
        <v>27285.355345939224</v>
      </c>
      <c r="I61" s="740">
        <f t="shared" si="8"/>
        <v>4021.3852026699578</v>
      </c>
      <c r="J61" s="740">
        <f t="shared" si="8"/>
        <v>0</v>
      </c>
      <c r="K61" s="740">
        <f t="shared" si="8"/>
        <v>852.75571117698541</v>
      </c>
      <c r="L61" s="740">
        <f t="shared" si="8"/>
        <v>0</v>
      </c>
      <c r="M61" s="740">
        <f t="shared" ca="1" si="8"/>
        <v>0</v>
      </c>
      <c r="N61" s="740">
        <f t="shared" si="8"/>
        <v>0</v>
      </c>
      <c r="O61" s="740">
        <f t="shared" ca="1" si="8"/>
        <v>0</v>
      </c>
      <c r="P61" s="740">
        <f t="shared" si="8"/>
        <v>0</v>
      </c>
      <c r="Q61" s="740">
        <f t="shared" si="8"/>
        <v>0</v>
      </c>
      <c r="R61" s="740">
        <f ca="1">R46+R52+R56</f>
        <v>95981.310626291204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0.16910416581736157</v>
      </c>
      <c r="D63" s="781">
        <f t="shared" ca="1" si="9"/>
        <v>0</v>
      </c>
      <c r="E63" s="1023">
        <f t="shared" ca="1" si="9"/>
        <v>0.20200000000000004</v>
      </c>
      <c r="F63" s="781">
        <f t="shared" si="9"/>
        <v>0.22700000000000004</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26810.539684339295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3630.009026636395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900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2250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31340.54871097569</v>
      </c>
      <c r="C78" s="755">
        <f>SUM(C72:C77)</f>
        <v>0</v>
      </c>
      <c r="D78" s="756">
        <f t="shared" ref="D78:H78" si="10">SUM(D76:D77)</f>
        <v>0</v>
      </c>
      <c r="E78" s="756">
        <f t="shared" si="10"/>
        <v>0</v>
      </c>
      <c r="F78" s="756">
        <f t="shared" si="10"/>
        <v>0</v>
      </c>
      <c r="G78" s="756">
        <f t="shared" si="10"/>
        <v>0</v>
      </c>
      <c r="H78" s="756">
        <f t="shared" si="10"/>
        <v>0</v>
      </c>
      <c r="I78" s="756">
        <f>SUM(I76:I77)</f>
        <v>2250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26810.539684339295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3630.009026636395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900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31340.54871097569</v>
      </c>
      <c r="C10" s="583">
        <f t="shared" ref="C10:L10" si="0">SUM(C8:C9)</f>
        <v>0</v>
      </c>
      <c r="D10" s="583">
        <f t="shared" si="0"/>
        <v>0</v>
      </c>
      <c r="E10" s="583">
        <f t="shared" si="0"/>
        <v>0</v>
      </c>
      <c r="F10" s="583">
        <f t="shared" si="0"/>
        <v>0</v>
      </c>
      <c r="G10" s="583">
        <f t="shared" si="0"/>
        <v>0</v>
      </c>
      <c r="H10" s="583">
        <f t="shared" si="0"/>
        <v>0</v>
      </c>
      <c r="I10" s="583">
        <f t="shared" si="0"/>
        <v>2250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43005</v>
      </c>
      <c r="C64" s="796">
        <v>9900</v>
      </c>
      <c r="D64" s="655" t="s">
        <v>890</v>
      </c>
      <c r="E64" s="655" t="s">
        <v>891</v>
      </c>
      <c r="F64" s="655" t="s">
        <v>892</v>
      </c>
      <c r="G64" s="655" t="s">
        <v>893</v>
      </c>
      <c r="H64" s="655" t="s">
        <v>894</v>
      </c>
      <c r="I64" s="655" t="s">
        <v>895</v>
      </c>
      <c r="J64" s="795">
        <v>39066</v>
      </c>
      <c r="K64" s="795">
        <v>39142</v>
      </c>
      <c r="L64" s="655" t="s">
        <v>896</v>
      </c>
      <c r="M64" s="655">
        <v>200</v>
      </c>
      <c r="N64" s="655">
        <v>900</v>
      </c>
      <c r="O64" s="655">
        <v>0</v>
      </c>
      <c r="P64" s="655">
        <v>0</v>
      </c>
      <c r="Q64" s="655">
        <v>0</v>
      </c>
      <c r="R64" s="655">
        <v>0</v>
      </c>
      <c r="S64" s="655">
        <v>0</v>
      </c>
      <c r="T64" s="655">
        <v>0</v>
      </c>
      <c r="U64" s="655">
        <v>2250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200</v>
      </c>
      <c r="N89" s="610">
        <f t="shared" ref="N89:W89" si="5">SUM(N64:N88)</f>
        <v>900</v>
      </c>
      <c r="O89" s="610">
        <f t="shared" si="5"/>
        <v>0</v>
      </c>
      <c r="P89" s="610">
        <f t="shared" si="5"/>
        <v>0</v>
      </c>
      <c r="Q89" s="610">
        <f t="shared" si="5"/>
        <v>0</v>
      </c>
      <c r="R89" s="610">
        <f t="shared" si="5"/>
        <v>0</v>
      </c>
      <c r="S89" s="610">
        <f t="shared" si="5"/>
        <v>0</v>
      </c>
      <c r="T89" s="610">
        <f t="shared" si="5"/>
        <v>0</v>
      </c>
      <c r="U89" s="610">
        <f t="shared" si="5"/>
        <v>2250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200</v>
      </c>
      <c r="N91" s="610">
        <f t="shared" si="7"/>
        <v>900</v>
      </c>
      <c r="O91" s="610">
        <f t="shared" si="7"/>
        <v>0</v>
      </c>
      <c r="P91" s="610">
        <f t="shared" si="7"/>
        <v>0</v>
      </c>
      <c r="Q91" s="610">
        <f t="shared" si="7"/>
        <v>0</v>
      </c>
      <c r="R91" s="610">
        <f t="shared" si="7"/>
        <v>0</v>
      </c>
      <c r="S91" s="610">
        <f t="shared" si="7"/>
        <v>0</v>
      </c>
      <c r="T91" s="610">
        <f t="shared" si="7"/>
        <v>0</v>
      </c>
      <c r="U91" s="610">
        <f t="shared" si="7"/>
        <v>2250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35271.222229304374</v>
      </c>
      <c r="C4" s="477">
        <f>huishoudens!C8</f>
        <v>0</v>
      </c>
      <c r="D4" s="477">
        <f>huishoudens!D8</f>
        <v>89053.922364704005</v>
      </c>
      <c r="E4" s="477">
        <f>huishoudens!E8</f>
        <v>3806.4149427800035</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9538.6495676250215</v>
      </c>
      <c r="O4" s="477">
        <f>huishoudens!O8</f>
        <v>196.98000000000002</v>
      </c>
      <c r="P4" s="478">
        <f>huishoudens!P8</f>
        <v>991.4666666666667</v>
      </c>
      <c r="Q4" s="479">
        <f>SUM(B4:P4)</f>
        <v>138858.65577108008</v>
      </c>
    </row>
    <row r="5" spans="1:17">
      <c r="A5" s="476" t="s">
        <v>156</v>
      </c>
      <c r="B5" s="477">
        <f ca="1">tertiair!B16</f>
        <v>34576.985526799996</v>
      </c>
      <c r="C5" s="477">
        <f ca="1">tertiair!C16</f>
        <v>0</v>
      </c>
      <c r="D5" s="477">
        <f ca="1">tertiair!D16</f>
        <v>48020.059022889807</v>
      </c>
      <c r="E5" s="477">
        <f>tertiair!E16</f>
        <v>554.92520576306549</v>
      </c>
      <c r="F5" s="477">
        <f ca="1">tertiair!F16</f>
        <v>8344.4346203630012</v>
      </c>
      <c r="G5" s="477">
        <f>tertiair!G16</f>
        <v>0</v>
      </c>
      <c r="H5" s="477">
        <f>tertiair!H16</f>
        <v>0</v>
      </c>
      <c r="I5" s="477">
        <f>tertiair!I16</f>
        <v>0</v>
      </c>
      <c r="J5" s="477">
        <f>tertiair!J16</f>
        <v>0</v>
      </c>
      <c r="K5" s="477">
        <f>tertiair!K16</f>
        <v>0</v>
      </c>
      <c r="L5" s="477">
        <f ca="1">tertiair!L16</f>
        <v>0</v>
      </c>
      <c r="M5" s="477">
        <f>tertiair!M16</f>
        <v>0</v>
      </c>
      <c r="N5" s="477">
        <f ca="1">tertiair!N16</f>
        <v>3758.8094393277393</v>
      </c>
      <c r="O5" s="477">
        <f>tertiair!O16</f>
        <v>3.1266666666666669</v>
      </c>
      <c r="P5" s="478">
        <f>tertiair!P16</f>
        <v>133.46666666666667</v>
      </c>
      <c r="Q5" s="476">
        <f t="shared" ref="Q5:Q14" ca="1" si="0">SUM(B5:P5)</f>
        <v>95391.807148476932</v>
      </c>
    </row>
    <row r="6" spans="1:17">
      <c r="A6" s="476" t="s">
        <v>194</v>
      </c>
      <c r="B6" s="477">
        <f>'openbare verlichting'!B8</f>
        <v>1454.172</v>
      </c>
      <c r="C6" s="477"/>
      <c r="D6" s="477"/>
      <c r="E6" s="477"/>
      <c r="F6" s="477"/>
      <c r="G6" s="477"/>
      <c r="H6" s="477"/>
      <c r="I6" s="477"/>
      <c r="J6" s="477"/>
      <c r="K6" s="477"/>
      <c r="L6" s="477"/>
      <c r="M6" s="477"/>
      <c r="N6" s="477"/>
      <c r="O6" s="477"/>
      <c r="P6" s="478"/>
      <c r="Q6" s="476">
        <f t="shared" si="0"/>
        <v>1454.172</v>
      </c>
    </row>
    <row r="7" spans="1:17">
      <c r="A7" s="476" t="s">
        <v>112</v>
      </c>
      <c r="B7" s="477">
        <f>landbouw!B8</f>
        <v>2100.1002584899998</v>
      </c>
      <c r="C7" s="477">
        <f>landbouw!C8</f>
        <v>0</v>
      </c>
      <c r="D7" s="477">
        <f>landbouw!D8</f>
        <v>211.38652990774003</v>
      </c>
      <c r="E7" s="477">
        <f>landbouw!E8</f>
        <v>54.153522213718624</v>
      </c>
      <c r="F7" s="477">
        <f>landbouw!F8</f>
        <v>7676.2663894470106</v>
      </c>
      <c r="G7" s="477">
        <f>landbouw!G8</f>
        <v>0</v>
      </c>
      <c r="H7" s="477">
        <f>landbouw!H8</f>
        <v>0</v>
      </c>
      <c r="I7" s="477">
        <f>landbouw!I8</f>
        <v>0</v>
      </c>
      <c r="J7" s="477">
        <f>landbouw!J8</f>
        <v>302.33718155452971</v>
      </c>
      <c r="K7" s="477">
        <f>landbouw!K8</f>
        <v>0</v>
      </c>
      <c r="L7" s="477">
        <f>landbouw!L8</f>
        <v>0</v>
      </c>
      <c r="M7" s="477">
        <f>landbouw!M8</f>
        <v>0</v>
      </c>
      <c r="N7" s="477">
        <f>landbouw!N8</f>
        <v>0</v>
      </c>
      <c r="O7" s="477">
        <f>landbouw!O8</f>
        <v>0</v>
      </c>
      <c r="P7" s="478">
        <f>landbouw!P8</f>
        <v>0</v>
      </c>
      <c r="Q7" s="476">
        <f t="shared" si="0"/>
        <v>10344.243881612998</v>
      </c>
    </row>
    <row r="8" spans="1:17">
      <c r="A8" s="476" t="s">
        <v>638</v>
      </c>
      <c r="B8" s="477">
        <f>industrie!B18</f>
        <v>58837.060667245998</v>
      </c>
      <c r="C8" s="477">
        <f>industrie!C18</f>
        <v>0</v>
      </c>
      <c r="D8" s="477">
        <f>industrie!D18</f>
        <v>21897.184399058853</v>
      </c>
      <c r="E8" s="477">
        <f>industrie!E18</f>
        <v>2176.3333829322546</v>
      </c>
      <c r="F8" s="477">
        <f>industrie!F18</f>
        <v>10050.673519143005</v>
      </c>
      <c r="G8" s="477">
        <f>industrie!G18</f>
        <v>0</v>
      </c>
      <c r="H8" s="477">
        <f>industrie!H18</f>
        <v>0</v>
      </c>
      <c r="I8" s="477">
        <f>industrie!I18</f>
        <v>0</v>
      </c>
      <c r="J8" s="477">
        <f>industrie!J18</f>
        <v>2106.5772567985364</v>
      </c>
      <c r="K8" s="477">
        <f>industrie!K18</f>
        <v>0</v>
      </c>
      <c r="L8" s="477">
        <f>industrie!L18</f>
        <v>0</v>
      </c>
      <c r="M8" s="477">
        <f>industrie!M18</f>
        <v>0</v>
      </c>
      <c r="N8" s="477">
        <f>industrie!N18</f>
        <v>58247.07079869006</v>
      </c>
      <c r="O8" s="477">
        <f>industrie!O18</f>
        <v>0</v>
      </c>
      <c r="P8" s="478">
        <f>industrie!P18</f>
        <v>0</v>
      </c>
      <c r="Q8" s="476">
        <f t="shared" si="0"/>
        <v>153314.90002386871</v>
      </c>
    </row>
    <row r="9" spans="1:17" s="482" customFormat="1">
      <c r="A9" s="480" t="s">
        <v>564</v>
      </c>
      <c r="B9" s="481">
        <f>transport!B14</f>
        <v>27.113581162648561</v>
      </c>
      <c r="C9" s="481">
        <f>transport!C14</f>
        <v>0</v>
      </c>
      <c r="D9" s="481">
        <f>transport!D14</f>
        <v>60.027903027665786</v>
      </c>
      <c r="E9" s="481">
        <f>transport!E14</f>
        <v>232.04900576441449</v>
      </c>
      <c r="F9" s="481">
        <f>transport!F14</f>
        <v>0</v>
      </c>
      <c r="G9" s="481">
        <f>transport!G14</f>
        <v>100828.14281669282</v>
      </c>
      <c r="H9" s="481">
        <f>transport!H14</f>
        <v>16150.141376184569</v>
      </c>
      <c r="I9" s="481">
        <f>transport!I14</f>
        <v>0</v>
      </c>
      <c r="J9" s="481">
        <f>transport!J14</f>
        <v>0</v>
      </c>
      <c r="K9" s="481">
        <f>transport!K14</f>
        <v>0</v>
      </c>
      <c r="L9" s="481">
        <f>transport!L14</f>
        <v>0</v>
      </c>
      <c r="M9" s="481">
        <f>transport!M14</f>
        <v>3660.3584079940119</v>
      </c>
      <c r="N9" s="481">
        <f>transport!N14</f>
        <v>0</v>
      </c>
      <c r="O9" s="481">
        <f>transport!O14</f>
        <v>0</v>
      </c>
      <c r="P9" s="481">
        <f>transport!P14</f>
        <v>0</v>
      </c>
      <c r="Q9" s="480">
        <f>SUM(B9:P9)</f>
        <v>120957.83309082611</v>
      </c>
    </row>
    <row r="10" spans="1:17">
      <c r="A10" s="476" t="s">
        <v>554</v>
      </c>
      <c r="B10" s="477">
        <f>transport!B54</f>
        <v>0</v>
      </c>
      <c r="C10" s="477">
        <f>transport!C54</f>
        <v>0</v>
      </c>
      <c r="D10" s="477">
        <f>transport!D54</f>
        <v>0</v>
      </c>
      <c r="E10" s="477">
        <f>transport!E54</f>
        <v>0</v>
      </c>
      <c r="F10" s="477">
        <f>transport!F54</f>
        <v>0</v>
      </c>
      <c r="G10" s="477">
        <f>transport!G54</f>
        <v>1364.1993029297405</v>
      </c>
      <c r="H10" s="477">
        <f>transport!H54</f>
        <v>0</v>
      </c>
      <c r="I10" s="477">
        <f>transport!I54</f>
        <v>0</v>
      </c>
      <c r="J10" s="477">
        <f>transport!J54</f>
        <v>0</v>
      </c>
      <c r="K10" s="477">
        <f>transport!K54</f>
        <v>0</v>
      </c>
      <c r="L10" s="477">
        <f>transport!L54</f>
        <v>0</v>
      </c>
      <c r="M10" s="477">
        <f>transport!M54</f>
        <v>42.31441041463539</v>
      </c>
      <c r="N10" s="477">
        <f>transport!N54</f>
        <v>0</v>
      </c>
      <c r="O10" s="477">
        <f>transport!O54</f>
        <v>0</v>
      </c>
      <c r="P10" s="478">
        <f>transport!P54</f>
        <v>0</v>
      </c>
      <c r="Q10" s="476">
        <f t="shared" si="0"/>
        <v>1406.5137133443759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1198.0327242000001</v>
      </c>
      <c r="C14" s="484"/>
      <c r="D14" s="484">
        <f>'SEAP template'!E25</f>
        <v>2848.0284078</v>
      </c>
      <c r="E14" s="484"/>
      <c r="F14" s="484"/>
      <c r="G14" s="484"/>
      <c r="H14" s="484"/>
      <c r="I14" s="484"/>
      <c r="J14" s="484"/>
      <c r="K14" s="484"/>
      <c r="L14" s="484"/>
      <c r="M14" s="484"/>
      <c r="N14" s="484"/>
      <c r="O14" s="484"/>
      <c r="P14" s="485"/>
      <c r="Q14" s="476">
        <f t="shared" si="0"/>
        <v>4046.0611319999998</v>
      </c>
    </row>
    <row r="15" spans="1:17" s="486" customFormat="1">
      <c r="A15" s="1038" t="s">
        <v>558</v>
      </c>
      <c r="B15" s="978">
        <f ca="1">SUM(B4:B14)</f>
        <v>133464.68698720302</v>
      </c>
      <c r="C15" s="978">
        <f t="shared" ref="C15:Q15" ca="1" si="1">SUM(C4:C14)</f>
        <v>0</v>
      </c>
      <c r="D15" s="978">
        <f t="shared" ca="1" si="1"/>
        <v>162090.60862738808</v>
      </c>
      <c r="E15" s="978">
        <f t="shared" si="1"/>
        <v>6823.8760594534569</v>
      </c>
      <c r="F15" s="978">
        <f t="shared" ca="1" si="1"/>
        <v>26071.374528953016</v>
      </c>
      <c r="G15" s="978">
        <f t="shared" si="1"/>
        <v>102192.34211962257</v>
      </c>
      <c r="H15" s="978">
        <f t="shared" si="1"/>
        <v>16150.141376184569</v>
      </c>
      <c r="I15" s="978">
        <f t="shared" si="1"/>
        <v>0</v>
      </c>
      <c r="J15" s="978">
        <f t="shared" si="1"/>
        <v>2408.9144383530661</v>
      </c>
      <c r="K15" s="978">
        <f t="shared" si="1"/>
        <v>0</v>
      </c>
      <c r="L15" s="978">
        <f t="shared" ca="1" si="1"/>
        <v>0</v>
      </c>
      <c r="M15" s="978">
        <f t="shared" si="1"/>
        <v>3702.6728184086473</v>
      </c>
      <c r="N15" s="978">
        <f t="shared" ca="1" si="1"/>
        <v>71544.529805642815</v>
      </c>
      <c r="O15" s="978">
        <f t="shared" si="1"/>
        <v>200.10666666666668</v>
      </c>
      <c r="P15" s="978">
        <f t="shared" si="1"/>
        <v>1124.9333333333334</v>
      </c>
      <c r="Q15" s="978">
        <f t="shared" ca="1" si="1"/>
        <v>525774.18676120916</v>
      </c>
    </row>
    <row r="17" spans="1:17">
      <c r="A17" s="487" t="s">
        <v>559</v>
      </c>
      <c r="B17" s="786">
        <f ca="1">huishoudens!B10</f>
        <v>0.16910416581736157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5964.5106124452959</v>
      </c>
      <c r="C22" s="477">
        <f t="shared" ref="C22:C32" ca="1" si="3">C4*$C$17</f>
        <v>0</v>
      </c>
      <c r="D22" s="477">
        <f t="shared" ref="D22:D32" si="4">D4*$D$17</f>
        <v>17988.892317670212</v>
      </c>
      <c r="E22" s="477">
        <f t="shared" ref="E22:E32" si="5">E4*$E$17</f>
        <v>864.05619201106083</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24817.459122126569</v>
      </c>
    </row>
    <row r="23" spans="1:17">
      <c r="A23" s="476" t="s">
        <v>156</v>
      </c>
      <c r="B23" s="477">
        <f t="shared" ca="1" si="2"/>
        <v>5847.1122939884972</v>
      </c>
      <c r="C23" s="477">
        <f t="shared" ca="1" si="3"/>
        <v>0</v>
      </c>
      <c r="D23" s="477">
        <f t="shared" ca="1" si="4"/>
        <v>9700.0519226237411</v>
      </c>
      <c r="E23" s="477">
        <f t="shared" si="5"/>
        <v>125.96802170821587</v>
      </c>
      <c r="F23" s="477">
        <f t="shared" ca="1" si="6"/>
        <v>2227.9640436369214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17901.096281957376</v>
      </c>
    </row>
    <row r="24" spans="1:17">
      <c r="A24" s="476" t="s">
        <v>194</v>
      </c>
      <c r="B24" s="477">
        <f t="shared" ca="1" si="2"/>
        <v>245.90654301496431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245.90654301496431</v>
      </c>
    </row>
    <row r="25" spans="1:17">
      <c r="A25" s="476" t="s">
        <v>112</v>
      </c>
      <c r="B25" s="477">
        <f t="shared" ca="1" si="2"/>
        <v>355.1357023447768</v>
      </c>
      <c r="C25" s="477">
        <f t="shared" ca="1" si="3"/>
        <v>0</v>
      </c>
      <c r="D25" s="477">
        <f t="shared" si="4"/>
        <v>42.700079041363487</v>
      </c>
      <c r="E25" s="477">
        <f t="shared" si="5"/>
        <v>12.292849542514128</v>
      </c>
      <c r="F25" s="477">
        <f t="shared" si="6"/>
        <v>2049.5631259823522</v>
      </c>
      <c r="G25" s="477">
        <f t="shared" si="7"/>
        <v>0</v>
      </c>
      <c r="H25" s="477">
        <f t="shared" si="8"/>
        <v>0</v>
      </c>
      <c r="I25" s="477">
        <f t="shared" si="9"/>
        <v>0</v>
      </c>
      <c r="J25" s="477">
        <f t="shared" si="10"/>
        <v>107.02736227030351</v>
      </c>
      <c r="K25" s="477">
        <f t="shared" si="11"/>
        <v>0</v>
      </c>
      <c r="L25" s="477">
        <f t="shared" si="12"/>
        <v>0</v>
      </c>
      <c r="M25" s="477">
        <f t="shared" si="13"/>
        <v>0</v>
      </c>
      <c r="N25" s="477">
        <f t="shared" si="14"/>
        <v>0</v>
      </c>
      <c r="O25" s="477">
        <f t="shared" si="15"/>
        <v>0</v>
      </c>
      <c r="P25" s="478">
        <f t="shared" si="16"/>
        <v>0</v>
      </c>
      <c r="Q25" s="476">
        <f t="shared" ca="1" si="17"/>
        <v>2566.7191191813099</v>
      </c>
    </row>
    <row r="26" spans="1:17">
      <c r="A26" s="476" t="s">
        <v>638</v>
      </c>
      <c r="B26" s="477">
        <f t="shared" ca="1" si="2"/>
        <v>9949.5920632801299</v>
      </c>
      <c r="C26" s="477">
        <f t="shared" ca="1" si="3"/>
        <v>0</v>
      </c>
      <c r="D26" s="477">
        <f t="shared" si="4"/>
        <v>4423.231248609889</v>
      </c>
      <c r="E26" s="477">
        <f t="shared" si="5"/>
        <v>494.02767792562179</v>
      </c>
      <c r="F26" s="477">
        <f t="shared" si="6"/>
        <v>2683.5298296111828</v>
      </c>
      <c r="G26" s="477">
        <f t="shared" si="7"/>
        <v>0</v>
      </c>
      <c r="H26" s="477">
        <f t="shared" si="8"/>
        <v>0</v>
      </c>
      <c r="I26" s="477">
        <f t="shared" si="9"/>
        <v>0</v>
      </c>
      <c r="J26" s="477">
        <f t="shared" si="10"/>
        <v>745.72834890668184</v>
      </c>
      <c r="K26" s="477">
        <f t="shared" si="11"/>
        <v>0</v>
      </c>
      <c r="L26" s="477">
        <f t="shared" si="12"/>
        <v>0</v>
      </c>
      <c r="M26" s="477">
        <f t="shared" si="13"/>
        <v>0</v>
      </c>
      <c r="N26" s="477">
        <f t="shared" si="14"/>
        <v>0</v>
      </c>
      <c r="O26" s="477">
        <f t="shared" si="15"/>
        <v>0</v>
      </c>
      <c r="P26" s="478">
        <f t="shared" si="16"/>
        <v>0</v>
      </c>
      <c r="Q26" s="476">
        <f t="shared" ca="1" si="17"/>
        <v>18296.109168333507</v>
      </c>
    </row>
    <row r="27" spans="1:17" s="482" customFormat="1">
      <c r="A27" s="480" t="s">
        <v>564</v>
      </c>
      <c r="B27" s="780">
        <f t="shared" ca="1" si="2"/>
        <v>4.5850195248310133</v>
      </c>
      <c r="C27" s="481">
        <f t="shared" ca="1" si="3"/>
        <v>0</v>
      </c>
      <c r="D27" s="481">
        <f t="shared" si="4"/>
        <v>12.12563641158849</v>
      </c>
      <c r="E27" s="481">
        <f t="shared" si="5"/>
        <v>52.675124308522093</v>
      </c>
      <c r="F27" s="481">
        <f t="shared" si="6"/>
        <v>0</v>
      </c>
      <c r="G27" s="481">
        <f t="shared" si="7"/>
        <v>26921.114132056984</v>
      </c>
      <c r="H27" s="481">
        <f t="shared" si="8"/>
        <v>4021.3852026699578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31011.885114971883</v>
      </c>
    </row>
    <row r="28" spans="1:17">
      <c r="A28" s="476" t="s">
        <v>554</v>
      </c>
      <c r="B28" s="477">
        <f t="shared" ca="1" si="2"/>
        <v>0</v>
      </c>
      <c r="C28" s="477">
        <f t="shared" ca="1" si="3"/>
        <v>0</v>
      </c>
      <c r="D28" s="477">
        <f t="shared" si="4"/>
        <v>0</v>
      </c>
      <c r="E28" s="477">
        <f t="shared" si="5"/>
        <v>0</v>
      </c>
      <c r="F28" s="477">
        <f t="shared" si="6"/>
        <v>0</v>
      </c>
      <c r="G28" s="477">
        <f t="shared" si="7"/>
        <v>364.24121388224074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364.24121388224074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202.59232444774221</v>
      </c>
      <c r="C32" s="477">
        <f t="shared" ca="1" si="3"/>
        <v>0</v>
      </c>
      <c r="D32" s="477">
        <f t="shared" si="4"/>
        <v>575.30173837560005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777.89406282334221</v>
      </c>
    </row>
    <row r="33" spans="1:17" s="486" customFormat="1">
      <c r="A33" s="1038" t="s">
        <v>558</v>
      </c>
      <c r="B33" s="978">
        <f ca="1">SUM(B22:B32)</f>
        <v>22569.434559046236</v>
      </c>
      <c r="C33" s="978">
        <f t="shared" ref="C33:Q33" ca="1" si="18">SUM(C22:C32)</f>
        <v>0</v>
      </c>
      <c r="D33" s="978">
        <f t="shared" ca="1" si="18"/>
        <v>32742.302942732393</v>
      </c>
      <c r="E33" s="978">
        <f t="shared" si="18"/>
        <v>1549.0198654959347</v>
      </c>
      <c r="F33" s="978">
        <f t="shared" ca="1" si="18"/>
        <v>6961.0569992304572</v>
      </c>
      <c r="G33" s="978">
        <f t="shared" si="18"/>
        <v>27285.355345939224</v>
      </c>
      <c r="H33" s="978">
        <f t="shared" si="18"/>
        <v>4021.3852026699578</v>
      </c>
      <c r="I33" s="978">
        <f t="shared" si="18"/>
        <v>0</v>
      </c>
      <c r="J33" s="978">
        <f t="shared" si="18"/>
        <v>852.75571117698541</v>
      </c>
      <c r="K33" s="978">
        <f t="shared" si="18"/>
        <v>0</v>
      </c>
      <c r="L33" s="978">
        <f t="shared" ca="1" si="18"/>
        <v>0</v>
      </c>
      <c r="M33" s="978">
        <f t="shared" si="18"/>
        <v>0</v>
      </c>
      <c r="N33" s="978">
        <f t="shared" ca="1" si="18"/>
        <v>0</v>
      </c>
      <c r="O33" s="978">
        <f t="shared" si="18"/>
        <v>0</v>
      </c>
      <c r="P33" s="978">
        <f t="shared" si="18"/>
        <v>0</v>
      </c>
      <c r="Q33" s="978">
        <f t="shared" ca="1" si="18"/>
        <v>95981.31062629119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26810.539684339295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3630.009026636395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900</v>
      </c>
      <c r="C9" s="1055">
        <f>'SEAP template'!C77</f>
        <v>0</v>
      </c>
      <c r="D9" s="1055">
        <f>'SEAP template'!D77</f>
        <v>0</v>
      </c>
      <c r="E9" s="1055">
        <f>'SEAP template'!E77</f>
        <v>0</v>
      </c>
      <c r="F9" s="1055">
        <f>'SEAP template'!F77</f>
        <v>0</v>
      </c>
      <c r="G9" s="1055">
        <f>'SEAP template'!G77</f>
        <v>0</v>
      </c>
      <c r="H9" s="1055">
        <f>'SEAP template'!H77</f>
        <v>0</v>
      </c>
      <c r="I9" s="1055">
        <f>'SEAP template'!I77</f>
        <v>2250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31340.54871097569</v>
      </c>
      <c r="C10" s="1059">
        <f>SUM(C4:C9)</f>
        <v>0</v>
      </c>
      <c r="D10" s="1059">
        <f t="shared" ref="D10:H10" si="0">SUM(D8:D9)</f>
        <v>0</v>
      </c>
      <c r="E10" s="1059">
        <f t="shared" si="0"/>
        <v>0</v>
      </c>
      <c r="F10" s="1059">
        <f t="shared" si="0"/>
        <v>0</v>
      </c>
      <c r="G10" s="1059">
        <f t="shared" si="0"/>
        <v>0</v>
      </c>
      <c r="H10" s="1059">
        <f t="shared" si="0"/>
        <v>0</v>
      </c>
      <c r="I10" s="1059">
        <f>SUM(I8:I9)</f>
        <v>2250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0.16910416581736157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0.16910416581736157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2019-08-12T08:25:23Z</dcterms:modified>
</cp:coreProperties>
</file>