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<sst xmlns="http://schemas.openxmlformats.org/spreadsheetml/2006/main" count="2392" uniqueCount="890">
  <si>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</si>
  <si>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</si>
  <si>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</si>
  <si>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</si>
  <si>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</si>
  <si>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</si>
  <si>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</si>
  <si>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</si>
  <si>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</si>
  <si>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</si>
  <si>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</si>
  <si>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</si>
  <si>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</si>
  <si>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</si>
  <si>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</si>
  <si>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</si>
  <si>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</si>
  <si>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</si>
  <si>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</si>
  <si>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</si>
  <si>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</si>
  <si>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</si>
  <si>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</si>
  <si>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</si>
  <si>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</si>
  <si>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</si>
  <si>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</si>
  <si>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</si>
  <si>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</si>
  <si>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</si>
  <si>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</si>
  <si>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</si>
  <si>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</si>
  <si>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</si>
  <si>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</si>
  <si>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</si>
  <si>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</si>
  <si>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</si>
  <si>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</si>
  <si>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</si>
  <si>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</si>
  <si>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</si>
  <si>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</si>
  <si>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</si>
  <si>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</si>
  <si>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</si>
  <si>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</si>
  <si>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</si>
  <si>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</si>
  <si>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</si>
  <si>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</si>
  <si>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</si>
  <si>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</si>
  <si>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</si>
  <si>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</si>
  <si>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</si>
  <si>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</si>
  <si>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</si>
  <si>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</si>
  <si>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</si>
  <si>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</si>
  <si>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</si>
  <si>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</si>
  <si>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</si>
  <si>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</si>
  <si>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</si>
  <si>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</si>
  <si>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</si>
  <si>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</si>
  <si>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</si>
  <si>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</si>
  <si>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</si>
  <si>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</si>
  <si>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</si>
  <si>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</si>
  <si>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</si>
  <si>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</si>
  <si>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</si>
  <si>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</si>
  <si>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</si>
  <si>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</si>
  <si>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</si>
  <si>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</si>
  <si>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</si>
  <si>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</si>
  <si>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</si>
  <si>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</si>
  <si>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</si>
  <si>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</si>
  <si>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</si>
  <si>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</si>
  <si>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</si>
  <si>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</si>
  <si>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</si>
  <si>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</si>
  <si>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</si>
  <si>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</si>
  <si>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</si>
  <si>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</si>
  <si>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</si>
  <si>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</si>
  <si>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</si>
  <si>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</si>
  <si>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</si>
  <si>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</si>
  <si>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</si>
  <si>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</si>
  <si>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</si>
  <si>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</si>
  <si>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</si>
  <si>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</si>
  <si>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</si>
  <si>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</si>
  <si>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</si>
  <si>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</si>
  <si>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</si>
  <si>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</si>
  <si>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</si>
  <si>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</si>
  <si>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</si>
  <si>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</si>
  <si>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</si>
  <si>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</si>
  <si>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</si>
  <si>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</si>
  <si>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</si>
  <si>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</si>
  <si>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</si>
  <si>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</si>
  <si>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</si>
  <si>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</si>
  <si>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</si>
  <si>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</si>
  <si>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</si>
  <si>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</si>
  <si>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</si>
  <si>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</si>
  <si>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</si>
  <si>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</si>
  <si>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</si>
  <si>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</si>
  <si>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</si>
  <si>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</si>
  <si>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</si>
  <si>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</si>
  <si>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</si>
  <si>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</si>
  <si>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</si>
  <si>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</si>
  <si>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</si>
  <si>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</si>
  <si>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</si>
  <si>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</si>
  <si>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</si>
  <si>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</si>
  <si>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</si>
  <si>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</si>
  <si>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</si>
  <si>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</si>
  <si>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</si>
  <si>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</si>
  <si>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</si>
  <si>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</si>
  <si>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</si>
  <si>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</si>
  <si>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</si>
  <si>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</si>
  <si>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</si>
  <si>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</si>
  <si>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</si>
  <si>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</si>
  <si>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</si>
  <si>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</si>
  <si>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</si>
  <si>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</si>
  <si>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</si>
  <si>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</si>
  <si>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</si>
  <si>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</si>
  <si>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</si>
  <si>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</si>
  <si>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</si>
  <si>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</si>
  <si>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</si>
  <si>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</si>
  <si>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</si>
  <si>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</si>
  <si>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</si>
  <si>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</si>
  <si>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</si>
  <si>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</si>
  <si>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</si>
  <si>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</si>
  <si>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</si>
  <si>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</si>
  <si>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</si>
  <si>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</si>
  <si>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</si>
  <si>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</si>
  <si>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</si>
  <si>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</si>
  <si>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</si>
  <si>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</si>
  <si>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</si>
  <si>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</si>
  <si>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</si>
  <si>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</si>
  <si>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</si>
  <si>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</si>
  <si>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</si>
  <si>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</si>
  <si>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</si>
  <si>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</si>
  <si>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</si>
  <si>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</si>
  <si>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</si>
  <si>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</si>
  <si>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</si>
  <si>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</si>
  <si>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</si>
  <si>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</si>
  <si>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</si>
  <si>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</si>
  <si>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</si>
  <si>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</si>
  <si>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</si>
  <si>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</si>
  <si>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</si>
  <si>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</si>
  <si>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</si>
  <si>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</si>
  <si>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</si>
  <si>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</si>
  <si>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</si>
  <si>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</si>
  <si>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</si>
  <si>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</si>
  <si>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</si>
  <si>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</si>
  <si>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</si>
  <si>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</si>
  <si>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</si>
  <si>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</si>
  <si>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</si>
  <si>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</si>
  <si>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</si>
  <si>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</si>
  <si>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</si>
  <si>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</si>
  <si>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</si>
  <si>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</si>
  <si>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</si>
  <si>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</si>
  <si>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</si>
  <si>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</si>
  <si>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</si>
  <si>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</si>
  <si>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</si>
  <si>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</si>
  <si>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</si>
  <si>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</si>
  <si>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</si>
  <si>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</si>
  <si>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</si>
  <si>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</si>
  <si>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</si>
  <si>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</si>
  <si>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</si>
  <si>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</si>
  <si>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</si>
  <si>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</si>
  <si>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</si>
  <si>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</si>
  <si>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</si>
  <si>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</si>
  <si>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</si>
  <si>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</si>
  <si>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</si>
  <si>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</si>
  <si>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</si>
  <si>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</si>
  <si>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</si>
  <si>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</si>
  <si>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</si>
  <si>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</si>
  <si>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</si>
  <si>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</si>
  <si>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</si>
  <si>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</si>
  <si>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</si>
  <si>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</si>
  <si>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</si>
  <si>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</si>
  <si>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</si>
  <si>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</si>
  <si>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</si>
  <si>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</si>
  <si>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</si>
  <si>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</si>
  <si>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</si>
  <si>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</si>
  <si>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</si>
  <si>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</si>
  <si>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</si>
  <si>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</si>
  <si>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</si>
  <si>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</si>
  <si>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</si>
  <si>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</si>
  <si>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</si>
  <si>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</si>
  <si>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</si>
  <si>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</si>
  <si>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</si>
  <si>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</si>
  <si>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</si>
  <si>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</si>
  <si>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</si>
  <si>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</si>
  <si>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</si>
  <si>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</si>
  <si>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</si>
  <si>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</si>
  <si>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</si>
  <si>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</si>
  <si>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</si>
  <si>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</si>
  <si>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</si>
  <si>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</si>
  <si>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</si>
  <si>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</si>
  <si>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</si>
  <si>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</si>
  <si>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</si>
  <si>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</si>
  <si>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</si>
  <si>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</si>
  <si>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</si>
  <si>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</si>
  <si>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</si>
  <si>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</si>
  <si>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</si>
  <si>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</si>
  <si>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</si>
  <si>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</si>
  <si>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</si>
  <si>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</si>
  <si>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</si>
  <si>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</si>
  <si>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</si>
  <si>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</si>
  <si>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</si>
  <si>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</si>
  <si>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</si>
  <si>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</si>
  <si>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</si>
  <si>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</si>
  <si>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</si>
  <si>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</si>
  <si>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</si>
  <si>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</si>
  <si>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</si>
  <si>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</si>
  <si>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</si>
  <si>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</si>
  <si>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</si>
  <si>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</si>
  <si>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</si>
  <si>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</si>
  <si>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</si>
  <si>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</si>
  <si>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</si>
  <si>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</si>
  <si>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</si>
  <si>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</si>
  <si>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</si>
  <si>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</si>
  <si>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</si>
  <si>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</si>
  <si>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</si>
  <si>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</si>
  <si>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</si>
  <si>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</si>
  <si>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</si>
  <si>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</si>
  <si>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</si>
  <si>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</si>
  <si>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</si>
  <si>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</si>
  <si>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</si>
  <si>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</si>
  <si>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</si>
  <si>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</si>
  <si>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</si>
  <si>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</si>
  <si>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</si>
  <si>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</si>
  <si>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</si>
  <si>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</si>
  <si>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</si>
  <si>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</si>
  <si>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</si>
  <si>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</si>
  <si>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</si>
  <si>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</si>
  <si>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</si>
  <si>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</si>
  <si>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</si>
  <si>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</si>
  <si>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</si>
  <si>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</si>
  <si>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</si>
  <si>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</si>
  <si>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</si>
  <si>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</si>
  <si>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</si>
  <si>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</si>
  <si>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</si>
  <si>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</si>
  <si>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</si>
  <si>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</si>
  <si>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</si>
  <si>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</si>
  <si>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</si>
  <si>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</si>
  <si>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</si>
  <si>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</si>
  <si>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</si>
  <si>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</si>
  <si>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</si>
  <si>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</si>
  <si>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</si>
  <si>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</si>
  <si>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</si>
  <si>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</si>
  <si>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</si>
  <si>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</si>
  <si>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</si>
  <si>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</si>
  <si>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</si>
  <si>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</si>
  <si>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</si>
  <si>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</si>
  <si>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</si>
  <si>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</si>
  <si>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</si>
  <si>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</si>
  <si>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</si>
  <si>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</si>
  <si>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</si>
  <si>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</si>
  <si>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</si>
  <si>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</si>
  <si>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</si>
  <si>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</si>
  <si>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</si>
  <si>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</si>
  <si>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</si>
  <si>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</si>
  <si>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</si>
  <si>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</si>
  <si>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</si>
  <si>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</si>
  <si>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</si>
  <si>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</si>
  <si>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</si>
  <si>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</si>
  <si>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</si>
  <si>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</si>
  <si>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</si>
  <si>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</si>
  <si>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</si>
  <si>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</si>
  <si>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</si>
  <si>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</si>
  <si>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</si>
  <si>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</si>
  <si>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</si>
  <si>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</si>
  <si>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</si>
  <si>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</si>
  <si>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</si>
  <si>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</si>
  <si>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</si>
  <si>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</si>
  <si>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</si>
  <si>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</si>
  <si>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</si>
  <si>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</si>
  <si>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</si>
  <si>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</si>
  <si>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</si>
  <si>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</si>
  <si>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</si>
  <si>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</si>
  <si>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</si>
  <si>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</si>
  <si>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</si>
  <si>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</si>
  <si>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</si>
  <si>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</si>
  <si>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</si>
  <si>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</si>
  <si>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</si>
  <si>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</si>
  <si>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</si>
  <si>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</si>
  <si>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</si>
  <si>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</si>
  <si>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</si>
  <si>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</si>
  <si>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</si>
  <si>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</si>
  <si>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</si>
  <si>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</si>
  <si>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</si>
  <si>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</si>
  <si>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</si>
  <si>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</si>
  <si>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</si>
  <si>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</si>
  <si>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</si>
  <si>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</si>
  <si>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</si>
  <si>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</si>
  <si>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</si>
  <si>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</si>
  <si>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</si>
  <si>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</si>
  <si>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</si>
  <si>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</si>
  <si>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</si>
  <si>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</si>
  <si>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</si>
  <si>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</si>
  <si>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</si>
  <si>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</si>
  <si>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</si>
  <si>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</si>
  <si>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</si>
  <si>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</si>
  <si>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</si>
  <si>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</si>
  <si>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</si>
  <si>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</si>
  <si>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</si>
  <si>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</si>
  <si>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</si>
  <si>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</si>
  <si>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</si>
  <si>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</si>
  <si>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</si>
  <si>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</si>
  <si>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</si>
  <si>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</si>
  <si>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</si>
  <si>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</si>
  <si>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</si>
  <si>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</si>
  <si>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</si>
  <si>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</si>
  <si>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</si>
  <si>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</si>
  <si>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</si>
  <si>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</si>
  <si>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</si>
  <si>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</si>
  <si>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</si>
  <si>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</si>
  <si>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</si>
  <si>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</si>
  <si>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</si>
  <si>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</si>
  <si>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</si>
  <si>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</si>
  <si>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</si>
  <si>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</si>
  <si>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</si>
  <si>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</si>
  <si>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</si>
  <si>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</si>
  <si>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</si>
  <si>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</si>
  <si>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</si>
  <si>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</si>
  <si>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</si>
  <si>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</si>
  <si>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</si>
  <si>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</si>
  <si>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</si>
  <si>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</si>
  <si>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</si>
  <si>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</si>
  <si>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</si>
  <si>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</si>
  <si>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</si>
  <si>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</si>
  <si>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</si>
  <si>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</si>
  <si>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</si>
  <si>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</si>
  <si>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</si>
  <si>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</si>
  <si>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</si>
  <si>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</si>
  <si>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</si>
  <si>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</si>
  <si>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</si>
  <si>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</si>
  <si>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</si>
  <si>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</si>
  <si>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</si>
  <si>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</si>
  <si>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</si>
  <si>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</si>
  <si>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</si>
  <si>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</si>
  <si>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</si>
  <si>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</si>
  <si>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</si>
  <si>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</si>
  <si>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</si>
  <si>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</si>
  <si>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</si>
  <si>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</si>
  <si>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</si>
  <si>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</si>
  <si>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</si>
  <si>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</si>
  <si>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</si>
  <si>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</si>
  <si>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</si>
  <si>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</si>
  <si>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</si>
  <si>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</si>
  <si>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</si>
  <si>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</si>
  <si>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</si>
  <si>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</si>
  <si>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</si>
  <si>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</si>
  <si>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</si>
  <si>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</si>
  <si>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</si>
  <si>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</si>
  <si>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</si>
  <si>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</si>
  <si>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</si>
  <si>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</si>
  <si>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</si>
  <si>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</si>
  <si>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</si>
  <si>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</si>
  <si>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</si>
  <si>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</si>
  <si>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</si>
  <si>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</si>
  <si>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</si>
  <si>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</si>
  <si>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</si>
  <si>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</si>
  <si>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</si>
  <si>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</si>
  <si>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</si>
  <si>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</si>
  <si>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</si>
  <si>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</si>
  <si>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</si>
  <si>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</si>
  <si>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</si>
  <si>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</si>
  <si>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</si>
  <si>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</si>
  <si>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</si>
  <si>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</si>
  <si>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</si>
  <si>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</si>
  <si>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</si>
  <si>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</si>
  <si>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</si>
  <si>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</si>
  <si>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</si>
  <si>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</si>
  <si>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</si>
  <si>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</si>
  <si>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</si>
  <si>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</si>
  <si>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</si>
  <si>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</si>
  <si>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</si>
  <si>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</si>
  <si>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</si>
  <si>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</si>
  <si>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</si>
  <si>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</si>
  <si>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</si>
  <si>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</si>
  <si>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</si>
  <si>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</si>
  <si>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</si>
  <si>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</si>
  <si>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</si>
  <si>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</si>
  <si>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</si>
  <si>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</si>
  <si>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</si>
  <si>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</si>
  <si>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</si>
  <si>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</si>
  <si>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</si>
  <si>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</si>
  <si>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</si>
  <si>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</si>
  <si>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</si>
  <si>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</si>
  <si>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</si>
  <si>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</si>
  <si>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</si>
  <si>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</si>
  <si>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</si>
  <si>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</si>
  <si>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</si>
  <si>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</si>
  <si>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</si>
  <si>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</si>
  <si>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</si>
  <si>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</si>
  <si>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</si>
  <si>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</si>
  <si>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</si>
  <si>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</si>
  <si>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</si>
  <si>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</si>
  <si>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</si>
  <si>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</si>
  <si>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</si>
  <si>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</si>
  <si>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</si>
  <si>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</si>
  <si>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</si>
  <si>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</si>
  <si>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</si>
  <si>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</si>
  <si>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</si>
  <si>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</si>
  <si>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</si>
  <si>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</si>
  <si>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</si>
  <si>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</si>
  <si>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</si>
  <si>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</si>
  <si>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</si>
  <si>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</si>
  <si>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</si>
  <si>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</si>
  <si>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</si>
  <si>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</si>
  <si>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</si>
  <si>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</si>
  <si>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</si>
  <si>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</si>
  <si>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</si>
  <si>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</si>
  <si>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</si>
  <si>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</si>
  <si>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</si>
  <si>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</si>
  <si>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</si>
  <si>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</si>
  <si>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</si>
  <si>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</si>
  <si>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</si>
  <si>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</si>
  <si>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</si>
  <si>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</si>
  <si>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</si>
  <si>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</si>
  <si>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</si>
  <si>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</si>
  <si>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</si>
  <si>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</si>
  <si>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</si>
  <si>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</si>
  <si>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</si>
  <si>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</si>
  <si>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</si>
  <si>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</si>
  <si>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</si>
  <si>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</si>
  <si>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</si>
  <si>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</si>
  <si>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</si>
  <si>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</si>
  <si>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</si>
  <si>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</si>
  <si>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</si>
  <si>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</si>
  <si>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</si>
  <si>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</si>
  <si>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</si>
  <si>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</si>
  <si>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</si>
  <si>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</si>
  <si>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</si>
  <si>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</si>
  <si>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</si>
  <si>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</si>
  <si>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</si>
  <si>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</si>
  <si>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</si>
  <si>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</si>
  <si>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</si>
  <si>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</si>
  <si>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</si>
  <si>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</si>
  <si>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</si>
  <si>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</si>
  <si>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</si>
  <si>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</si>
  <si>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</si>
  <si>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</si>
  <si>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</si>
  <si>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</si>
  <si>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</si>
  <si>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</si>
  <si>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</si>
  <si>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</si>
  <si>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</si>
  <si>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</si>
  <si>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</si>
  <si>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</si>
  <si>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</si>
  <si>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</si>
  <si>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</si>
  <si>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</si>
  <si>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</si>
  <si>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</si>
  <si>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</si>
  <si>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</si>
  <si>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</si>
  <si>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</si>
  <si>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</si>
  <si>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</si>
  <si>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</si>
  <si>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</si>
  <si>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</si>
  <si>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</si>
  <si>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</si>
  <si>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</si>
  <si>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</si>
  <si>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</si>
  <si>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</si>
  <si>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</si>
  <si>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</si>
  <si>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</si>
  <si>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</si>
  <si>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</si>
  <si>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</si>
  <si>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</si>
  <si>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</si>
  <si>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</si>
  <si>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</si>
  <si>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</si>
  <si>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</si>
  <si>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</si>
  <si>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</si>
  <si>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</si>
  <si>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</si>
  <si>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</si>
  <si>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</si>
  <si>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</si>
  <si>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</si>
  <si>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</si>
  <si>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</si>
  <si>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</si>
  <si>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</si>
  <si>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</si>
  <si>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</si>
  <si>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</si>
  <si>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</si>
  <si>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</si>
  <si>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</si>
  <si>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42028</t>
  </si>
  <si>
    <t>ZELE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</si>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</sst>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149184.55399290068</c:v>
                </c:pt>
                <c:pt idx="1">
                  <c:v>51142.348322083737</c:v>
                </c:pt>
                <c:pt idx="2">
                  <c:v>1352.2239999999999</c:v>
                </c:pt>
                <c:pt idx="3">
                  <c:v>8152.0475183669496</c:v>
                </c:pt>
                <c:pt idx="4">
                  <c:v>160070.51486999661</c:v>
                </c:pt>
                <c:pt idx="5">
                  <c:v>123268.30709281257</c:v>
                </c:pt>
                <c:pt idx="6">
                  <c:v>267.80244476723453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265920"/>
        <c:axId val="179267456"/>
      </c:barChart>
      <c:catAx>
        <c:axId val="179265920"/>
        <c:scaling>
          <c:orientation val="minMax"/>
        </c:scaling>
        <c:axPos val="b"/>
        <c:numFmt formatCode="General" sourceLinked="0"/>
        <c:tickLblPos val="nextTo"/>
        <c:crossAx val="179267456"/>
        <c:crosses val="autoZero"/>
        <c:auto val="1"/>
        <c:lblAlgn val="ctr"/>
        <c:lblOffset val="100"/>
      </c:catAx>
      <c:valAx>
        <c:axId val="179267456"/>
        <c:scaling>
          <c:orientation val="minMax"/>
        </c:scaling>
        <c:axPos val="l"/>
        <c:majorGridlines/>
        <c:numFmt formatCode="#,##0" sourceLinked="1"/>
        <c:tickLblPos val="nextTo"/>
        <c:crossAx val="179265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149184.55399290068</c:v>
                </c:pt>
                <c:pt idx="1">
                  <c:v>51142.348322083737</c:v>
                </c:pt>
                <c:pt idx="2">
                  <c:v>1352.2239999999999</c:v>
                </c:pt>
                <c:pt idx="3">
                  <c:v>8152.0475183669496</c:v>
                </c:pt>
                <c:pt idx="4">
                  <c:v>160070.51486999661</c:v>
                </c:pt>
                <c:pt idx="5">
                  <c:v>123268.30709281257</c:v>
                </c:pt>
                <c:pt idx="6">
                  <c:v>267.80244476723453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27090.43665849241</c:v>
                </c:pt>
                <c:pt idx="2">
                  <c:v>9912.6376672133265</c:v>
                </c:pt>
                <c:pt idx="3">
                  <c:v>242.76117204267635</c:v>
                </c:pt>
                <c:pt idx="4">
                  <c:v>2011.5792349224816</c:v>
                </c:pt>
                <c:pt idx="5">
                  <c:v>27704.616032361657</c:v>
                </c:pt>
                <c:pt idx="6">
                  <c:v>31572.289450499229</c:v>
                </c:pt>
                <c:pt idx="7">
                  <c:v>69.352105590716008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9608576"/>
        <c:axId val="179639040"/>
      </c:barChart>
      <c:catAx>
        <c:axId val="179608576"/>
        <c:scaling>
          <c:orientation val="minMax"/>
        </c:scaling>
        <c:axPos val="b"/>
        <c:numFmt formatCode="General" sourceLinked="0"/>
        <c:tickLblPos val="nextTo"/>
        <c:crossAx val="179639040"/>
        <c:crosses val="autoZero"/>
        <c:auto val="1"/>
        <c:lblAlgn val="ctr"/>
        <c:lblOffset val="100"/>
      </c:catAx>
      <c:valAx>
        <c:axId val="179639040"/>
        <c:scaling>
          <c:orientation val="minMax"/>
        </c:scaling>
        <c:axPos val="l"/>
        <c:majorGridlines/>
        <c:numFmt formatCode="#,##0" sourceLinked="1"/>
        <c:tickLblPos val="nextTo"/>
        <c:crossAx val="17960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27090.43665849241</c:v>
                </c:pt>
                <c:pt idx="2">
                  <c:v>9912.6376672133265</c:v>
                </c:pt>
                <c:pt idx="3">
                  <c:v>242.76117204267635</c:v>
                </c:pt>
                <c:pt idx="4">
                  <c:v>2011.5792349224816</c:v>
                </c:pt>
                <c:pt idx="5">
                  <c:v>27704.616032361657</c:v>
                </c:pt>
                <c:pt idx="6">
                  <c:v>31572.289450499229</c:v>
                </c:pt>
                <c:pt idx="7">
                  <c:v>69.352105590716008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42028</v>
      </c>
      <c r="B6" s="415"/>
      <c r="C6" s="416"/>
    </row>
    <row r="7" spans="1:7" s="413" customFormat="1" ht="15.75" customHeight="1">
      <c r="A7" s="417" t="str">
        <f>txtMunicipality</f>
        <v>ZELE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0.17952733573925353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0.17952733573925353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8277</v>
      </c>
      <c r="C9" s="342">
        <v>8658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1947.85</v>
      </c>
    </row>
    <row r="15" spans="1:6">
      <c r="A15" s="348" t="s">
        <v>184</v>
      </c>
      <c r="B15" s="334">
        <v>47</v>
      </c>
    </row>
    <row r="16" spans="1:6">
      <c r="A16" s="348" t="s">
        <v>6</v>
      </c>
      <c r="B16" s="334">
        <v>1403</v>
      </c>
    </row>
    <row r="17" spans="1:6">
      <c r="A17" s="348" t="s">
        <v>7</v>
      </c>
      <c r="B17" s="334">
        <v>801</v>
      </c>
    </row>
    <row r="18" spans="1:6">
      <c r="A18" s="348" t="s">
        <v>8</v>
      </c>
      <c r="B18" s="334">
        <v>1418</v>
      </c>
    </row>
    <row r="19" spans="1:6">
      <c r="A19" s="348" t="s">
        <v>9</v>
      </c>
      <c r="B19" s="334">
        <v>1395</v>
      </c>
    </row>
    <row r="20" spans="1:6">
      <c r="A20" s="348" t="s">
        <v>10</v>
      </c>
      <c r="B20" s="334">
        <v>1531</v>
      </c>
    </row>
    <row r="21" spans="1:6">
      <c r="A21" s="348" t="s">
        <v>11</v>
      </c>
      <c r="B21" s="334">
        <v>1571</v>
      </c>
    </row>
    <row r="22" spans="1:6">
      <c r="A22" s="348" t="s">
        <v>12</v>
      </c>
      <c r="B22" s="334">
        <v>5378</v>
      </c>
    </row>
    <row r="23" spans="1:6">
      <c r="A23" s="348" t="s">
        <v>13</v>
      </c>
      <c r="B23" s="334">
        <v>39</v>
      </c>
    </row>
    <row r="24" spans="1:6">
      <c r="A24" s="348" t="s">
        <v>14</v>
      </c>
      <c r="B24" s="334">
        <v>69</v>
      </c>
    </row>
    <row r="25" spans="1:6">
      <c r="A25" s="348" t="s">
        <v>15</v>
      </c>
      <c r="B25" s="334">
        <v>546</v>
      </c>
    </row>
    <row r="26" spans="1:6">
      <c r="A26" s="348" t="s">
        <v>16</v>
      </c>
      <c r="B26" s="334">
        <v>34</v>
      </c>
    </row>
    <row r="27" spans="1:6">
      <c r="A27" s="348" t="s">
        <v>17</v>
      </c>
      <c r="B27" s="334">
        <v>258</v>
      </c>
    </row>
    <row r="28" spans="1:6" s="356" customFormat="1">
      <c r="A28" s="355" t="s">
        <v>18</v>
      </c>
      <c r="B28" s="355">
        <v>131984</v>
      </c>
    </row>
    <row r="29" spans="1:6">
      <c r="A29" s="355" t="s">
        <v>884</v>
      </c>
      <c r="B29" s="355">
        <v>81</v>
      </c>
      <c r="C29" s="356"/>
      <c r="D29" s="356"/>
      <c r="E29" s="356"/>
      <c r="F29" s="356"/>
    </row>
    <row r="30" spans="1:6">
      <c r="A30" s="355" t="s">
        <v>885</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6711.6102429000002</v>
      </c>
    </row>
    <row r="37" spans="1:6">
      <c r="A37" s="348" t="s">
        <v>25</v>
      </c>
      <c r="B37" s="348" t="s">
        <v>28</v>
      </c>
      <c r="C37" s="334">
        <v>0</v>
      </c>
      <c r="D37" s="334">
        <v>0</v>
      </c>
      <c r="E37" s="334">
        <v>0</v>
      </c>
      <c r="F37" s="334">
        <v>0</v>
      </c>
    </row>
    <row r="38" spans="1:6">
      <c r="A38" s="348" t="s">
        <v>25</v>
      </c>
      <c r="B38" s="348" t="s">
        <v>29</v>
      </c>
      <c r="C38" s="334">
        <v>0</v>
      </c>
      <c r="D38" s="334">
        <v>0</v>
      </c>
      <c r="E38" s="334">
        <v>4</v>
      </c>
      <c r="F38" s="334">
        <v>38028.026903999998</v>
      </c>
    </row>
    <row r="39" spans="1:6">
      <c r="A39" s="348" t="s">
        <v>30</v>
      </c>
      <c r="B39" s="348" t="s">
        <v>31</v>
      </c>
      <c r="C39" s="334">
        <v>6131</v>
      </c>
      <c r="D39" s="334">
        <v>95506537.422000006</v>
      </c>
      <c r="E39" s="334">
        <v>8135</v>
      </c>
      <c r="F39" s="334">
        <v>32223181.048</v>
      </c>
    </row>
    <row r="40" spans="1:6">
      <c r="A40" s="348" t="s">
        <v>30</v>
      </c>
      <c r="B40" s="348" t="s">
        <v>29</v>
      </c>
      <c r="C40" s="334">
        <v>1</v>
      </c>
      <c r="D40" s="334">
        <v>31656.861359999999</v>
      </c>
      <c r="E40" s="334">
        <v>1</v>
      </c>
      <c r="F40" s="334">
        <v>11218</v>
      </c>
    </row>
    <row r="41" spans="1:6">
      <c r="A41" s="348" t="s">
        <v>32</v>
      </c>
      <c r="B41" s="348" t="s">
        <v>33</v>
      </c>
      <c r="C41" s="334">
        <v>102</v>
      </c>
      <c r="D41" s="334">
        <v>3016236.3938000002</v>
      </c>
      <c r="E41" s="334">
        <v>217</v>
      </c>
      <c r="F41" s="334">
        <v>2881085.5811999999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177776.05032000001</v>
      </c>
      <c r="E44" s="334">
        <v>16</v>
      </c>
      <c r="F44" s="334">
        <v>1548958.0536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698116.93912999996</v>
      </c>
      <c r="E47" s="334">
        <v>9</v>
      </c>
      <c r="F47" s="334">
        <v>3394139.2607</v>
      </c>
    </row>
    <row r="48" spans="1:6">
      <c r="A48" s="348" t="s">
        <v>32</v>
      </c>
      <c r="B48" s="348" t="s">
        <v>29</v>
      </c>
      <c r="C48" s="334">
        <v>40</v>
      </c>
      <c r="D48" s="334">
        <v>37135476.572999999</v>
      </c>
      <c r="E48" s="334">
        <v>50</v>
      </c>
      <c r="F48" s="334">
        <v>57677931.556999996</v>
      </c>
    </row>
    <row r="49" spans="1:6">
      <c r="A49" s="348" t="s">
        <v>32</v>
      </c>
      <c r="B49" s="348" t="s">
        <v>40</v>
      </c>
      <c r="C49" s="334">
        <v>0</v>
      </c>
      <c r="D49" s="334">
        <v>0</v>
      </c>
      <c r="E49" s="334">
        <v>3</v>
      </c>
      <c r="F49" s="334">
        <v>533787.49464000005</v>
      </c>
    </row>
    <row r="50" spans="1:6">
      <c r="A50" s="348" t="s">
        <v>32</v>
      </c>
      <c r="B50" s="348" t="s">
        <v>41</v>
      </c>
      <c r="C50" s="334">
        <v>21</v>
      </c>
      <c r="D50" s="334">
        <v>6933406.9782999996</v>
      </c>
      <c r="E50" s="334">
        <v>26</v>
      </c>
      <c r="F50" s="334">
        <v>7086488.4071000004</v>
      </c>
    </row>
    <row r="51" spans="1:6">
      <c r="A51" s="348" t="s">
        <v>42</v>
      </c>
      <c r="B51" s="348" t="s">
        <v>43</v>
      </c>
      <c r="C51" s="334">
        <v>23</v>
      </c>
      <c r="D51" s="334">
        <v>689232.83082000003</v>
      </c>
      <c r="E51" s="334">
        <v>94</v>
      </c>
      <c r="F51" s="334">
        <v>1486346.5588</v>
      </c>
    </row>
    <row r="52" spans="1:6">
      <c r="A52" s="348" t="s">
        <v>42</v>
      </c>
      <c r="B52" s="348" t="s">
        <v>29</v>
      </c>
      <c r="C52" s="334">
        <v>9</v>
      </c>
      <c r="D52" s="334">
        <v>135632.78190999999</v>
      </c>
      <c r="E52" s="334">
        <v>7</v>
      </c>
      <c r="F52" s="334">
        <v>49013.263381999997</v>
      </c>
    </row>
    <row r="53" spans="1:6">
      <c r="A53" s="348" t="s">
        <v>44</v>
      </c>
      <c r="B53" s="348" t="s">
        <v>45</v>
      </c>
      <c r="C53" s="334">
        <v>188</v>
      </c>
      <c r="D53" s="334">
        <v>2560376.6172000002</v>
      </c>
      <c r="E53" s="334">
        <v>327</v>
      </c>
      <c r="F53" s="334">
        <v>2490719.7511999998</v>
      </c>
    </row>
    <row r="54" spans="1:6">
      <c r="A54" s="348" t="s">
        <v>46</v>
      </c>
      <c r="B54" s="348" t="s">
        <v>47</v>
      </c>
      <c r="C54" s="334">
        <v>0</v>
      </c>
      <c r="D54" s="334">
        <v>0</v>
      </c>
      <c r="E54" s="334">
        <v>1</v>
      </c>
      <c r="F54" s="334">
        <v>1352224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1529838.6628</v>
      </c>
      <c r="E57" s="334">
        <v>52</v>
      </c>
      <c r="F57" s="334">
        <v>1500565.8459000001</v>
      </c>
    </row>
    <row r="58" spans="1:6">
      <c r="A58" s="348" t="s">
        <v>49</v>
      </c>
      <c r="B58" s="348" t="s">
        <v>51</v>
      </c>
      <c r="C58" s="334">
        <v>32</v>
      </c>
      <c r="D58" s="334">
        <v>836721.76347999997</v>
      </c>
      <c r="E58" s="334">
        <v>47</v>
      </c>
      <c r="F58" s="334">
        <v>505947.28388</v>
      </c>
    </row>
    <row r="59" spans="1:6">
      <c r="A59" s="348" t="s">
        <v>49</v>
      </c>
      <c r="B59" s="348" t="s">
        <v>52</v>
      </c>
      <c r="C59" s="334">
        <v>104</v>
      </c>
      <c r="D59" s="334">
        <v>4239461.2702000001</v>
      </c>
      <c r="E59" s="334">
        <v>207</v>
      </c>
      <c r="F59" s="334">
        <v>8490002.4965000004</v>
      </c>
    </row>
    <row r="60" spans="1:6">
      <c r="A60" s="348" t="s">
        <v>49</v>
      </c>
      <c r="B60" s="348" t="s">
        <v>53</v>
      </c>
      <c r="C60" s="334">
        <v>63</v>
      </c>
      <c r="D60" s="334">
        <v>1660348.8870999999</v>
      </c>
      <c r="E60" s="334">
        <v>79</v>
      </c>
      <c r="F60" s="334">
        <v>1140310.2812999999</v>
      </c>
    </row>
    <row r="61" spans="1:6">
      <c r="A61" s="348" t="s">
        <v>49</v>
      </c>
      <c r="B61" s="348" t="s">
        <v>54</v>
      </c>
      <c r="C61" s="334">
        <v>146</v>
      </c>
      <c r="D61" s="334">
        <v>8535429.4223999996</v>
      </c>
      <c r="E61" s="334">
        <v>264</v>
      </c>
      <c r="F61" s="334">
        <v>4116481.8406000002</v>
      </c>
    </row>
    <row r="62" spans="1:6">
      <c r="A62" s="348" t="s">
        <v>49</v>
      </c>
      <c r="B62" s="348" t="s">
        <v>55</v>
      </c>
      <c r="C62" s="334">
        <v>16</v>
      </c>
      <c r="D62" s="334">
        <v>2942372.1323000002</v>
      </c>
      <c r="E62" s="334">
        <v>22</v>
      </c>
      <c r="F62" s="334">
        <v>946457.39833999996</v>
      </c>
    </row>
    <row r="63" spans="1:6">
      <c r="A63" s="348" t="s">
        <v>49</v>
      </c>
      <c r="B63" s="348" t="s">
        <v>29</v>
      </c>
      <c r="C63" s="334">
        <v>97</v>
      </c>
      <c r="D63" s="334">
        <v>7898217.1473000003</v>
      </c>
      <c r="E63" s="334">
        <v>101</v>
      </c>
      <c r="F63" s="334">
        <v>2800000.1979</v>
      </c>
    </row>
    <row r="64" spans="1:6">
      <c r="A64" s="348" t="s">
        <v>56</v>
      </c>
      <c r="B64" s="348" t="s">
        <v>57</v>
      </c>
      <c r="C64" s="334">
        <v>0</v>
      </c>
      <c r="D64" s="334">
        <v>0</v>
      </c>
      <c r="E64" s="334">
        <v>0</v>
      </c>
      <c r="F64" s="334">
        <v>0</v>
      </c>
    </row>
    <row r="65" spans="1:6">
      <c r="A65" s="348" t="s">
        <v>56</v>
      </c>
      <c r="B65" s="348" t="s">
        <v>29</v>
      </c>
      <c r="C65" s="334">
        <v>5</v>
      </c>
      <c r="D65" s="334">
        <v>159490.28883</v>
      </c>
      <c r="E65" s="334">
        <v>4</v>
      </c>
      <c r="F65" s="334">
        <v>27165.338394999999</v>
      </c>
    </row>
    <row r="66" spans="1:6">
      <c r="A66" s="348" t="s">
        <v>56</v>
      </c>
      <c r="B66" s="348" t="s">
        <v>58</v>
      </c>
      <c r="C66" s="334">
        <v>0</v>
      </c>
      <c r="D66" s="334">
        <v>0</v>
      </c>
      <c r="E66" s="334">
        <v>7</v>
      </c>
      <c r="F66" s="334">
        <v>83642.210420000003</v>
      </c>
    </row>
    <row r="67" spans="1:6">
      <c r="A67" s="355" t="s">
        <v>56</v>
      </c>
      <c r="B67" s="355" t="s">
        <v>59</v>
      </c>
      <c r="C67" s="334">
        <v>0</v>
      </c>
      <c r="D67" s="334">
        <v>0</v>
      </c>
      <c r="E67" s="334">
        <v>0</v>
      </c>
      <c r="F67" s="334">
        <v>0</v>
      </c>
    </row>
    <row r="68" spans="1:6">
      <c r="A68" s="341" t="s">
        <v>56</v>
      </c>
      <c r="B68" s="341" t="s">
        <v>60</v>
      </c>
      <c r="C68" s="334">
        <v>5</v>
      </c>
      <c r="D68" s="334">
        <v>480369.33001999999</v>
      </c>
      <c r="E68" s="334">
        <v>15</v>
      </c>
      <c r="F68" s="334">
        <v>761016.75188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61759757</v>
      </c>
      <c r="E73" s="475">
        <v>63632854.548380055</v>
      </c>
    </row>
    <row r="74" spans="1:6">
      <c r="A74" s="348" t="s">
        <v>64</v>
      </c>
      <c r="B74" s="348" t="s">
        <v>667</v>
      </c>
      <c r="C74" s="1294" t="s">
        <v>669</v>
      </c>
      <c r="D74" s="475">
        <v>5487860.957154898</v>
      </c>
      <c r="E74" s="475">
        <v>5556150.8678774405</v>
      </c>
    </row>
    <row r="75" spans="1:6">
      <c r="A75" s="348" t="s">
        <v>65</v>
      </c>
      <c r="B75" s="348" t="s">
        <v>666</v>
      </c>
      <c r="C75" s="1294" t="s">
        <v>670</v>
      </c>
      <c r="D75" s="475">
        <v>26101369</v>
      </c>
      <c r="E75" s="475">
        <v>26879372.879290909</v>
      </c>
    </row>
    <row r="76" spans="1:6">
      <c r="A76" s="348" t="s">
        <v>65</v>
      </c>
      <c r="B76" s="348" t="s">
        <v>667</v>
      </c>
      <c r="C76" s="1294" t="s">
        <v>671</v>
      </c>
      <c r="D76" s="475">
        <v>947795.95715489832</v>
      </c>
      <c r="E76" s="475">
        <v>960092.7077450474</v>
      </c>
    </row>
    <row r="77" spans="1:6">
      <c r="A77" s="348" t="s">
        <v>66</v>
      </c>
      <c r="B77" s="348" t="s">
        <v>666</v>
      </c>
      <c r="C77" s="1294" t="s">
        <v>672</v>
      </c>
      <c r="D77" s="475">
        <v>34553186</v>
      </c>
      <c r="E77" s="475">
        <v>36203126.217399582</v>
      </c>
    </row>
    <row r="78" spans="1:6">
      <c r="A78" s="341" t="s">
        <v>66</v>
      </c>
      <c r="B78" s="341" t="s">
        <v>667</v>
      </c>
      <c r="C78" s="341" t="s">
        <v>673</v>
      </c>
      <c r="D78" s="1295">
        <v>8361132</v>
      </c>
      <c r="E78" s="1295">
        <v>8665928.4589117169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71928.085690203443</v>
      </c>
      <c r="C83" s="475">
        <v>71928.085690203443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18961.401421489965</v>
      </c>
    </row>
    <row r="91" spans="1:6">
      <c r="A91" s="348" t="s">
        <v>68</v>
      </c>
      <c r="B91" s="334">
        <v>3100.749259749633</v>
      </c>
    </row>
    <row r="92" spans="1:6">
      <c r="A92" s="341" t="s">
        <v>69</v>
      </c>
      <c r="B92" s="342">
        <v>2964.8745291154528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4</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133364.29356730497</v>
      </c>
      <c r="C3" s="43" t="s">
        <v>170</v>
      </c>
      <c r="D3" s="43"/>
      <c r="E3" s="154"/>
      <c r="F3" s="43"/>
      <c r="G3" s="43"/>
      <c r="H3" s="43"/>
      <c r="I3" s="43"/>
      <c r="J3" s="43"/>
      <c r="K3" s="96"/>
    </row>
    <row r="4" spans="1:11">
      <c r="A4" s="383" t="s">
        <v>171</v>
      </c>
      <c r="B4" s="49">
        <f>IF(ISERROR('SEAP template'!B78+'SEAP template'!C78),0,'SEAP template'!B78+'SEAP template'!C78)</f>
        <v>25027.025210355052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0.17952733573925353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1352.2239999999999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1352.2239999999999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0.17952733573925353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242.76117204267635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32234.399047999999</v>
      </c>
      <c r="C5" s="17">
        <f>IF(ISERROR('Eigen informatie GS &amp; warmtenet'!B57),0,'Eigen informatie GS &amp; warmtenet'!B57)</f>
        <v>0</v>
      </c>
      <c r="D5" s="30">
        <f>(SUM(HH_hh_gas_kWh,HH_rest_gas_kWh)/1000)*0.902</f>
        <v>86175.451243590724</v>
      </c>
      <c r="E5" s="17">
        <f>B46*B57</f>
        <v>4287.8276366835253</v>
      </c>
      <c r="F5" s="17">
        <f>B51*B62</f>
        <v>6226.7230285620244</v>
      </c>
      <c r="G5" s="18"/>
      <c r="H5" s="17"/>
      <c r="I5" s="17"/>
      <c r="J5" s="17">
        <f>B50*B61+C50*C61</f>
        <v>1987.284043763203</v>
      </c>
      <c r="K5" s="17"/>
      <c r="L5" s="17"/>
      <c r="M5" s="17"/>
      <c r="N5" s="17">
        <f>B48*B59+C48*C59</f>
        <v>14356.883065884904</v>
      </c>
      <c r="O5" s="17">
        <f>B69*B70*B71</f>
        <v>186.03666666666666</v>
      </c>
      <c r="P5" s="17">
        <f>B77*B78*B79/1000-B77*B78*B79/1000/B80</f>
        <v>629.20000000000005</v>
      </c>
    </row>
    <row r="6" spans="1:16">
      <c r="A6" s="16" t="s">
        <v>624</v>
      </c>
      <c r="B6" s="788">
        <f>kWh_PV_kleiner_dan_10kW</f>
        <v>3100.749259749633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35335.14830774963</v>
      </c>
      <c r="C8" s="21">
        <f>C5</f>
        <v>0</v>
      </c>
      <c r="D8" s="21">
        <f>D5</f>
        <v>86175.451243590724</v>
      </c>
      <c r="E8" s="21">
        <f>E5</f>
        <v>4287.8276366835253</v>
      </c>
      <c r="F8" s="21">
        <f>F5</f>
        <v>6226.7230285620244</v>
      </c>
      <c r="G8" s="21"/>
      <c r="H8" s="21"/>
      <c r="I8" s="21"/>
      <c r="J8" s="21">
        <f>J5</f>
        <v>1987.284043763203</v>
      </c>
      <c r="K8" s="21"/>
      <c r="L8" s="21">
        <f>L5</f>
        <v>0</v>
      </c>
      <c r="M8" s="21">
        <f>M5</f>
        <v>0</v>
      </c>
      <c r="N8" s="21">
        <f>N5</f>
        <v>14356.883065884904</v>
      </c>
      <c r="O8" s="21">
        <f>O5</f>
        <v>186.03666666666666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0.17952733573925353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6343.6250336416842</v>
      </c>
      <c r="C12" s="23">
        <f ca="1">C10*C8</f>
        <v>0</v>
      </c>
      <c r="D12" s="23">
        <f>D8*D10</f>
        <v>17407.441151205327</v>
      </c>
      <c r="E12" s="23">
        <f>E10*E8</f>
        <v>973.33687352716026</v>
      </c>
      <c r="F12" s="23">
        <f>F10*F8</f>
        <v>1662.5350486260606</v>
      </c>
      <c r="G12" s="23"/>
      <c r="H12" s="23"/>
      <c r="I12" s="23"/>
      <c r="J12" s="23">
        <f>J10*J8</f>
        <v>703.49855149217387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8277</v>
      </c>
      <c r="C28" s="36"/>
      <c r="D28" s="228"/>
    </row>
    <row r="29" spans="1:7" s="15" customFormat="1">
      <c r="A29" s="230" t="s">
        <v>699</v>
      </c>
      <c r="B29" s="37">
        <f>SUM(HH_hh_gas_aantal,HH_rest_gas_aantal)</f>
        <v>6132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6132</v>
      </c>
      <c r="C32" s="167">
        <f>IF(ISERROR(B32/SUM($B$32,$B$34,$B$35,$B$36,$B$38,$B$39)*100),0,B32/SUM($B$32,$B$34,$B$35,$B$36,$B$38,$B$39)*100)</f>
        <v>74.381368267831149</v>
      </c>
      <c r="D32" s="233"/>
      <c r="G32" s="15"/>
    </row>
    <row r="33" spans="1:7">
      <c r="A33" s="171" t="s">
        <v>72</v>
      </c>
      <c r="B33" s="34" t="s">
        <v>111</v>
      </c>
      <c r="C33" s="167"/>
      <c r="D33" s="233"/>
      <c r="G33" s="15"/>
    </row>
    <row r="34" spans="1:7">
      <c r="A34" s="171" t="s">
        <v>73</v>
      </c>
      <c r="B34" s="33">
        <f>IF((($B$28-$B$32-$B$39-$B$77-$B$38)*C20/100)&lt;0,0,($B$28-$B$32-$B$39-$B$77-$B$38)*C20/100)</f>
        <v>189.57683741648103</v>
      </c>
      <c r="C34" s="167">
        <f>IF(ISERROR(B34/SUM($B$32,$B$34,$B$35,$B$36,$B$38,$B$39)*100),0,B34/SUM($B$32,$B$34,$B$35,$B$36,$B$38,$B$39)*100)</f>
        <v>2.2995734766676499</v>
      </c>
      <c r="D34" s="233"/>
      <c r="G34" s="15"/>
    </row>
    <row r="35" spans="1:7">
      <c r="A35" s="171" t="s">
        <v>74</v>
      </c>
      <c r="B35" s="33">
        <f>IF((($B$28-$B$32-$B$39-$B$77-$B$38)*C21/100)&lt;0,0,($B$28-$B$32-$B$39-$B$77-$B$38)*C21/100)</f>
        <v>1378.9220489977729</v>
      </c>
      <c r="C35" s="167">
        <f>IF(ISERROR(B35/SUM($B$32,$B$34,$B$35,$B$36,$B$38,$B$39)*100),0,B35/SUM($B$32,$B$34,$B$35,$B$36,$B$38,$B$39)*100)</f>
        <v>16.726371288182591</v>
      </c>
      <c r="D35" s="233"/>
      <c r="G35" s="15"/>
    </row>
    <row r="36" spans="1:7">
      <c r="A36" s="171" t="s">
        <v>75</v>
      </c>
      <c r="B36" s="33">
        <f>IF((($B$28-$B$32-$B$39-$B$77-$B$38)*C22/100)&lt;0,0,($B$28-$B$32-$B$39-$B$77-$B$38)*C22/100)</f>
        <v>223.50111358574611</v>
      </c>
      <c r="C36" s="167">
        <f>IF(ISERROR(B36/SUM($B$32,$B$34,$B$35,$B$36,$B$38,$B$39)*100),0,B36/SUM($B$32,$B$34,$B$35,$B$36,$B$38,$B$39)*100)</f>
        <v>2.711076098808177</v>
      </c>
      <c r="D36" s="233"/>
      <c r="G36" s="15"/>
    </row>
    <row r="37" spans="1:7">
      <c r="A37" s="171" t="s">
        <v>76</v>
      </c>
      <c r="B37" s="34" t="s">
        <v>111</v>
      </c>
      <c r="C37" s="167"/>
      <c r="D37" s="173"/>
      <c r="G37" s="15"/>
    </row>
    <row r="38" spans="1:7">
      <c r="A38" s="171" t="s">
        <v>77</v>
      </c>
      <c r="B38" s="33">
        <f>IF((B24-(B29-B18)*0.1)&lt;0,0,B24-(B29-B18)*0.1)</f>
        <v>64.199999999999989</v>
      </c>
      <c r="C38" s="167">
        <f>IF(ISERROR(B38/SUM($B$32,$B$34,$B$35,$B$36,$B$38,$B$39)*100),0,B38/SUM($B$32,$B$34,$B$35,$B$36,$B$38,$B$39)*100)</f>
        <v>0.77874818049490524</v>
      </c>
      <c r="D38" s="234"/>
      <c r="G38" s="15"/>
    </row>
    <row r="39" spans="1:7">
      <c r="A39" s="171" t="s">
        <v>78</v>
      </c>
      <c r="B39" s="33">
        <f>IF((B25-(B29-B18))&lt;0,0,B25-(B29-B18)*0.9)</f>
        <v>255.79999999999995</v>
      </c>
      <c r="C39" s="167">
        <f>IF(ISERROR(B39/SUM($B$32,$B$34,$B$35,$B$36,$B$38,$B$39)*100),0,B39/SUM($B$32,$B$34,$B$35,$B$36,$B$38,$B$39)*100)</f>
        <v>3.1028626880155259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6132</v>
      </c>
      <c r="C44" s="34" t="s">
        <v>111</v>
      </c>
      <c r="D44" s="174"/>
    </row>
    <row r="45" spans="1:7">
      <c r="A45" s="171" t="s">
        <v>72</v>
      </c>
      <c r="B45" s="33" t="str">
        <f t="shared" si="0"/>
        <v>-</v>
      </c>
      <c r="C45" s="34" t="s">
        <v>111</v>
      </c>
      <c r="D45" s="174"/>
    </row>
    <row r="46" spans="1:7">
      <c r="A46" s="171" t="s">
        <v>73</v>
      </c>
      <c r="B46" s="33">
        <f t="shared" si="0"/>
        <v>189.57683741648103</v>
      </c>
      <c r="C46" s="34" t="s">
        <v>111</v>
      </c>
      <c r="D46" s="174"/>
    </row>
    <row r="47" spans="1:7">
      <c r="A47" s="171" t="s">
        <v>74</v>
      </c>
      <c r="B47" s="33">
        <f t="shared" si="0"/>
        <v>1378.9220489977729</v>
      </c>
      <c r="C47" s="34" t="s">
        <v>111</v>
      </c>
      <c r="D47" s="174"/>
    </row>
    <row r="48" spans="1:7">
      <c r="A48" s="171" t="s">
        <v>75</v>
      </c>
      <c r="B48" s="33">
        <f t="shared" si="0"/>
        <v>223.50111358574611</v>
      </c>
      <c r="C48" s="33">
        <f>B48*10</f>
        <v>2235.0111358574613</v>
      </c>
      <c r="D48" s="234"/>
    </row>
    <row r="49" spans="1:6">
      <c r="A49" s="171" t="s">
        <v>76</v>
      </c>
      <c r="B49" s="33" t="str">
        <f t="shared" si="0"/>
        <v>-</v>
      </c>
      <c r="C49" s="34" t="s">
        <v>111</v>
      </c>
      <c r="D49" s="234"/>
    </row>
    <row r="50" spans="1:6">
      <c r="A50" s="171" t="s">
        <v>77</v>
      </c>
      <c r="B50" s="33">
        <f t="shared" si="0"/>
        <v>64.199999999999989</v>
      </c>
      <c r="C50" s="33">
        <f>B50*2</f>
        <v>128.39999999999998</v>
      </c>
      <c r="D50" s="234"/>
    </row>
    <row r="51" spans="1:6">
      <c r="A51" s="171" t="s">
        <v>78</v>
      </c>
      <c r="B51" s="33">
        <f t="shared" si="0"/>
        <v>255.79999999999995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19499.76534442</v>
      </c>
      <c r="C5" s="17">
        <f>IF(ISERROR('Eigen informatie GS &amp; warmtenet'!B58),0,'Eigen informatie GS &amp; warmtenet'!B58)</f>
        <v>0</v>
      </c>
      <c r="D5" s="30">
        <f>SUM(D6:D12)</f>
        <v>24933.435135593161</v>
      </c>
      <c r="E5" s="17">
        <f>SUM(E6:E12)</f>
        <v>412.87090420941547</v>
      </c>
      <c r="F5" s="17">
        <f>SUM(F6:F12)</f>
        <v>4800.0792312495141</v>
      </c>
      <c r="G5" s="18"/>
      <c r="H5" s="17"/>
      <c r="I5" s="17"/>
      <c r="J5" s="17">
        <f>SUM(J6:J12)</f>
        <v>0</v>
      </c>
      <c r="K5" s="17"/>
      <c r="L5" s="17"/>
      <c r="M5" s="17"/>
      <c r="N5" s="17">
        <f>SUM(N6:N12)</f>
        <v>1451.8110399449902</v>
      </c>
      <c r="O5" s="17">
        <f>B38*B39*B40</f>
        <v>6.2533333333333339</v>
      </c>
      <c r="P5" s="17">
        <f>B46*B47*B48/1000-B46*B47*B48/1000/B49</f>
        <v>38.133333333333333</v>
      </c>
      <c r="R5" s="32"/>
    </row>
    <row r="6" spans="1:18">
      <c r="A6" s="32" t="s">
        <v>54</v>
      </c>
      <c r="B6" s="37">
        <f>B26</f>
        <v>4116.4818406000004</v>
      </c>
      <c r="C6" s="33"/>
      <c r="D6" s="37">
        <f>IF(ISERROR(TER_kantoor_gas_kWh/1000),0,TER_kantoor_gas_kWh/1000)*0.902</f>
        <v>7698.9573390048008</v>
      </c>
      <c r="E6" s="33">
        <f>$C$26*'E Balans VL '!I12/100/3.6*1000000</f>
        <v>53.889818063799524</v>
      </c>
      <c r="F6" s="33">
        <f>$C$26*('E Balans VL '!L12+'E Balans VL '!N12)/100/3.6*1000000</f>
        <v>1049.6603312186674</v>
      </c>
      <c r="G6" s="34"/>
      <c r="H6" s="33"/>
      <c r="I6" s="33"/>
      <c r="J6" s="33">
        <f>$C$26*('E Balans VL '!D12+'E Balans VL '!E12)/100/3.6*1000000</f>
        <v>0</v>
      </c>
      <c r="K6" s="33"/>
      <c r="L6" s="33"/>
      <c r="M6" s="33"/>
      <c r="N6" s="33">
        <f>$C$26*'E Balans VL '!Y12/100/3.6*1000000</f>
        <v>4.1303438727078898</v>
      </c>
      <c r="O6" s="33"/>
      <c r="P6" s="33"/>
      <c r="R6" s="32"/>
    </row>
    <row r="7" spans="1:18">
      <c r="A7" s="32" t="s">
        <v>53</v>
      </c>
      <c r="B7" s="37">
        <f t="shared" ref="B7:B12" si="0">B27</f>
        <v>1140.3102812999998</v>
      </c>
      <c r="C7" s="33"/>
      <c r="D7" s="37">
        <f>IF(ISERROR(TER_horeca_gas_kWh/1000),0,TER_horeca_gas_kWh/1000)*0.902</f>
        <v>1497.6346961642</v>
      </c>
      <c r="E7" s="33">
        <f>$C$27*'E Balans VL '!I9/100/3.6*1000000</f>
        <v>37.737334036272713</v>
      </c>
      <c r="F7" s="33">
        <f>$C$27*('E Balans VL '!L9+'E Balans VL '!N9)/100/3.6*1000000</f>
        <v>490.32905076064748</v>
      </c>
      <c r="G7" s="34"/>
      <c r="H7" s="33"/>
      <c r="I7" s="33"/>
      <c r="J7" s="33">
        <f>$C$27*('E Balans VL '!D9+'E Balans VL '!E9)/100/3.6*1000000</f>
        <v>0</v>
      </c>
      <c r="K7" s="33"/>
      <c r="L7" s="33"/>
      <c r="M7" s="33"/>
      <c r="N7" s="33">
        <f>$C$27*'E Balans VL '!Y9/100/3.6*1000000</f>
        <v>0.2744892438314071</v>
      </c>
      <c r="O7" s="33"/>
      <c r="P7" s="33"/>
      <c r="R7" s="32"/>
    </row>
    <row r="8" spans="1:18">
      <c r="A8" s="6" t="s">
        <v>52</v>
      </c>
      <c r="B8" s="37">
        <f t="shared" si="0"/>
        <v>8490.0024965000011</v>
      </c>
      <c r="C8" s="33"/>
      <c r="D8" s="37">
        <f>IF(ISERROR(TER_handel_gas_kWh/1000),0,TER_handel_gas_kWh/1000)*0.902</f>
        <v>3823.9940657204006</v>
      </c>
      <c r="E8" s="33">
        <f>$C$28*'E Balans VL '!I13/100/3.6*1000000</f>
        <v>267.95745112721244</v>
      </c>
      <c r="F8" s="33">
        <f>$C$28*('E Balans VL '!L13+'E Balans VL '!N13)/100/3.6*1000000</f>
        <v>1665.0389892258513</v>
      </c>
      <c r="G8" s="34"/>
      <c r="H8" s="33"/>
      <c r="I8" s="33"/>
      <c r="J8" s="33">
        <f>$C$28*('E Balans VL '!D13+'E Balans VL '!E13)/100/3.6*1000000</f>
        <v>0</v>
      </c>
      <c r="K8" s="33"/>
      <c r="L8" s="33"/>
      <c r="M8" s="33"/>
      <c r="N8" s="33">
        <f>$C$28*'E Balans VL '!Y13/100/3.6*1000000</f>
        <v>10.075984649596272</v>
      </c>
      <c r="O8" s="33"/>
      <c r="P8" s="33"/>
      <c r="R8" s="32"/>
    </row>
    <row r="9" spans="1:18">
      <c r="A9" s="32" t="s">
        <v>51</v>
      </c>
      <c r="B9" s="37">
        <f t="shared" si="0"/>
        <v>505.94728387999999</v>
      </c>
      <c r="C9" s="33"/>
      <c r="D9" s="37">
        <f>IF(ISERROR(TER_gezond_gas_kWh/1000),0,TER_gezond_gas_kWh/1000)*0.902</f>
        <v>754.72303065895994</v>
      </c>
      <c r="E9" s="33">
        <f>$C$29*'E Balans VL '!I10/100/3.6*1000000</f>
        <v>6.4776053496019934E-2</v>
      </c>
      <c r="F9" s="33">
        <f>$C$29*('E Balans VL '!L10+'E Balans VL '!N10)/100/3.6*1000000</f>
        <v>105.41002542627876</v>
      </c>
      <c r="G9" s="34"/>
      <c r="H9" s="33"/>
      <c r="I9" s="33"/>
      <c r="J9" s="33">
        <f>$C$29*('E Balans VL '!D10+'E Balans VL '!E10)/100/3.6*1000000</f>
        <v>0</v>
      </c>
      <c r="K9" s="33"/>
      <c r="L9" s="33"/>
      <c r="M9" s="33"/>
      <c r="N9" s="33">
        <f>$C$29*'E Balans VL '!Y10/100/3.6*1000000</f>
        <v>5.9425899912959785</v>
      </c>
      <c r="O9" s="33"/>
      <c r="P9" s="33"/>
      <c r="R9" s="32"/>
    </row>
    <row r="10" spans="1:18">
      <c r="A10" s="32" t="s">
        <v>50</v>
      </c>
      <c r="B10" s="37">
        <f t="shared" si="0"/>
        <v>1500.5658459000001</v>
      </c>
      <c r="C10" s="33"/>
      <c r="D10" s="37">
        <f>IF(ISERROR(TER_ander_gas_kWh/1000),0,TER_ander_gas_kWh/1000)*0.902</f>
        <v>1379.9144738456</v>
      </c>
      <c r="E10" s="33">
        <f>$C$30*'E Balans VL '!I14/100/3.6*1000000</f>
        <v>2.2564981507842354</v>
      </c>
      <c r="F10" s="33">
        <f>$C$30*('E Balans VL '!L14+'E Balans VL '!N14)/100/3.6*1000000</f>
        <v>331.27656863942417</v>
      </c>
      <c r="G10" s="34"/>
      <c r="H10" s="33"/>
      <c r="I10" s="33"/>
      <c r="J10" s="33">
        <f>$C$30*('E Balans VL '!D14+'E Balans VL '!E14)/100/3.6*1000000</f>
        <v>0</v>
      </c>
      <c r="K10" s="33"/>
      <c r="L10" s="33"/>
      <c r="M10" s="33"/>
      <c r="N10" s="33">
        <f>$C$30*'E Balans VL '!Y14/100/3.6*1000000</f>
        <v>1182.5468708431431</v>
      </c>
      <c r="O10" s="33"/>
      <c r="P10" s="33"/>
      <c r="R10" s="32"/>
    </row>
    <row r="11" spans="1:18">
      <c r="A11" s="32" t="s">
        <v>55</v>
      </c>
      <c r="B11" s="37">
        <f t="shared" si="0"/>
        <v>946.45739833999994</v>
      </c>
      <c r="C11" s="33"/>
      <c r="D11" s="37">
        <f>IF(ISERROR(TER_onderwijs_gas_kWh/1000),0,TER_onderwijs_gas_kWh/1000)*0.902</f>
        <v>2654.0196633346</v>
      </c>
      <c r="E11" s="33">
        <f>$C$31*'E Balans VL '!I11/100/3.6*1000000</f>
        <v>1.6667907913325652</v>
      </c>
      <c r="F11" s="33">
        <f>$C$31*('E Balans VL '!L11+'E Balans VL '!N11)/100/3.6*1000000</f>
        <v>436.99650693187562</v>
      </c>
      <c r="G11" s="34"/>
      <c r="H11" s="33"/>
      <c r="I11" s="33"/>
      <c r="J11" s="33">
        <f>$C$31*('E Balans VL '!D11+'E Balans VL '!E11)/100/3.6*1000000</f>
        <v>0</v>
      </c>
      <c r="K11" s="33"/>
      <c r="L11" s="33"/>
      <c r="M11" s="33"/>
      <c r="N11" s="33">
        <f>$C$31*'E Balans VL '!Y11/100/3.6*1000000</f>
        <v>1.7632632214573409</v>
      </c>
      <c r="O11" s="33"/>
      <c r="P11" s="33"/>
      <c r="R11" s="32"/>
    </row>
    <row r="12" spans="1:18">
      <c r="A12" s="32" t="s">
        <v>260</v>
      </c>
      <c r="B12" s="37">
        <f t="shared" si="0"/>
        <v>2800.0001978999999</v>
      </c>
      <c r="C12" s="33"/>
      <c r="D12" s="37">
        <f>IF(ISERROR(TER_rest_gas_kWh/1000),0,TER_rest_gas_kWh/1000)*0.902</f>
        <v>7124.1918668646003</v>
      </c>
      <c r="E12" s="33">
        <f>$C$32*'E Balans VL '!I8/100/3.6*1000000</f>
        <v>49.298235986517938</v>
      </c>
      <c r="F12" s="33">
        <f>$C$32*('E Balans VL '!L8+'E Balans VL '!N8)/100/3.6*1000000</f>
        <v>721.36775904676995</v>
      </c>
      <c r="G12" s="34"/>
      <c r="H12" s="33"/>
      <c r="I12" s="33"/>
      <c r="J12" s="33">
        <f>$C$32*('E Balans VL '!D8+'E Balans VL '!E8)/100/3.6*1000000</f>
        <v>0</v>
      </c>
      <c r="K12" s="33"/>
      <c r="L12" s="33"/>
      <c r="M12" s="33"/>
      <c r="N12" s="33">
        <f>$C$32*'E Balans VL '!Y8/100/3.6*1000000</f>
        <v>247.0774981229583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19499.76534442</v>
      </c>
      <c r="C16" s="21">
        <f t="shared" ca="1" si="1"/>
        <v>0</v>
      </c>
      <c r="D16" s="21">
        <f t="shared" ca="1" si="1"/>
        <v>24933.435135593161</v>
      </c>
      <c r="E16" s="21">
        <f t="shared" si="1"/>
        <v>412.87090420941547</v>
      </c>
      <c r="F16" s="21">
        <f t="shared" ca="1" si="1"/>
        <v>4800.0792312495141</v>
      </c>
      <c r="G16" s="21">
        <f t="shared" si="1"/>
        <v>0</v>
      </c>
      <c r="H16" s="21">
        <f t="shared" si="1"/>
        <v>0</v>
      </c>
      <c r="I16" s="21">
        <f t="shared" si="1"/>
        <v>0</v>
      </c>
      <c r="J16" s="21">
        <f t="shared" si="1"/>
        <v>0</v>
      </c>
      <c r="K16" s="21">
        <f t="shared" si="1"/>
        <v>0</v>
      </c>
      <c r="L16" s="21">
        <f t="shared" ca="1" si="1"/>
        <v>0</v>
      </c>
      <c r="M16" s="21">
        <f t="shared" si="1"/>
        <v>0</v>
      </c>
      <c r="N16" s="21">
        <f t="shared" ca="1" si="1"/>
        <v>1451.8110399449902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0.17952733573925353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3500.7409198243504</v>
      </c>
      <c r="C20" s="23">
        <f t="shared" ref="C20:P20" ca="1" si="2">C16*C18</f>
        <v>0</v>
      </c>
      <c r="D20" s="23">
        <f t="shared" ca="1" si="2"/>
        <v>5036.5538973898192</v>
      </c>
      <c r="E20" s="23">
        <f t="shared" si="2"/>
        <v>93.721695255537313</v>
      </c>
      <c r="F20" s="23">
        <f t="shared" ca="1" si="2"/>
        <v>1281.6211547436203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4116.4818406000004</v>
      </c>
      <c r="C26" s="39">
        <f>IF(ISERROR(B26*3.6/1000000/'E Balans VL '!Z12*100),0,B26*3.6/1000000/'E Balans VL '!Z12*100)</f>
        <v>8.817823899586652E-2</v>
      </c>
      <c r="D26" s="237" t="s">
        <v>660</v>
      </c>
      <c r="F26" s="6"/>
    </row>
    <row r="27" spans="1:18">
      <c r="A27" s="231" t="s">
        <v>53</v>
      </c>
      <c r="B27" s="33">
        <f>IF(ISERROR(TER_horeca_ele_kWh/1000),0,TER_horeca_ele_kWh/1000)</f>
        <v>1140.3102812999998</v>
      </c>
      <c r="C27" s="39">
        <f>IF(ISERROR(B27*3.6/1000000/'E Balans VL '!Z9*100),0,B27*3.6/1000000/'E Balans VL '!Z9*100)</f>
        <v>9.1505936396245102E-2</v>
      </c>
      <c r="D27" s="237" t="s">
        <v>660</v>
      </c>
      <c r="F27" s="6"/>
    </row>
    <row r="28" spans="1:18">
      <c r="A28" s="171" t="s">
        <v>52</v>
      </c>
      <c r="B28" s="33">
        <f>IF(ISERROR(TER_handel_ele_kWh/1000),0,TER_handel_ele_kWh/1000)</f>
        <v>8490.0024965000011</v>
      </c>
      <c r="C28" s="39">
        <f>IF(ISERROR(B28*3.6/1000000/'E Balans VL '!Z13*100),0,B28*3.6/1000000/'E Balans VL '!Z13*100)</f>
        <v>0.25040637693478413</v>
      </c>
      <c r="D28" s="237" t="s">
        <v>660</v>
      </c>
      <c r="F28" s="6"/>
    </row>
    <row r="29" spans="1:18">
      <c r="A29" s="231" t="s">
        <v>51</v>
      </c>
      <c r="B29" s="33">
        <f>IF(ISERROR(TER_gezond_ele_kWh/1000),0,TER_gezond_ele_kWh/1000)</f>
        <v>505.94728387999999</v>
      </c>
      <c r="C29" s="39">
        <f>IF(ISERROR(B29*3.6/1000000/'E Balans VL '!Z10*100),0,B29*3.6/1000000/'E Balans VL '!Z10*100)</f>
        <v>5.4021604963021545E-2</v>
      </c>
      <c r="D29" s="237" t="s">
        <v>660</v>
      </c>
      <c r="F29" s="6"/>
    </row>
    <row r="30" spans="1:18">
      <c r="A30" s="231" t="s">
        <v>50</v>
      </c>
      <c r="B30" s="33">
        <f>IF(ISERROR(TER_ander_ele_kWh/1000),0,TER_ander_ele_kWh/1000)</f>
        <v>1500.5658459000001</v>
      </c>
      <c r="C30" s="39">
        <f>IF(ISERROR(B30*3.6/1000000/'E Balans VL '!Z14*100),0,B30*3.6/1000000/'E Balans VL '!Z14*100)</f>
        <v>0.11334363082522063</v>
      </c>
      <c r="D30" s="237" t="s">
        <v>660</v>
      </c>
      <c r="F30" s="6"/>
    </row>
    <row r="31" spans="1:18">
      <c r="A31" s="231" t="s">
        <v>55</v>
      </c>
      <c r="B31" s="33">
        <f>IF(ISERROR(TER_onderwijs_ele_kWh/1000),0,TER_onderwijs_ele_kWh/1000)</f>
        <v>946.45739833999994</v>
      </c>
      <c r="C31" s="39">
        <f>IF(ISERROR(B31*3.6/1000000/'E Balans VL '!Z11*100),0,B31*3.6/1000000/'E Balans VL '!Z11*100)</f>
        <v>0.191121343913664</v>
      </c>
      <c r="D31" s="237" t="s">
        <v>660</v>
      </c>
    </row>
    <row r="32" spans="1:18">
      <c r="A32" s="231" t="s">
        <v>260</v>
      </c>
      <c r="B32" s="33">
        <f>IF(ISERROR(TER_rest_ele_kWh/1000),0,TER_rest_ele_kWh/1000)</f>
        <v>2800.0001978999999</v>
      </c>
      <c r="C32" s="39">
        <f>IF(ISERROR(B32*3.6/1000000/'E Balans VL '!Z8*100),0,B32*3.6/1000000/'E Balans VL '!Z8*100)</f>
        <v>2.3215900612738923E-2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73122.390354239993</v>
      </c>
      <c r="C5" s="17">
        <f>IF(ISERROR('Eigen informatie GS &amp; warmtenet'!B59),0,'Eigen informatie GS &amp; warmtenet'!B59)</f>
        <v>0</v>
      </c>
      <c r="D5" s="30">
        <f>SUM(D6:D15)</f>
        <v>43260.833666964099</v>
      </c>
      <c r="E5" s="17">
        <f>SUM(E6:E15)</f>
        <v>4117.4422153024216</v>
      </c>
      <c r="F5" s="17">
        <f>SUM(F6:F15)</f>
        <v>17445.070452332253</v>
      </c>
      <c r="G5" s="18"/>
      <c r="H5" s="17"/>
      <c r="I5" s="17"/>
      <c r="J5" s="17">
        <f>SUM(J6:J15)</f>
        <v>694.82066329420002</v>
      </c>
      <c r="K5" s="17"/>
      <c r="L5" s="17"/>
      <c r="M5" s="17"/>
      <c r="N5" s="17">
        <f>SUM(N6:N15)</f>
        <v>21429.95751786363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1548.9580536000001</v>
      </c>
      <c r="C8" s="33"/>
      <c r="D8" s="37">
        <f>IF( ISERROR(IND_metaal_Gas_kWH/1000),0,IND_metaal_Gas_kWH/1000)*0.902</f>
        <v>160.35399738864001</v>
      </c>
      <c r="E8" s="33">
        <f>C30*'E Balans VL '!I18/100/3.6*1000000</f>
        <v>55.73619668428902</v>
      </c>
      <c r="F8" s="33">
        <f>C30*'E Balans VL '!L18/100/3.6*1000000+C30*'E Balans VL '!N18/100/3.6*1000000</f>
        <v>676.3797701893053</v>
      </c>
      <c r="G8" s="34"/>
      <c r="H8" s="33"/>
      <c r="I8" s="33"/>
      <c r="J8" s="40">
        <f>C30*'E Balans VL '!D18/100/3.6*1000000+C30*'E Balans VL '!E18/100/3.6*1000000</f>
        <v>0</v>
      </c>
      <c r="K8" s="33"/>
      <c r="L8" s="33"/>
      <c r="M8" s="33"/>
      <c r="N8" s="33">
        <f>C30*'E Balans VL '!Y18/100/3.6*1000000</f>
        <v>77.63272501789848</v>
      </c>
      <c r="O8" s="33"/>
      <c r="P8" s="33"/>
      <c r="R8" s="32"/>
    </row>
    <row r="9" spans="1:18">
      <c r="A9" s="6" t="s">
        <v>33</v>
      </c>
      <c r="B9" s="37">
        <f t="shared" si="0"/>
        <v>2881.0855812</v>
      </c>
      <c r="C9" s="33"/>
      <c r="D9" s="37">
        <f>IF( ISERROR(IND_andere_gas_kWh/1000),0,IND_andere_gas_kWh/1000)*0.902</f>
        <v>2720.6452272076003</v>
      </c>
      <c r="E9" s="33">
        <f>C31*'E Balans VL '!I19/100/3.6*1000000</f>
        <v>735.18785393516248</v>
      </c>
      <c r="F9" s="33">
        <f>C31*'E Balans VL '!L19/100/3.6*1000000+C31*'E Balans VL '!N19/100/3.6*1000000</f>
        <v>2480.3981346021446</v>
      </c>
      <c r="G9" s="34"/>
      <c r="H9" s="33"/>
      <c r="I9" s="33"/>
      <c r="J9" s="40">
        <f>C31*'E Balans VL '!D19/100/3.6*1000000+C31*'E Balans VL '!E19/100/3.6*1000000</f>
        <v>0</v>
      </c>
      <c r="K9" s="33"/>
      <c r="L9" s="33"/>
      <c r="M9" s="33"/>
      <c r="N9" s="33">
        <f>C31*'E Balans VL '!Y19/100/3.6*1000000</f>
        <v>901.01412811774799</v>
      </c>
      <c r="O9" s="33"/>
      <c r="P9" s="33"/>
      <c r="R9" s="32"/>
    </row>
    <row r="10" spans="1:18">
      <c r="A10" s="6" t="s">
        <v>41</v>
      </c>
      <c r="B10" s="37">
        <f t="shared" si="0"/>
        <v>7086.4884071000006</v>
      </c>
      <c r="C10" s="33"/>
      <c r="D10" s="37">
        <f>IF( ISERROR(IND_voed_gas_kWh/1000),0,IND_voed_gas_kWh/1000)*0.902</f>
        <v>6253.9330944265994</v>
      </c>
      <c r="E10" s="33">
        <f>C32*'E Balans VL '!I20/100/3.6*1000000</f>
        <v>180.14826585446681</v>
      </c>
      <c r="F10" s="33">
        <f>C32*'E Balans VL '!L20/100/3.6*1000000+C32*'E Balans VL '!N20/100/3.6*1000000</f>
        <v>1603.5659491617498</v>
      </c>
      <c r="G10" s="34"/>
      <c r="H10" s="33"/>
      <c r="I10" s="33"/>
      <c r="J10" s="40">
        <f>C32*'E Balans VL '!D20/100/3.6*1000000+C32*'E Balans VL '!E20/100/3.6*1000000</f>
        <v>0</v>
      </c>
      <c r="K10" s="33"/>
      <c r="L10" s="33"/>
      <c r="M10" s="33"/>
      <c r="N10" s="33">
        <f>C32*'E Balans VL '!Y20/100/3.6*1000000</f>
        <v>2657.6252394862522</v>
      </c>
      <c r="O10" s="33"/>
      <c r="P10" s="33"/>
      <c r="R10" s="32"/>
    </row>
    <row r="11" spans="1:18">
      <c r="A11" s="6" t="s">
        <v>40</v>
      </c>
      <c r="B11" s="37">
        <f t="shared" si="0"/>
        <v>533.78749464000009</v>
      </c>
      <c r="C11" s="33"/>
      <c r="D11" s="37">
        <f>IF( ISERROR(IND_textiel_gas_kWh/1000),0,IND_textiel_gas_kWh/1000)*0.902</f>
        <v>0</v>
      </c>
      <c r="E11" s="33">
        <f>C33*'E Balans VL '!I21/100/3.6*1000000</f>
        <v>1.4653902204412523</v>
      </c>
      <c r="F11" s="33">
        <f>C33*'E Balans VL '!L21/100/3.6*1000000+C33*'E Balans VL '!N21/100/3.6*1000000</f>
        <v>28.299188386676839</v>
      </c>
      <c r="G11" s="34"/>
      <c r="H11" s="33"/>
      <c r="I11" s="33"/>
      <c r="J11" s="40">
        <f>C33*'E Balans VL '!D21/100/3.6*1000000+C33*'E Balans VL '!E21/100/3.6*1000000</f>
        <v>0</v>
      </c>
      <c r="K11" s="33"/>
      <c r="L11" s="33"/>
      <c r="M11" s="33"/>
      <c r="N11" s="33">
        <f>C33*'E Balans VL '!Y21/100/3.6*1000000</f>
        <v>1.0728245316806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3394.1392606999998</v>
      </c>
      <c r="C13" s="33"/>
      <c r="D13" s="37">
        <f>IF( ISERROR(IND_papier_gas_kWh/1000),0,IND_papier_gas_kWh/1000)*0.902</f>
        <v>629.70147909525997</v>
      </c>
      <c r="E13" s="33">
        <f>C35*'E Balans VL '!I23/100/3.6*1000000</f>
        <v>14.556475873671442</v>
      </c>
      <c r="F13" s="33">
        <f>C35*'E Balans VL '!L23/100/3.6*1000000+C35*'E Balans VL '!N23/100/3.6*1000000</f>
        <v>85.305254359014342</v>
      </c>
      <c r="G13" s="34"/>
      <c r="H13" s="33"/>
      <c r="I13" s="33"/>
      <c r="J13" s="40">
        <f>C35*'E Balans VL '!D23/100/3.6*1000000+C35*'E Balans VL '!E23/100/3.6*1000000</f>
        <v>227.21900741581067</v>
      </c>
      <c r="K13" s="33"/>
      <c r="L13" s="33"/>
      <c r="M13" s="33"/>
      <c r="N13" s="33">
        <f>C35*'E Balans VL '!Y23/100/3.6*1000000</f>
        <v>6178.1406115851487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57677.931556999996</v>
      </c>
      <c r="C15" s="33"/>
      <c r="D15" s="37">
        <f>IF( ISERROR(IND_rest_gas_kWh/1000),0,IND_rest_gas_kWh/1000)*0.902</f>
        <v>33496.199868846001</v>
      </c>
      <c r="E15" s="33">
        <f>C37*'E Balans VL '!I15/100/3.6*1000000</f>
        <v>3130.3480327343909</v>
      </c>
      <c r="F15" s="33">
        <f>C37*'E Balans VL '!L15/100/3.6*1000000+C37*'E Balans VL '!N15/100/3.6*1000000</f>
        <v>12571.12215563336</v>
      </c>
      <c r="G15" s="34"/>
      <c r="H15" s="33"/>
      <c r="I15" s="33"/>
      <c r="J15" s="40">
        <f>C37*'E Balans VL '!D15/100/3.6*1000000+C37*'E Balans VL '!E15/100/3.6*1000000</f>
        <v>467.60165587838935</v>
      </c>
      <c r="K15" s="33"/>
      <c r="L15" s="33"/>
      <c r="M15" s="33"/>
      <c r="N15" s="33">
        <f>C37*'E Balans VL '!Y15/100/3.6*1000000</f>
        <v>11614.471989124902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73122.390354239993</v>
      </c>
      <c r="C18" s="21">
        <f>C5+C16</f>
        <v>0</v>
      </c>
      <c r="D18" s="21">
        <f>MAX((D5+D16),0)</f>
        <v>43260.833666964099</v>
      </c>
      <c r="E18" s="21">
        <f>MAX((E5+E16),0)</f>
        <v>4117.4422153024216</v>
      </c>
      <c r="F18" s="21">
        <f>MAX((F5+F16),0)</f>
        <v>17445.070452332253</v>
      </c>
      <c r="G18" s="21"/>
      <c r="H18" s="21"/>
      <c r="I18" s="21"/>
      <c r="J18" s="21">
        <f>MAX((J5+J16),0)</f>
        <v>694.82066329420002</v>
      </c>
      <c r="K18" s="21"/>
      <c r="L18" s="21">
        <f>MAX((L5+L16),0)</f>
        <v>0</v>
      </c>
      <c r="M18" s="21"/>
      <c r="N18" s="21">
        <f>MAX((N5+N16),0)</f>
        <v>21429.95751786363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0.17952733573925353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13127.467923182397</v>
      </c>
      <c r="C22" s="23">
        <f ca="1">C18*C20</f>
        <v>0</v>
      </c>
      <c r="D22" s="23">
        <f>D18*D20</f>
        <v>8738.688400726749</v>
      </c>
      <c r="E22" s="23">
        <f>E18*E20</f>
        <v>934.65938287364975</v>
      </c>
      <c r="F22" s="23">
        <f>F18*F20</f>
        <v>4657.8338107727122</v>
      </c>
      <c r="G22" s="23"/>
      <c r="H22" s="23"/>
      <c r="I22" s="23"/>
      <c r="J22" s="23">
        <f>J18*J20</f>
        <v>245.96651480614679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1548.9580536000001</v>
      </c>
      <c r="C30" s="39">
        <f>IF(ISERROR(B30*3.6/1000000/'E Balans VL '!Z18*100),0,B30*3.6/1000000/'E Balans VL '!Z18*100)</f>
        <v>0.32819100277240637</v>
      </c>
      <c r="D30" s="237" t="s">
        <v>660</v>
      </c>
    </row>
    <row r="31" spans="1:18">
      <c r="A31" s="6" t="s">
        <v>33</v>
      </c>
      <c r="B31" s="37">
        <f>IF( ISERROR(IND_ander_ele_kWh/1000),0,IND_ander_ele_kWh/1000)</f>
        <v>2881.0855812</v>
      </c>
      <c r="C31" s="39">
        <f>IF(ISERROR(B31*3.6/1000000/'E Balans VL '!Z19*100),0,B31*3.6/1000000/'E Balans VL '!Z19*100)</f>
        <v>0.12127143409329164</v>
      </c>
      <c r="D31" s="237" t="s">
        <v>660</v>
      </c>
    </row>
    <row r="32" spans="1:18">
      <c r="A32" s="171" t="s">
        <v>41</v>
      </c>
      <c r="B32" s="37">
        <f>IF( ISERROR(IND_voed_ele_kWh/1000),0,IND_voed_ele_kWh/1000)</f>
        <v>7086.4884071000006</v>
      </c>
      <c r="C32" s="39">
        <f>IF(ISERROR(B32*3.6/1000000/'E Balans VL '!Z20*100),0,B32*3.6/1000000/'E Balans VL '!Z20*100)</f>
        <v>1.1838780665079984</v>
      </c>
      <c r="D32" s="237" t="s">
        <v>660</v>
      </c>
    </row>
    <row r="33" spans="1:5">
      <c r="A33" s="171" t="s">
        <v>40</v>
      </c>
      <c r="B33" s="37">
        <f>IF( ISERROR(IND_textiel_ele_kWh/1000),0,IND_textiel_ele_kWh/1000)</f>
        <v>533.78749464000009</v>
      </c>
      <c r="C33" s="39">
        <f>IF(ISERROR(B33*3.6/1000000/'E Balans VL '!Z21*100),0,B33*3.6/1000000/'E Balans VL '!Z21*100)</f>
        <v>3.1164111305173561E-2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3394.1392606999998</v>
      </c>
      <c r="C35" s="39">
        <f>IF(ISERROR(B35*3.6/1000000/'E Balans VL '!Z22*100),0,B35*3.6/1000000/'E Balans VL '!Z22*100)</f>
        <v>0.43022545583269611</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57677.931556999996</v>
      </c>
      <c r="C37" s="39">
        <f>IF(ISERROR(B37*3.6/1000000/'E Balans VL '!Z15*100),0,B37*3.6/1000000/'E Balans VL '!Z15*100)</f>
        <v>0.46565627537840704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1535.359822182</v>
      </c>
      <c r="C5" s="17">
        <f>'Eigen informatie GS &amp; warmtenet'!B60</f>
        <v>0</v>
      </c>
      <c r="D5" s="30">
        <f>IF(ISERROR(SUM(LB_lb_gas_kWh,LB_rest_gas_kWh)/1000),0,SUM(LB_lb_gas_kWh,LB_rest_gas_kWh)/1000)*0.902</f>
        <v>744.02878268246013</v>
      </c>
      <c r="E5" s="17">
        <f>B17*'E Balans VL '!I25/3.6*1000000/100</f>
        <v>39.591034713917175</v>
      </c>
      <c r="F5" s="17">
        <f>B17*('E Balans VL '!L25/3.6*1000000+'E Balans VL '!N25/3.6*1000000)/100</f>
        <v>5612.0325451496283</v>
      </c>
      <c r="G5" s="18"/>
      <c r="H5" s="17"/>
      <c r="I5" s="17"/>
      <c r="J5" s="17">
        <f>('E Balans VL '!D25+'E Balans VL '!E25)/3.6*1000000*landbouw!B17/100</f>
        <v>221.03533363894402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1535.359822182</v>
      </c>
      <c r="C8" s="21">
        <f>C5+C6</f>
        <v>0</v>
      </c>
      <c r="D8" s="21">
        <f>MAX((D5+D6),0)</f>
        <v>744.02878268246013</v>
      </c>
      <c r="E8" s="21">
        <f>MAX((E5+E6),0)</f>
        <v>39.591034713917175</v>
      </c>
      <c r="F8" s="21">
        <f>MAX((F5+F6),0)</f>
        <v>5612.0325451496283</v>
      </c>
      <c r="G8" s="21"/>
      <c r="H8" s="21"/>
      <c r="I8" s="21"/>
      <c r="J8" s="21">
        <f>MAX((J5+J6),0)</f>
        <v>221.03533363894402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0.17952733573925353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275.63905827742849</v>
      </c>
      <c r="C12" s="23">
        <f ca="1">C8*C10</f>
        <v>0</v>
      </c>
      <c r="D12" s="23">
        <f>D8*D10</f>
        <v>150.29381410185695</v>
      </c>
      <c r="E12" s="23">
        <f>E8*E10</f>
        <v>8.9871648800591988</v>
      </c>
      <c r="F12" s="23">
        <f>F8*F10</f>
        <v>1498.4126895549509</v>
      </c>
      <c r="G12" s="23"/>
      <c r="H12" s="23"/>
      <c r="I12" s="23"/>
      <c r="J12" s="23">
        <f>J8*J10</f>
        <v>78.246508108186177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0.21649590492308363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485.21022719850322</v>
      </c>
      <c r="C26" s="247">
        <f>B26*'GWP N2O_CH4'!B5</f>
        <v>10189.414771168567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108.04001977766659</v>
      </c>
      <c r="C27" s="247">
        <f>B27*'GWP N2O_CH4'!B5</f>
        <v>2268.8404153309984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6.3421192499232113</v>
      </c>
      <c r="C28" s="247">
        <f>B28*'GWP N2O_CH4'!B4</f>
        <v>1966.0569674761955</v>
      </c>
      <c r="D28" s="50"/>
    </row>
    <row r="29" spans="1:4">
      <c r="A29" s="41" t="s">
        <v>277</v>
      </c>
      <c r="B29" s="247">
        <f>B34*'ha_N2O bodem landbouw'!B4</f>
        <v>12.850123477619931</v>
      </c>
      <c r="C29" s="247">
        <f>B29*'GWP N2O_CH4'!B4</f>
        <v>3983.5382780621785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2.8919760784872671E-3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1.032695550480641E-4</v>
      </c>
      <c r="C5" s="463" t="s">
        <v>211</v>
      </c>
      <c r="D5" s="448">
        <f>SUM(D6:D11)</f>
        <v>2.41628935562161E-4</v>
      </c>
      <c r="E5" s="448">
        <f>SUM(E6:E11)</f>
        <v>9.8669274455119582E-4</v>
      </c>
      <c r="F5" s="461" t="s">
        <v>211</v>
      </c>
      <c r="G5" s="448">
        <f>SUM(G6:G11)</f>
        <v>0.36350515049066906</v>
      </c>
      <c r="H5" s="448">
        <f>SUM(H6:H11)</f>
        <v>6.5514212187594983E-2</v>
      </c>
      <c r="I5" s="463" t="s">
        <v>211</v>
      </c>
      <c r="J5" s="463" t="s">
        <v>211</v>
      </c>
      <c r="K5" s="463" t="s">
        <v>211</v>
      </c>
      <c r="L5" s="463" t="s">
        <v>211</v>
      </c>
      <c r="M5" s="448">
        <f>SUM(M6:M11)</f>
        <v>1.3414951620699766E-2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5.2100955526070857E-5</v>
      </c>
      <c r="C6" s="449"/>
      <c r="D6" s="892">
        <f>vkm_2011_GW_PW*SUMIFS(TableVerdeelsleutelVkm[CNG],TableVerdeelsleutelVkm[Voertuigtype],"Lichte voertuigen")*SUMIFS(TableECFTransport[EnergieConsumptieFactor (PJ per km)],TableECFTransport[Index],CONCATENATE($A6,"_CNG_CNG"))</f>
        <v>1.0352551125848574E-4</v>
      </c>
      <c r="E6" s="892">
        <f>vkm_2011_GW_PW*SUMIFS(TableVerdeelsleutelVkm[LPG],TableVerdeelsleutelVkm[Voertuigtype],"Lichte voertuigen")*SUMIFS(TableECFTransport[EnergieConsumptieFactor (PJ per km)],TableECFTransport[Index],CONCATENATE($A6,"_LPG_LPG"))</f>
        <v>4.0740999791591268E-4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9.6868118452233309E-2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2.8027470393823355E-2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3.8918618787161237E-3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5.258576855713596E-2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1.6987449366589432E-5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1.6568971070094803E-3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2.2019294302575779E-5</v>
      </c>
      <c r="C8" s="449"/>
      <c r="D8" s="451">
        <f>vkm_2011_NGW_PW*SUMIFS(TableVerdeelsleutelVkm[CNG],TableVerdeelsleutelVkm[Voertuigtype],"Lichte voertuigen")*SUMIFS(TableECFTransport[EnergieConsumptieFactor (PJ per km)],TableECFTransport[Index],CONCATENATE($A8,"_CNG_CNG"))</f>
        <v>7.7470112715399475E-5</v>
      </c>
      <c r="E8" s="451">
        <f>vkm_2011_NGW_PW*SUMIFS(TableVerdeelsleutelVkm[LPG],TableVerdeelsleutelVkm[Voertuigtype],"Lichte voertuigen")*SUMIFS(TableECFTransport[EnergieConsumptieFactor (PJ per km)],TableECFTransport[Index],CONCATENATE($A8,"_LPG_LPG"))</f>
        <v>2.8195335439048711E-4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6.2601570672047774E-2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2.033703900830228E-2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2.5818465558700753E-3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1.1592248566244438E-2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3.5415302288845365E-6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3.6524791884112013E-4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2.9149305219417464E-5</v>
      </c>
      <c r="C10" s="449"/>
      <c r="D10" s="451">
        <f>vkm_2011_SW_PW*SUMIFS(TableVerdeelsleutelVkm[CNG],TableVerdeelsleutelVkm[Voertuigtype],"Lichte voertuigen")*SUMIFS(TableECFTransport[EnergieConsumptieFactor (PJ per km)],TableECFTransport[Index],CONCATENATE($A10,"_CNG_CNG"))</f>
        <v>6.0633311588275791E-5</v>
      </c>
      <c r="E10" s="451">
        <f>vkm_2011_SW_PW*SUMIFS(TableVerdeelsleutelVkm[LPG],TableVerdeelsleutelVkm[Voertuigtype],"Lichte voertuigen")*SUMIFS(TableECFTransport[EnergieConsumptieFactor (PJ per km)],TableECFTransport[Index],CONCATENATE($A10,"_LPG_LPG"))</f>
        <v>2.9732939224479604E-4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6.3327746723932724E-2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1.7102536994917459E-2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2.5077070671702425E-3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7.652969751907486E-2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2.66368109564222E-5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2.4113910930927212E-3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28.685987513351137</v>
      </c>
      <c r="C14" s="21"/>
      <c r="D14" s="21">
        <f t="shared" ref="D14:M14" si="0">((D5)*10^9/3600)+D12</f>
        <v>67.11914876726695</v>
      </c>
      <c r="E14" s="21">
        <f t="shared" si="0"/>
        <v>274.08131793088774</v>
      </c>
      <c r="F14" s="21"/>
      <c r="G14" s="21">
        <f t="shared" si="0"/>
        <v>100973.65291407474</v>
      </c>
      <c r="H14" s="21">
        <f t="shared" si="0"/>
        <v>18198.392274331938</v>
      </c>
      <c r="I14" s="21"/>
      <c r="J14" s="21"/>
      <c r="K14" s="21"/>
      <c r="L14" s="21"/>
      <c r="M14" s="21">
        <f t="shared" si="0"/>
        <v>3726.375450194379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0.17952733573925353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5.1499189113214241</v>
      </c>
      <c r="C18" s="23"/>
      <c r="D18" s="23">
        <f t="shared" ref="D18:M18" si="1">D14*D16</f>
        <v>13.558068050987925</v>
      </c>
      <c r="E18" s="23">
        <f t="shared" si="1"/>
        <v>62.216459170311516</v>
      </c>
      <c r="F18" s="23"/>
      <c r="G18" s="23">
        <f t="shared" si="1"/>
        <v>26959.965328057959</v>
      </c>
      <c r="H18" s="23">
        <f t="shared" si="1"/>
        <v>4531.3996763086525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9.3508456976246299E-4</v>
      </c>
      <c r="H50" s="321">
        <f t="shared" si="2"/>
        <v>0</v>
      </c>
      <c r="I50" s="321">
        <f t="shared" si="2"/>
        <v>0</v>
      </c>
      <c r="J50" s="321">
        <f t="shared" si="2"/>
        <v>0</v>
      </c>
      <c r="K50" s="321">
        <f t="shared" si="2"/>
        <v>0</v>
      </c>
      <c r="L50" s="321">
        <f t="shared" si="2"/>
        <v>0</v>
      </c>
      <c r="M50" s="321">
        <f t="shared" si="2"/>
        <v>2.9004231399581241E-5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9.3508456976246299E-4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2.9004231399581241E-5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259.7457138229064</v>
      </c>
      <c r="H54" s="21">
        <f t="shared" si="3"/>
        <v>0</v>
      </c>
      <c r="I54" s="21">
        <f t="shared" si="3"/>
        <v>0</v>
      </c>
      <c r="J54" s="21">
        <f t="shared" si="3"/>
        <v>0</v>
      </c>
      <c r="K54" s="21">
        <f t="shared" si="3"/>
        <v>0</v>
      </c>
      <c r="L54" s="21">
        <f t="shared" si="3"/>
        <v>0</v>
      </c>
      <c r="M54" s="21">
        <f t="shared" si="3"/>
        <v>8.0567309443281214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0.17952733573925353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69.352105590716008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20851.989344419999</v>
      </c>
      <c r="D10" s="1012">
        <f ca="1">tertiair!C16</f>
        <v>0</v>
      </c>
      <c r="E10" s="1012">
        <f ca="1">tertiair!D16</f>
        <v>24933.435135593161</v>
      </c>
      <c r="F10" s="1012">
        <f>tertiair!E16</f>
        <v>412.87090420941547</v>
      </c>
      <c r="G10" s="1012">
        <f ca="1">tertiair!F16</f>
        <v>4800.0792312495141</v>
      </c>
      <c r="H10" s="1012">
        <f>tertiair!G16</f>
        <v>0</v>
      </c>
      <c r="I10" s="1012">
        <f>tertiair!H16</f>
        <v>0</v>
      </c>
      <c r="J10" s="1012">
        <f>tertiair!I16</f>
        <v>0</v>
      </c>
      <c r="K10" s="1012">
        <f>tertiair!J16</f>
        <v>0</v>
      </c>
      <c r="L10" s="1012">
        <f>tertiair!K16</f>
        <v>0</v>
      </c>
      <c r="M10" s="1012">
        <f ca="1">tertiair!L16</f>
        <v>0</v>
      </c>
      <c r="N10" s="1012">
        <f>tertiair!M16</f>
        <v>0</v>
      </c>
      <c r="O10" s="1012">
        <f ca="1">tertiair!N16</f>
        <v>1451.8110399449902</v>
      </c>
      <c r="P10" s="1012">
        <f>tertiair!O16</f>
        <v>6.2533333333333339</v>
      </c>
      <c r="Q10" s="1013">
        <f>tertiair!P16</f>
        <v>38.133333333333333</v>
      </c>
      <c r="R10" s="700">
        <f ca="1">SUM(C10:Q10)</f>
        <v>52494.572322083739</v>
      </c>
      <c r="S10" s="67"/>
    </row>
    <row r="11" spans="1:19" s="473" customFormat="1">
      <c r="A11" s="809" t="s">
        <v>225</v>
      </c>
      <c r="B11" s="814"/>
      <c r="C11" s="1012">
        <f>huishoudens!B8</f>
        <v>35335.14830774963</v>
      </c>
      <c r="D11" s="1012">
        <f>huishoudens!C8</f>
        <v>0</v>
      </c>
      <c r="E11" s="1012">
        <f>huishoudens!D8</f>
        <v>86175.451243590724</v>
      </c>
      <c r="F11" s="1012">
        <f>huishoudens!E8</f>
        <v>4287.8276366835253</v>
      </c>
      <c r="G11" s="1012">
        <f>huishoudens!F8</f>
        <v>6226.7230285620244</v>
      </c>
      <c r="H11" s="1012">
        <f>huishoudens!G8</f>
        <v>0</v>
      </c>
      <c r="I11" s="1012">
        <f>huishoudens!H8</f>
        <v>0</v>
      </c>
      <c r="J11" s="1012">
        <f>huishoudens!I8</f>
        <v>0</v>
      </c>
      <c r="K11" s="1012">
        <f>huishoudens!J8</f>
        <v>1987.284043763203</v>
      </c>
      <c r="L11" s="1012">
        <f>huishoudens!K8</f>
        <v>0</v>
      </c>
      <c r="M11" s="1012">
        <f>huishoudens!L8</f>
        <v>0</v>
      </c>
      <c r="N11" s="1012">
        <f>huishoudens!M8</f>
        <v>0</v>
      </c>
      <c r="O11" s="1012">
        <f>huishoudens!N8</f>
        <v>14356.883065884904</v>
      </c>
      <c r="P11" s="1012">
        <f>huishoudens!O8</f>
        <v>186.03666666666666</v>
      </c>
      <c r="Q11" s="1013">
        <f>huishoudens!P8</f>
        <v>629.20000000000005</v>
      </c>
      <c r="R11" s="700">
        <f>SUM(C11:Q11)</f>
        <v>149184.55399290068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73122.390354239993</v>
      </c>
      <c r="D13" s="1012">
        <f>industrie!C18</f>
        <v>0</v>
      </c>
      <c r="E13" s="1012">
        <f>industrie!D18</f>
        <v>43260.833666964099</v>
      </c>
      <c r="F13" s="1012">
        <f>industrie!E18</f>
        <v>4117.4422153024216</v>
      </c>
      <c r="G13" s="1012">
        <f>industrie!F18</f>
        <v>17445.070452332253</v>
      </c>
      <c r="H13" s="1012">
        <f>industrie!G18</f>
        <v>0</v>
      </c>
      <c r="I13" s="1012">
        <f>industrie!H18</f>
        <v>0</v>
      </c>
      <c r="J13" s="1012">
        <f>industrie!I18</f>
        <v>0</v>
      </c>
      <c r="K13" s="1012">
        <f>industrie!J18</f>
        <v>694.82066329420002</v>
      </c>
      <c r="L13" s="1012">
        <f>industrie!K18</f>
        <v>0</v>
      </c>
      <c r="M13" s="1012">
        <f>industrie!L18</f>
        <v>0</v>
      </c>
      <c r="N13" s="1012">
        <f>industrie!M18</f>
        <v>0</v>
      </c>
      <c r="O13" s="1012">
        <f>industrie!N18</f>
        <v>21429.95751786363</v>
      </c>
      <c r="P13" s="1012">
        <f>industrie!O18</f>
        <v>0</v>
      </c>
      <c r="Q13" s="1013">
        <f>industrie!P18</f>
        <v>0</v>
      </c>
      <c r="R13" s="700">
        <f>SUM(C13:Q13)</f>
        <v>160070.51486999661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129309.52800640962</v>
      </c>
      <c r="D16" s="732">
        <f t="shared" ref="D16:R16" ca="1" si="0">SUM(D9:D15)</f>
        <v>0</v>
      </c>
      <c r="E16" s="732">
        <f t="shared" ca="1" si="0"/>
        <v>154369.720046148</v>
      </c>
      <c r="F16" s="732">
        <f t="shared" si="0"/>
        <v>8818.140756195362</v>
      </c>
      <c r="G16" s="732">
        <f t="shared" ca="1" si="0"/>
        <v>28471.872712143791</v>
      </c>
      <c r="H16" s="732">
        <f t="shared" si="0"/>
        <v>0</v>
      </c>
      <c r="I16" s="732">
        <f t="shared" si="0"/>
        <v>0</v>
      </c>
      <c r="J16" s="732">
        <f t="shared" si="0"/>
        <v>0</v>
      </c>
      <c r="K16" s="732">
        <f t="shared" si="0"/>
        <v>2682.1047070574032</v>
      </c>
      <c r="L16" s="732">
        <f t="shared" si="0"/>
        <v>0</v>
      </c>
      <c r="M16" s="732">
        <f t="shared" ca="1" si="0"/>
        <v>0</v>
      </c>
      <c r="N16" s="732">
        <f t="shared" si="0"/>
        <v>0</v>
      </c>
      <c r="O16" s="732">
        <f t="shared" ca="1" si="0"/>
        <v>37238.651623693528</v>
      </c>
      <c r="P16" s="732">
        <f t="shared" si="0"/>
        <v>192.29</v>
      </c>
      <c r="Q16" s="732">
        <f t="shared" si="0"/>
        <v>667.33333333333337</v>
      </c>
      <c r="R16" s="732">
        <f t="shared" ca="1" si="0"/>
        <v>361749.64118498098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259.7457138229064</v>
      </c>
      <c r="I19" s="1012">
        <f>transport!H54</f>
        <v>0</v>
      </c>
      <c r="J19" s="1012">
        <f>transport!I54</f>
        <v>0</v>
      </c>
      <c r="K19" s="1012">
        <f>transport!J54</f>
        <v>0</v>
      </c>
      <c r="L19" s="1012">
        <f>transport!K54</f>
        <v>0</v>
      </c>
      <c r="M19" s="1012">
        <f>transport!L54</f>
        <v>0</v>
      </c>
      <c r="N19" s="1012">
        <f>transport!M54</f>
        <v>8.0567309443281214</v>
      </c>
      <c r="O19" s="1012">
        <f>transport!N54</f>
        <v>0</v>
      </c>
      <c r="P19" s="1012">
        <f>transport!O54</f>
        <v>0</v>
      </c>
      <c r="Q19" s="1013">
        <f>transport!P54</f>
        <v>0</v>
      </c>
      <c r="R19" s="700">
        <f>SUM(C19:Q19)</f>
        <v>267.80244476723453</v>
      </c>
      <c r="S19" s="67"/>
    </row>
    <row r="20" spans="1:19" s="473" customFormat="1">
      <c r="A20" s="809" t="s">
        <v>307</v>
      </c>
      <c r="B20" s="814"/>
      <c r="C20" s="1012">
        <f>transport!B14</f>
        <v>28.685987513351137</v>
      </c>
      <c r="D20" s="1012">
        <f>transport!C14</f>
        <v>0</v>
      </c>
      <c r="E20" s="1012">
        <f>transport!D14</f>
        <v>67.11914876726695</v>
      </c>
      <c r="F20" s="1012">
        <f>transport!E14</f>
        <v>274.08131793088774</v>
      </c>
      <c r="G20" s="1012">
        <f>transport!F14</f>
        <v>0</v>
      </c>
      <c r="H20" s="1012">
        <f>transport!G14</f>
        <v>100973.65291407474</v>
      </c>
      <c r="I20" s="1012">
        <f>transport!H14</f>
        <v>18198.392274331938</v>
      </c>
      <c r="J20" s="1012">
        <f>transport!I14</f>
        <v>0</v>
      </c>
      <c r="K20" s="1012">
        <f>transport!J14</f>
        <v>0</v>
      </c>
      <c r="L20" s="1012">
        <f>transport!K14</f>
        <v>0</v>
      </c>
      <c r="M20" s="1012">
        <f>transport!L14</f>
        <v>0</v>
      </c>
      <c r="N20" s="1012">
        <f>transport!M14</f>
        <v>3726.375450194379</v>
      </c>
      <c r="O20" s="1012">
        <f>transport!N14</f>
        <v>0</v>
      </c>
      <c r="P20" s="1012">
        <f>transport!O14</f>
        <v>0</v>
      </c>
      <c r="Q20" s="1013">
        <f>transport!P14</f>
        <v>0</v>
      </c>
      <c r="R20" s="700">
        <f>SUM(C20:Q20)</f>
        <v>123268.30709281257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28.685987513351137</v>
      </c>
      <c r="D22" s="812">
        <f t="shared" ref="D22:R22" si="1">SUM(D18:D21)</f>
        <v>0</v>
      </c>
      <c r="E22" s="812">
        <f t="shared" si="1"/>
        <v>67.11914876726695</v>
      </c>
      <c r="F22" s="812">
        <f t="shared" si="1"/>
        <v>274.08131793088774</v>
      </c>
      <c r="G22" s="812">
        <f t="shared" si="1"/>
        <v>0</v>
      </c>
      <c r="H22" s="812">
        <f t="shared" si="1"/>
        <v>101233.39862789765</v>
      </c>
      <c r="I22" s="812">
        <f t="shared" si="1"/>
        <v>18198.392274331938</v>
      </c>
      <c r="J22" s="812">
        <f t="shared" si="1"/>
        <v>0</v>
      </c>
      <c r="K22" s="812">
        <f t="shared" si="1"/>
        <v>0</v>
      </c>
      <c r="L22" s="812">
        <f t="shared" si="1"/>
        <v>0</v>
      </c>
      <c r="M22" s="812">
        <f t="shared" si="1"/>
        <v>0</v>
      </c>
      <c r="N22" s="812">
        <f t="shared" si="1"/>
        <v>3734.4321811387072</v>
      </c>
      <c r="O22" s="812">
        <f t="shared" si="1"/>
        <v>0</v>
      </c>
      <c r="P22" s="812">
        <f t="shared" si="1"/>
        <v>0</v>
      </c>
      <c r="Q22" s="812">
        <f t="shared" si="1"/>
        <v>0</v>
      </c>
      <c r="R22" s="812">
        <f t="shared" si="1"/>
        <v>123536.1095375798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1535.359822182</v>
      </c>
      <c r="D24" s="1012">
        <f>+landbouw!C8</f>
        <v>0</v>
      </c>
      <c r="E24" s="1012">
        <f>+landbouw!D8</f>
        <v>744.02878268246013</v>
      </c>
      <c r="F24" s="1012">
        <f>+landbouw!E8</f>
        <v>39.591034713917175</v>
      </c>
      <c r="G24" s="1012">
        <f>+landbouw!F8</f>
        <v>5612.0325451496283</v>
      </c>
      <c r="H24" s="1012">
        <f>+landbouw!G8</f>
        <v>0</v>
      </c>
      <c r="I24" s="1012">
        <f>+landbouw!H8</f>
        <v>0</v>
      </c>
      <c r="J24" s="1012">
        <f>+landbouw!I8</f>
        <v>0</v>
      </c>
      <c r="K24" s="1012">
        <f>+landbouw!J8</f>
        <v>221.03533363894402</v>
      </c>
      <c r="L24" s="1012">
        <f>+landbouw!K8</f>
        <v>0</v>
      </c>
      <c r="M24" s="1012">
        <f>+landbouw!L8</f>
        <v>0</v>
      </c>
      <c r="N24" s="1012">
        <f>+landbouw!M8</f>
        <v>0</v>
      </c>
      <c r="O24" s="1012">
        <f>+landbouw!N8</f>
        <v>0</v>
      </c>
      <c r="P24" s="1012">
        <f>+landbouw!O8</f>
        <v>0</v>
      </c>
      <c r="Q24" s="1013">
        <f>+landbouw!P8</f>
        <v>0</v>
      </c>
      <c r="R24" s="700">
        <f>SUM(C24:Q24)</f>
        <v>8152.0475183669496</v>
      </c>
      <c r="S24" s="67"/>
    </row>
    <row r="25" spans="1:19" s="473" customFormat="1" ht="15" thickBot="1">
      <c r="A25" s="831" t="s">
        <v>848</v>
      </c>
      <c r="B25" s="1015"/>
      <c r="C25" s="1016">
        <f>IF(Onbekend_ele_kWh="---",0,Onbekend_ele_kWh)/1000+IF(REST_rest_ele_kWh="---",0,REST_rest_ele_kWh)/1000</f>
        <v>2490.7197511999998</v>
      </c>
      <c r="D25" s="1016"/>
      <c r="E25" s="1016">
        <f>IF(onbekend_gas_kWh="---",0,onbekend_gas_kWh)/1000+IF(REST_rest_gas_kWh="---",0,REST_rest_gas_kWh)/1000</f>
        <v>2560.3766172000001</v>
      </c>
      <c r="F25" s="1016"/>
      <c r="G25" s="1016"/>
      <c r="H25" s="1016"/>
      <c r="I25" s="1016"/>
      <c r="J25" s="1016"/>
      <c r="K25" s="1016"/>
      <c r="L25" s="1016"/>
      <c r="M25" s="1016"/>
      <c r="N25" s="1016"/>
      <c r="O25" s="1016"/>
      <c r="P25" s="1016"/>
      <c r="Q25" s="1017"/>
      <c r="R25" s="700">
        <f>SUM(C25:Q25)</f>
        <v>5051.0963683999998</v>
      </c>
      <c r="S25" s="67"/>
    </row>
    <row r="26" spans="1:19" s="473" customFormat="1" ht="15.75" thickBot="1">
      <c r="A26" s="705" t="s">
        <v>849</v>
      </c>
      <c r="B26" s="817"/>
      <c r="C26" s="812">
        <f>SUM(C24:C25)</f>
        <v>4026.0795733819996</v>
      </c>
      <c r="D26" s="812">
        <f t="shared" ref="D26:R26" si="2">SUM(D24:D25)</f>
        <v>0</v>
      </c>
      <c r="E26" s="812">
        <f t="shared" si="2"/>
        <v>3304.4053998824602</v>
      </c>
      <c r="F26" s="812">
        <f t="shared" si="2"/>
        <v>39.591034713917175</v>
      </c>
      <c r="G26" s="812">
        <f t="shared" si="2"/>
        <v>5612.0325451496283</v>
      </c>
      <c r="H26" s="812">
        <f t="shared" si="2"/>
        <v>0</v>
      </c>
      <c r="I26" s="812">
        <f t="shared" si="2"/>
        <v>0</v>
      </c>
      <c r="J26" s="812">
        <f t="shared" si="2"/>
        <v>0</v>
      </c>
      <c r="K26" s="812">
        <f t="shared" si="2"/>
        <v>221.03533363894402</v>
      </c>
      <c r="L26" s="812">
        <f t="shared" si="2"/>
        <v>0</v>
      </c>
      <c r="M26" s="812">
        <f t="shared" si="2"/>
        <v>0</v>
      </c>
      <c r="N26" s="812">
        <f t="shared" si="2"/>
        <v>0</v>
      </c>
      <c r="O26" s="812">
        <f t="shared" si="2"/>
        <v>0</v>
      </c>
      <c r="P26" s="812">
        <f t="shared" si="2"/>
        <v>0</v>
      </c>
      <c r="Q26" s="812">
        <f t="shared" si="2"/>
        <v>0</v>
      </c>
      <c r="R26" s="812">
        <f t="shared" si="2"/>
        <v>13203.143886766949</v>
      </c>
      <c r="S26" s="67"/>
    </row>
    <row r="27" spans="1:19" s="473" customFormat="1" ht="17.25" thickTop="1" thickBot="1">
      <c r="A27" s="706" t="s">
        <v>116</v>
      </c>
      <c r="B27" s="805"/>
      <c r="C27" s="707">
        <f ca="1">C22+C16+C26</f>
        <v>133364.29356730497</v>
      </c>
      <c r="D27" s="707">
        <f t="shared" ref="D27:R27" ca="1" si="3">D22+D16+D26</f>
        <v>0</v>
      </c>
      <c r="E27" s="707">
        <f t="shared" ca="1" si="3"/>
        <v>157741.24459479772</v>
      </c>
      <c r="F27" s="707">
        <f t="shared" si="3"/>
        <v>9131.8131088401678</v>
      </c>
      <c r="G27" s="707">
        <f t="shared" ca="1" si="3"/>
        <v>34083.905257293416</v>
      </c>
      <c r="H27" s="707">
        <f t="shared" si="3"/>
        <v>101233.39862789765</v>
      </c>
      <c r="I27" s="707">
        <f t="shared" si="3"/>
        <v>18198.392274331938</v>
      </c>
      <c r="J27" s="707">
        <f t="shared" si="3"/>
        <v>0</v>
      </c>
      <c r="K27" s="707">
        <f t="shared" si="3"/>
        <v>2903.1400406963471</v>
      </c>
      <c r="L27" s="707">
        <f t="shared" si="3"/>
        <v>0</v>
      </c>
      <c r="M27" s="707">
        <f t="shared" ca="1" si="3"/>
        <v>0</v>
      </c>
      <c r="N27" s="707">
        <f t="shared" si="3"/>
        <v>3734.4321811387072</v>
      </c>
      <c r="O27" s="707">
        <f t="shared" ca="1" si="3"/>
        <v>37238.651623693528</v>
      </c>
      <c r="P27" s="707">
        <f t="shared" si="3"/>
        <v>192.29</v>
      </c>
      <c r="Q27" s="707">
        <f t="shared" si="3"/>
        <v>667.33333333333337</v>
      </c>
      <c r="R27" s="707">
        <f t="shared" ca="1" si="3"/>
        <v>498488.89460932778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3743.5020918670266</v>
      </c>
      <c r="D40" s="1012">
        <f ca="1">tertiair!C20</f>
        <v>0</v>
      </c>
      <c r="E40" s="1012">
        <f ca="1">tertiair!D20</f>
        <v>5036.5538973898192</v>
      </c>
      <c r="F40" s="1012">
        <f>tertiair!E20</f>
        <v>93.721695255537313</v>
      </c>
      <c r="G40" s="1012">
        <f ca="1">tertiair!F20</f>
        <v>1281.6211547436203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10155.398839256002</v>
      </c>
    </row>
    <row r="41" spans="1:18">
      <c r="A41" s="822" t="s">
        <v>225</v>
      </c>
      <c r="B41" s="829"/>
      <c r="C41" s="1012">
        <f ca="1">huishoudens!B12</f>
        <v>6343.6250336416842</v>
      </c>
      <c r="D41" s="1012">
        <f ca="1">huishoudens!C12</f>
        <v>0</v>
      </c>
      <c r="E41" s="1012">
        <f>huishoudens!D12</f>
        <v>17407.441151205327</v>
      </c>
      <c r="F41" s="1012">
        <f>huishoudens!E12</f>
        <v>973.33687352716026</v>
      </c>
      <c r="G41" s="1012">
        <f>huishoudens!F12</f>
        <v>1662.5350486260606</v>
      </c>
      <c r="H41" s="1012">
        <f>huishoudens!G12</f>
        <v>0</v>
      </c>
      <c r="I41" s="1012">
        <f>huishoudens!H12</f>
        <v>0</v>
      </c>
      <c r="J41" s="1012">
        <f>huishoudens!I12</f>
        <v>0</v>
      </c>
      <c r="K41" s="1012">
        <f>huishoudens!J12</f>
        <v>703.49855149217387</v>
      </c>
      <c r="L41" s="1012">
        <f>huishoudens!K12</f>
        <v>0</v>
      </c>
      <c r="M41" s="1012">
        <f>huishoudens!L12</f>
        <v>0</v>
      </c>
      <c r="N41" s="1012">
        <f>huishoudens!M12</f>
        <v>0</v>
      </c>
      <c r="O41" s="1012">
        <f>huishoudens!N12</f>
        <v>0</v>
      </c>
      <c r="P41" s="1012">
        <f>huishoudens!O12</f>
        <v>0</v>
      </c>
      <c r="Q41" s="774">
        <f>huishoudens!P12</f>
        <v>0</v>
      </c>
      <c r="R41" s="850">
        <f t="shared" ca="1" si="4"/>
        <v>27090.43665849241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13127.467923182397</v>
      </c>
      <c r="D43" s="1012">
        <f ca="1">industrie!C22</f>
        <v>0</v>
      </c>
      <c r="E43" s="1012">
        <f>industrie!D22</f>
        <v>8738.688400726749</v>
      </c>
      <c r="F43" s="1012">
        <f>industrie!E22</f>
        <v>934.65938287364975</v>
      </c>
      <c r="G43" s="1012">
        <f>industrie!F22</f>
        <v>4657.8338107727122</v>
      </c>
      <c r="H43" s="1012">
        <f>industrie!G22</f>
        <v>0</v>
      </c>
      <c r="I43" s="1012">
        <f>industrie!H22</f>
        <v>0</v>
      </c>
      <c r="J43" s="1012">
        <f>industrie!I22</f>
        <v>0</v>
      </c>
      <c r="K43" s="1012">
        <f>industrie!J22</f>
        <v>245.96651480614679</v>
      </c>
      <c r="L43" s="1012">
        <f>industrie!K22</f>
        <v>0</v>
      </c>
      <c r="M43" s="1012">
        <f>industrie!L22</f>
        <v>0</v>
      </c>
      <c r="N43" s="1012">
        <f>industrie!M22</f>
        <v>0</v>
      </c>
      <c r="O43" s="1012">
        <f>industrie!N22</f>
        <v>0</v>
      </c>
      <c r="P43" s="1012">
        <f>industrie!O22</f>
        <v>0</v>
      </c>
      <c r="Q43" s="774">
        <f>industrie!P22</f>
        <v>0</v>
      </c>
      <c r="R43" s="849">
        <f t="shared" ca="1" si="4"/>
        <v>27704.616032361657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23214.59504869111</v>
      </c>
      <c r="D46" s="732">
        <f t="shared" ref="D46:Q46" ca="1" si="5">SUM(D39:D45)</f>
        <v>0</v>
      </c>
      <c r="E46" s="732">
        <f t="shared" ca="1" si="5"/>
        <v>31182.683449321892</v>
      </c>
      <c r="F46" s="732">
        <f t="shared" si="5"/>
        <v>2001.7179516563474</v>
      </c>
      <c r="G46" s="732">
        <f t="shared" ca="1" si="5"/>
        <v>7601.9900141423932</v>
      </c>
      <c r="H46" s="732">
        <f t="shared" si="5"/>
        <v>0</v>
      </c>
      <c r="I46" s="732">
        <f t="shared" si="5"/>
        <v>0</v>
      </c>
      <c r="J46" s="732">
        <f t="shared" si="5"/>
        <v>0</v>
      </c>
      <c r="K46" s="732">
        <f t="shared" si="5"/>
        <v>949.46506629832061</v>
      </c>
      <c r="L46" s="732">
        <f t="shared" si="5"/>
        <v>0</v>
      </c>
      <c r="M46" s="732">
        <f t="shared" ca="1" si="5"/>
        <v>0</v>
      </c>
      <c r="N46" s="732">
        <f t="shared" si="5"/>
        <v>0</v>
      </c>
      <c r="O46" s="732">
        <f t="shared" ca="1" si="5"/>
        <v>0</v>
      </c>
      <c r="P46" s="732">
        <f t="shared" si="5"/>
        <v>0</v>
      </c>
      <c r="Q46" s="732">
        <f t="shared" si="5"/>
        <v>0</v>
      </c>
      <c r="R46" s="732">
        <f ca="1">SUM(R39:R45)</f>
        <v>64950.451530110069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69.352105590716008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69.352105590716008</v>
      </c>
    </row>
    <row r="50" spans="1:18">
      <c r="A50" s="825" t="s">
        <v>307</v>
      </c>
      <c r="B50" s="835"/>
      <c r="C50" s="703">
        <f ca="1">transport!B18</f>
        <v>5.1499189113214241</v>
      </c>
      <c r="D50" s="703">
        <f>transport!C18</f>
        <v>0</v>
      </c>
      <c r="E50" s="703">
        <f>transport!D18</f>
        <v>13.558068050987925</v>
      </c>
      <c r="F50" s="703">
        <f>transport!E18</f>
        <v>62.216459170311516</v>
      </c>
      <c r="G50" s="703">
        <f>transport!F18</f>
        <v>0</v>
      </c>
      <c r="H50" s="703">
        <f>transport!G18</f>
        <v>26959.965328057959</v>
      </c>
      <c r="I50" s="703">
        <f>transport!H18</f>
        <v>4531.3996763086525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31572.289450499229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5.1499189113214241</v>
      </c>
      <c r="D52" s="732">
        <f t="shared" ref="D52:Q52" ca="1" si="6">SUM(D48:D51)</f>
        <v>0</v>
      </c>
      <c r="E52" s="732">
        <f t="shared" si="6"/>
        <v>13.558068050987925</v>
      </c>
      <c r="F52" s="732">
        <f t="shared" si="6"/>
        <v>62.216459170311516</v>
      </c>
      <c r="G52" s="732">
        <f t="shared" si="6"/>
        <v>0</v>
      </c>
      <c r="H52" s="732">
        <f t="shared" si="6"/>
        <v>27029.317433648674</v>
      </c>
      <c r="I52" s="732">
        <f t="shared" si="6"/>
        <v>4531.3996763086525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31641.641556089944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275.63905827742849</v>
      </c>
      <c r="D54" s="703">
        <f ca="1">+landbouw!C12</f>
        <v>0</v>
      </c>
      <c r="E54" s="703">
        <f>+landbouw!D12</f>
        <v>150.29381410185695</v>
      </c>
      <c r="F54" s="703">
        <f>+landbouw!E12</f>
        <v>8.9871648800591988</v>
      </c>
      <c r="G54" s="703">
        <f>+landbouw!F12</f>
        <v>1498.4126895549509</v>
      </c>
      <c r="H54" s="703">
        <f>+landbouw!G12</f>
        <v>0</v>
      </c>
      <c r="I54" s="703">
        <f>+landbouw!H12</f>
        <v>0</v>
      </c>
      <c r="J54" s="703">
        <f>+landbouw!I12</f>
        <v>0</v>
      </c>
      <c r="K54" s="703">
        <f>+landbouw!J12</f>
        <v>78.246508108186177</v>
      </c>
      <c r="L54" s="703">
        <f>+landbouw!K12</f>
        <v>0</v>
      </c>
      <c r="M54" s="703">
        <f>+landbouw!L12</f>
        <v>0</v>
      </c>
      <c r="N54" s="703">
        <f>+landbouw!M12</f>
        <v>0</v>
      </c>
      <c r="O54" s="703">
        <f>+landbouw!N12</f>
        <v>0</v>
      </c>
      <c r="P54" s="703">
        <f>+landbouw!O12</f>
        <v>0</v>
      </c>
      <c r="Q54" s="704">
        <f>+landbouw!P12</f>
        <v>0</v>
      </c>
      <c r="R54" s="731">
        <f ca="1">SUM(C54:Q54)</f>
        <v>2011.5792349224816</v>
      </c>
    </row>
    <row r="55" spans="1:18" ht="15" thickBot="1">
      <c r="A55" s="825" t="s">
        <v>848</v>
      </c>
      <c r="B55" s="835"/>
      <c r="C55" s="703">
        <f ca="1">C25*'EF ele_warmte'!B12</f>
        <v>447.15228100607237</v>
      </c>
      <c r="D55" s="703"/>
      <c r="E55" s="703">
        <f>E25*EF_CO2_aardgas</f>
        <v>517.19607667440005</v>
      </c>
      <c r="F55" s="703"/>
      <c r="G55" s="703"/>
      <c r="H55" s="703"/>
      <c r="I55" s="703"/>
      <c r="J55" s="703"/>
      <c r="K55" s="703"/>
      <c r="L55" s="703"/>
      <c r="M55" s="703"/>
      <c r="N55" s="703"/>
      <c r="O55" s="703"/>
      <c r="P55" s="703"/>
      <c r="Q55" s="704"/>
      <c r="R55" s="731">
        <f ca="1">SUM(C55:Q55)</f>
        <v>964.34835768047242</v>
      </c>
    </row>
    <row r="56" spans="1:18" ht="15.75" thickBot="1">
      <c r="A56" s="823" t="s">
        <v>849</v>
      </c>
      <c r="B56" s="836"/>
      <c r="C56" s="732">
        <f ca="1">SUM(C54:C55)</f>
        <v>722.79133928350086</v>
      </c>
      <c r="D56" s="732">
        <f t="shared" ref="D56:Q56" ca="1" si="7">SUM(D54:D55)</f>
        <v>0</v>
      </c>
      <c r="E56" s="732">
        <f t="shared" si="7"/>
        <v>667.48989077625697</v>
      </c>
      <c r="F56" s="732">
        <f t="shared" si="7"/>
        <v>8.9871648800591988</v>
      </c>
      <c r="G56" s="732">
        <f t="shared" si="7"/>
        <v>1498.4126895549509</v>
      </c>
      <c r="H56" s="732">
        <f t="shared" si="7"/>
        <v>0</v>
      </c>
      <c r="I56" s="732">
        <f t="shared" si="7"/>
        <v>0</v>
      </c>
      <c r="J56" s="732">
        <f t="shared" si="7"/>
        <v>0</v>
      </c>
      <c r="K56" s="732">
        <f t="shared" si="7"/>
        <v>78.246508108186177</v>
      </c>
      <c r="L56" s="732">
        <f t="shared" si="7"/>
        <v>0</v>
      </c>
      <c r="M56" s="732">
        <f t="shared" si="7"/>
        <v>0</v>
      </c>
      <c r="N56" s="732">
        <f t="shared" si="7"/>
        <v>0</v>
      </c>
      <c r="O56" s="732">
        <f t="shared" si="7"/>
        <v>0</v>
      </c>
      <c r="P56" s="732">
        <f t="shared" si="7"/>
        <v>0</v>
      </c>
      <c r="Q56" s="733">
        <f t="shared" si="7"/>
        <v>0</v>
      </c>
      <c r="R56" s="734">
        <f ca="1">SUM(R54:R55)</f>
        <v>2975.9275926029541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23942.53630688593</v>
      </c>
      <c r="D61" s="740">
        <f t="shared" ref="D61:Q61" ca="1" si="8">D46+D52+D56</f>
        <v>0</v>
      </c>
      <c r="E61" s="740">
        <f t="shared" ca="1" si="8"/>
        <v>31863.731408149139</v>
      </c>
      <c r="F61" s="740">
        <f t="shared" si="8"/>
        <v>2072.9215757067182</v>
      </c>
      <c r="G61" s="740">
        <f t="shared" ca="1" si="8"/>
        <v>9100.4027036973439</v>
      </c>
      <c r="H61" s="740">
        <f t="shared" si="8"/>
        <v>27029.317433648674</v>
      </c>
      <c r="I61" s="740">
        <f t="shared" si="8"/>
        <v>4531.3996763086525</v>
      </c>
      <c r="J61" s="740">
        <f t="shared" si="8"/>
        <v>0</v>
      </c>
      <c r="K61" s="740">
        <f t="shared" si="8"/>
        <v>1027.7115744065068</v>
      </c>
      <c r="L61" s="740">
        <f t="shared" si="8"/>
        <v>0</v>
      </c>
      <c r="M61" s="740">
        <f t="shared" ca="1" si="8"/>
        <v>0</v>
      </c>
      <c r="N61" s="740">
        <f t="shared" si="8"/>
        <v>0</v>
      </c>
      <c r="O61" s="740">
        <f t="shared" ca="1" si="8"/>
        <v>0</v>
      </c>
      <c r="P61" s="740">
        <f t="shared" si="8"/>
        <v>0</v>
      </c>
      <c r="Q61" s="740">
        <f t="shared" si="8"/>
        <v>0</v>
      </c>
      <c r="R61" s="740">
        <f ca="1">R46+R52+R56</f>
        <v>99568.020678802961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0.17952733573925353</v>
      </c>
      <c r="D63" s="781">
        <f t="shared" ca="1" si="9"/>
        <v>0</v>
      </c>
      <c r="E63" s="1023">
        <f t="shared" ca="1" si="9"/>
        <v>0.20199999999999999</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18961.401421489965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6065.6237888650858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25027.025210355052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18961.401421489965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6065.6237888650858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25027.025210355052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35335.14830774963</v>
      </c>
      <c r="C4" s="477">
        <f>huishoudens!C8</f>
        <v>0</v>
      </c>
      <c r="D4" s="477">
        <f>huishoudens!D8</f>
        <v>86175.451243590724</v>
      </c>
      <c r="E4" s="477">
        <f>huishoudens!E8</f>
        <v>4287.8276366835253</v>
      </c>
      <c r="F4" s="477">
        <f>huishoudens!F8</f>
        <v>6226.7230285620244</v>
      </c>
      <c r="G4" s="477">
        <f>huishoudens!G8</f>
        <v>0</v>
      </c>
      <c r="H4" s="477">
        <f>huishoudens!H8</f>
        <v>0</v>
      </c>
      <c r="I4" s="477">
        <f>huishoudens!I8</f>
        <v>0</v>
      </c>
      <c r="J4" s="477">
        <f>huishoudens!J8</f>
        <v>1987.284043763203</v>
      </c>
      <c r="K4" s="477">
        <f>huishoudens!K8</f>
        <v>0</v>
      </c>
      <c r="L4" s="477">
        <f>huishoudens!L8</f>
        <v>0</v>
      </c>
      <c r="M4" s="477">
        <f>huishoudens!M8</f>
        <v>0</v>
      </c>
      <c r="N4" s="477">
        <f>huishoudens!N8</f>
        <v>14356.883065884904</v>
      </c>
      <c r="O4" s="477">
        <f>huishoudens!O8</f>
        <v>186.03666666666666</v>
      </c>
      <c r="P4" s="478">
        <f>huishoudens!P8</f>
        <v>629.20000000000005</v>
      </c>
      <c r="Q4" s="479">
        <f>SUM(B4:P4)</f>
        <v>149184.55399290068</v>
      </c>
    </row>
    <row r="5" spans="1:17">
      <c r="A5" s="476" t="s">
        <v>156</v>
      </c>
      <c r="B5" s="477">
        <f ca="1">tertiair!B16</f>
        <v>19499.76534442</v>
      </c>
      <c r="C5" s="477">
        <f ca="1">tertiair!C16</f>
        <v>0</v>
      </c>
      <c r="D5" s="477">
        <f ca="1">tertiair!D16</f>
        <v>24933.435135593161</v>
      </c>
      <c r="E5" s="477">
        <f>tertiair!E16</f>
        <v>412.87090420941547</v>
      </c>
      <c r="F5" s="477">
        <f ca="1">tertiair!F16</f>
        <v>4800.0792312495141</v>
      </c>
      <c r="G5" s="477">
        <f>tertiair!G16</f>
        <v>0</v>
      </c>
      <c r="H5" s="477">
        <f>tertiair!H16</f>
        <v>0</v>
      </c>
      <c r="I5" s="477">
        <f>tertiair!I16</f>
        <v>0</v>
      </c>
      <c r="J5" s="477">
        <f>tertiair!J16</f>
        <v>0</v>
      </c>
      <c r="K5" s="477">
        <f>tertiair!K16</f>
        <v>0</v>
      </c>
      <c r="L5" s="477">
        <f ca="1">tertiair!L16</f>
        <v>0</v>
      </c>
      <c r="M5" s="477">
        <f>tertiair!M16</f>
        <v>0</v>
      </c>
      <c r="N5" s="477">
        <f ca="1">tertiair!N16</f>
        <v>1451.8110399449902</v>
      </c>
      <c r="O5" s="477">
        <f>tertiair!O16</f>
        <v>6.2533333333333339</v>
      </c>
      <c r="P5" s="478">
        <f>tertiair!P16</f>
        <v>38.133333333333333</v>
      </c>
      <c r="Q5" s="476">
        <f t="shared" ref="Q5:Q14" ca="1" si="0">SUM(B5:P5)</f>
        <v>51142.348322083737</v>
      </c>
    </row>
    <row r="6" spans="1:17">
      <c r="A6" s="476" t="s">
        <v>194</v>
      </c>
      <c r="B6" s="477">
        <f>'openbare verlichting'!B8</f>
        <v>1352.2239999999999</v>
      </c>
      <c r="C6" s="477"/>
      <c r="D6" s="477"/>
      <c r="E6" s="477"/>
      <c r="F6" s="477"/>
      <c r="G6" s="477"/>
      <c r="H6" s="477"/>
      <c r="I6" s="477"/>
      <c r="J6" s="477"/>
      <c r="K6" s="477"/>
      <c r="L6" s="477"/>
      <c r="M6" s="477"/>
      <c r="N6" s="477"/>
      <c r="O6" s="477"/>
      <c r="P6" s="478"/>
      <c r="Q6" s="476">
        <f t="shared" si="0"/>
        <v>1352.2239999999999</v>
      </c>
    </row>
    <row r="7" spans="1:17">
      <c r="A7" s="476" t="s">
        <v>112</v>
      </c>
      <c r="B7" s="477">
        <f>landbouw!B8</f>
        <v>1535.359822182</v>
      </c>
      <c r="C7" s="477">
        <f>landbouw!C8</f>
        <v>0</v>
      </c>
      <c r="D7" s="477">
        <f>landbouw!D8</f>
        <v>744.02878268246013</v>
      </c>
      <c r="E7" s="477">
        <f>landbouw!E8</f>
        <v>39.591034713917175</v>
      </c>
      <c r="F7" s="477">
        <f>landbouw!F8</f>
        <v>5612.0325451496283</v>
      </c>
      <c r="G7" s="477">
        <f>landbouw!G8</f>
        <v>0</v>
      </c>
      <c r="H7" s="477">
        <f>landbouw!H8</f>
        <v>0</v>
      </c>
      <c r="I7" s="477">
        <f>landbouw!I8</f>
        <v>0</v>
      </c>
      <c r="J7" s="477">
        <f>landbouw!J8</f>
        <v>221.03533363894402</v>
      </c>
      <c r="K7" s="477">
        <f>landbouw!K8</f>
        <v>0</v>
      </c>
      <c r="L7" s="477">
        <f>landbouw!L8</f>
        <v>0</v>
      </c>
      <c r="M7" s="477">
        <f>landbouw!M8</f>
        <v>0</v>
      </c>
      <c r="N7" s="477">
        <f>landbouw!N8</f>
        <v>0</v>
      </c>
      <c r="O7" s="477">
        <f>landbouw!O8</f>
        <v>0</v>
      </c>
      <c r="P7" s="478">
        <f>landbouw!P8</f>
        <v>0</v>
      </c>
      <c r="Q7" s="476">
        <f t="shared" si="0"/>
        <v>8152.0475183669496</v>
      </c>
    </row>
    <row r="8" spans="1:17">
      <c r="A8" s="476" t="s">
        <v>638</v>
      </c>
      <c r="B8" s="477">
        <f>industrie!B18</f>
        <v>73122.390354239993</v>
      </c>
      <c r="C8" s="477">
        <f>industrie!C18</f>
        <v>0</v>
      </c>
      <c r="D8" s="477">
        <f>industrie!D18</f>
        <v>43260.833666964099</v>
      </c>
      <c r="E8" s="477">
        <f>industrie!E18</f>
        <v>4117.4422153024216</v>
      </c>
      <c r="F8" s="477">
        <f>industrie!F18</f>
        <v>17445.070452332253</v>
      </c>
      <c r="G8" s="477">
        <f>industrie!G18</f>
        <v>0</v>
      </c>
      <c r="H8" s="477">
        <f>industrie!H18</f>
        <v>0</v>
      </c>
      <c r="I8" s="477">
        <f>industrie!I18</f>
        <v>0</v>
      </c>
      <c r="J8" s="477">
        <f>industrie!J18</f>
        <v>694.82066329420002</v>
      </c>
      <c r="K8" s="477">
        <f>industrie!K18</f>
        <v>0</v>
      </c>
      <c r="L8" s="477">
        <f>industrie!L18</f>
        <v>0</v>
      </c>
      <c r="M8" s="477">
        <f>industrie!M18</f>
        <v>0</v>
      </c>
      <c r="N8" s="477">
        <f>industrie!N18</f>
        <v>21429.95751786363</v>
      </c>
      <c r="O8" s="477">
        <f>industrie!O18</f>
        <v>0</v>
      </c>
      <c r="P8" s="478">
        <f>industrie!P18</f>
        <v>0</v>
      </c>
      <c r="Q8" s="476">
        <f t="shared" si="0"/>
        <v>160070.51486999661</v>
      </c>
    </row>
    <row r="9" spans="1:17" s="482" customFormat="1">
      <c r="A9" s="480" t="s">
        <v>564</v>
      </c>
      <c r="B9" s="481">
        <f>transport!B14</f>
        <v>28.685987513351137</v>
      </c>
      <c r="C9" s="481">
        <f>transport!C14</f>
        <v>0</v>
      </c>
      <c r="D9" s="481">
        <f>transport!D14</f>
        <v>67.11914876726695</v>
      </c>
      <c r="E9" s="481">
        <f>transport!E14</f>
        <v>274.08131793088774</v>
      </c>
      <c r="F9" s="481">
        <f>transport!F14</f>
        <v>0</v>
      </c>
      <c r="G9" s="481">
        <f>transport!G14</f>
        <v>100973.65291407474</v>
      </c>
      <c r="H9" s="481">
        <f>transport!H14</f>
        <v>18198.392274331938</v>
      </c>
      <c r="I9" s="481">
        <f>transport!I14</f>
        <v>0</v>
      </c>
      <c r="J9" s="481">
        <f>transport!J14</f>
        <v>0</v>
      </c>
      <c r="K9" s="481">
        <f>transport!K14</f>
        <v>0</v>
      </c>
      <c r="L9" s="481">
        <f>transport!L14</f>
        <v>0</v>
      </c>
      <c r="M9" s="481">
        <f>transport!M14</f>
        <v>3726.375450194379</v>
      </c>
      <c r="N9" s="481">
        <f>transport!N14</f>
        <v>0</v>
      </c>
      <c r="O9" s="481">
        <f>transport!O14</f>
        <v>0</v>
      </c>
      <c r="P9" s="481">
        <f>transport!P14</f>
        <v>0</v>
      </c>
      <c r="Q9" s="480">
        <f>SUM(B9:P9)</f>
        <v>123268.30709281257</v>
      </c>
    </row>
    <row r="10" spans="1:17">
      <c r="A10" s="476" t="s">
        <v>554</v>
      </c>
      <c r="B10" s="477">
        <f>transport!B54</f>
        <v>0</v>
      </c>
      <c r="C10" s="477">
        <f>transport!C54</f>
        <v>0</v>
      </c>
      <c r="D10" s="477">
        <f>transport!D54</f>
        <v>0</v>
      </c>
      <c r="E10" s="477">
        <f>transport!E54</f>
        <v>0</v>
      </c>
      <c r="F10" s="477">
        <f>transport!F54</f>
        <v>0</v>
      </c>
      <c r="G10" s="477">
        <f>transport!G54</f>
        <v>259.7457138229064</v>
      </c>
      <c r="H10" s="477">
        <f>transport!H54</f>
        <v>0</v>
      </c>
      <c r="I10" s="477">
        <f>transport!I54</f>
        <v>0</v>
      </c>
      <c r="J10" s="477">
        <f>transport!J54</f>
        <v>0</v>
      </c>
      <c r="K10" s="477">
        <f>transport!K54</f>
        <v>0</v>
      </c>
      <c r="L10" s="477">
        <f>transport!L54</f>
        <v>0</v>
      </c>
      <c r="M10" s="477">
        <f>transport!M54</f>
        <v>8.0567309443281214</v>
      </c>
      <c r="N10" s="477">
        <f>transport!N54</f>
        <v>0</v>
      </c>
      <c r="O10" s="477">
        <f>transport!O54</f>
        <v>0</v>
      </c>
      <c r="P10" s="478">
        <f>transport!P54</f>
        <v>0</v>
      </c>
      <c r="Q10" s="476">
        <f t="shared" si="0"/>
        <v>267.80244476723453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2490.7197511999998</v>
      </c>
      <c r="C14" s="484"/>
      <c r="D14" s="484">
        <f>'SEAP template'!E25</f>
        <v>2560.3766172000001</v>
      </c>
      <c r="E14" s="484"/>
      <c r="F14" s="484"/>
      <c r="G14" s="484"/>
      <c r="H14" s="484"/>
      <c r="I14" s="484"/>
      <c r="J14" s="484"/>
      <c r="K14" s="484"/>
      <c r="L14" s="484"/>
      <c r="M14" s="484"/>
      <c r="N14" s="484"/>
      <c r="O14" s="484"/>
      <c r="P14" s="485"/>
      <c r="Q14" s="476">
        <f t="shared" si="0"/>
        <v>5051.0963683999998</v>
      </c>
    </row>
    <row r="15" spans="1:17" s="486" customFormat="1">
      <c r="A15" s="1038" t="s">
        <v>558</v>
      </c>
      <c r="B15" s="978">
        <f ca="1">SUM(B4:B14)</f>
        <v>133364.29356730499</v>
      </c>
      <c r="C15" s="978">
        <f t="shared" ref="C15:Q15" ca="1" si="1">SUM(C4:C14)</f>
        <v>0</v>
      </c>
      <c r="D15" s="978">
        <f t="shared" ca="1" si="1"/>
        <v>157741.2445947977</v>
      </c>
      <c r="E15" s="978">
        <f t="shared" si="1"/>
        <v>9131.813108840166</v>
      </c>
      <c r="F15" s="978">
        <f t="shared" ca="1" si="1"/>
        <v>34083.905257293416</v>
      </c>
      <c r="G15" s="978">
        <f t="shared" si="1"/>
        <v>101233.39862789765</v>
      </c>
      <c r="H15" s="978">
        <f t="shared" si="1"/>
        <v>18198.392274331938</v>
      </c>
      <c r="I15" s="978">
        <f t="shared" si="1"/>
        <v>0</v>
      </c>
      <c r="J15" s="978">
        <f t="shared" si="1"/>
        <v>2903.1400406963471</v>
      </c>
      <c r="K15" s="978">
        <f t="shared" si="1"/>
        <v>0</v>
      </c>
      <c r="L15" s="978">
        <f t="shared" ca="1" si="1"/>
        <v>0</v>
      </c>
      <c r="M15" s="978">
        <f t="shared" si="1"/>
        <v>3734.4321811387072</v>
      </c>
      <c r="N15" s="978">
        <f t="shared" ca="1" si="1"/>
        <v>37238.651623693528</v>
      </c>
      <c r="O15" s="978">
        <f t="shared" si="1"/>
        <v>192.29</v>
      </c>
      <c r="P15" s="978">
        <f t="shared" si="1"/>
        <v>667.33333333333337</v>
      </c>
      <c r="Q15" s="978">
        <f t="shared" ca="1" si="1"/>
        <v>498488.89460932766</v>
      </c>
    </row>
    <row r="17" spans="1:17">
      <c r="A17" s="487" t="s">
        <v>559</v>
      </c>
      <c r="B17" s="786">
        <f ca="1">huishoudens!B10</f>
        <v>0.17952733573925353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6343.6250336416842</v>
      </c>
      <c r="C22" s="477">
        <f t="shared" ref="C22:C32" ca="1" si="3">C4*$C$17</f>
        <v>0</v>
      </c>
      <c r="D22" s="477">
        <f t="shared" ref="D22:D32" si="4">D4*$D$17</f>
        <v>17407.441151205327</v>
      </c>
      <c r="E22" s="477">
        <f t="shared" ref="E22:E32" si="5">E4*$E$17</f>
        <v>973.33687352716026</v>
      </c>
      <c r="F22" s="477">
        <f t="shared" ref="F22:F32" si="6">F4*$F$17</f>
        <v>1662.5350486260606</v>
      </c>
      <c r="G22" s="477">
        <f t="shared" ref="G22:G32" si="7">G4*$G$17</f>
        <v>0</v>
      </c>
      <c r="H22" s="477">
        <f t="shared" ref="H22:H32" si="8">H4*$H$17</f>
        <v>0</v>
      </c>
      <c r="I22" s="477">
        <f t="shared" ref="I22:I32" si="9">I4*$I$17</f>
        <v>0</v>
      </c>
      <c r="J22" s="477">
        <f t="shared" ref="J22:J32" si="10">J4*$J$17</f>
        <v>703.49855149217387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27090.43665849241</v>
      </c>
    </row>
    <row r="23" spans="1:17">
      <c r="A23" s="476" t="s">
        <v>156</v>
      </c>
      <c r="B23" s="477">
        <f t="shared" ca="1" si="2"/>
        <v>3500.7409198243504</v>
      </c>
      <c r="C23" s="477">
        <f t="shared" ca="1" si="3"/>
        <v>0</v>
      </c>
      <c r="D23" s="477">
        <f t="shared" ca="1" si="4"/>
        <v>5036.5538973898192</v>
      </c>
      <c r="E23" s="477">
        <f t="shared" si="5"/>
        <v>93.721695255537313</v>
      </c>
      <c r="F23" s="477">
        <f t="shared" ca="1" si="6"/>
        <v>1281.6211547436203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9912.6376672133265</v>
      </c>
    </row>
    <row r="24" spans="1:17">
      <c r="A24" s="476" t="s">
        <v>194</v>
      </c>
      <c r="B24" s="477">
        <f t="shared" ca="1" si="2"/>
        <v>242.76117204267635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242.76117204267635</v>
      </c>
    </row>
    <row r="25" spans="1:17">
      <c r="A25" s="476" t="s">
        <v>112</v>
      </c>
      <c r="B25" s="477">
        <f t="shared" ca="1" si="2"/>
        <v>275.63905827742849</v>
      </c>
      <c r="C25" s="477">
        <f t="shared" ca="1" si="3"/>
        <v>0</v>
      </c>
      <c r="D25" s="477">
        <f t="shared" si="4"/>
        <v>150.29381410185695</v>
      </c>
      <c r="E25" s="477">
        <f t="shared" si="5"/>
        <v>8.9871648800591988</v>
      </c>
      <c r="F25" s="477">
        <f t="shared" si="6"/>
        <v>1498.4126895549509</v>
      </c>
      <c r="G25" s="477">
        <f t="shared" si="7"/>
        <v>0</v>
      </c>
      <c r="H25" s="477">
        <f t="shared" si="8"/>
        <v>0</v>
      </c>
      <c r="I25" s="477">
        <f t="shared" si="9"/>
        <v>0</v>
      </c>
      <c r="J25" s="477">
        <f t="shared" si="10"/>
        <v>78.246508108186177</v>
      </c>
      <c r="K25" s="477">
        <f t="shared" si="11"/>
        <v>0</v>
      </c>
      <c r="L25" s="477">
        <f t="shared" si="12"/>
        <v>0</v>
      </c>
      <c r="M25" s="477">
        <f t="shared" si="13"/>
        <v>0</v>
      </c>
      <c r="N25" s="477">
        <f t="shared" si="14"/>
        <v>0</v>
      </c>
      <c r="O25" s="477">
        <f t="shared" si="15"/>
        <v>0</v>
      </c>
      <c r="P25" s="478">
        <f t="shared" si="16"/>
        <v>0</v>
      </c>
      <c r="Q25" s="476">
        <f t="shared" ca="1" si="17"/>
        <v>2011.5792349224816</v>
      </c>
    </row>
    <row r="26" spans="1:17">
      <c r="A26" s="476" t="s">
        <v>638</v>
      </c>
      <c r="B26" s="477">
        <f t="shared" ca="1" si="2"/>
        <v>13127.467923182397</v>
      </c>
      <c r="C26" s="477">
        <f t="shared" ca="1" si="3"/>
        <v>0</v>
      </c>
      <c r="D26" s="477">
        <f t="shared" si="4"/>
        <v>8738.688400726749</v>
      </c>
      <c r="E26" s="477">
        <f t="shared" si="5"/>
        <v>934.65938287364975</v>
      </c>
      <c r="F26" s="477">
        <f t="shared" si="6"/>
        <v>4657.8338107727122</v>
      </c>
      <c r="G26" s="477">
        <f t="shared" si="7"/>
        <v>0</v>
      </c>
      <c r="H26" s="477">
        <f t="shared" si="8"/>
        <v>0</v>
      </c>
      <c r="I26" s="477">
        <f t="shared" si="9"/>
        <v>0</v>
      </c>
      <c r="J26" s="477">
        <f t="shared" si="10"/>
        <v>245.96651480614679</v>
      </c>
      <c r="K26" s="477">
        <f t="shared" si="11"/>
        <v>0</v>
      </c>
      <c r="L26" s="477">
        <f t="shared" si="12"/>
        <v>0</v>
      </c>
      <c r="M26" s="477">
        <f t="shared" si="13"/>
        <v>0</v>
      </c>
      <c r="N26" s="477">
        <f t="shared" si="14"/>
        <v>0</v>
      </c>
      <c r="O26" s="477">
        <f t="shared" si="15"/>
        <v>0</v>
      </c>
      <c r="P26" s="478">
        <f t="shared" si="16"/>
        <v>0</v>
      </c>
      <c r="Q26" s="476">
        <f t="shared" ca="1" si="17"/>
        <v>27704.616032361657</v>
      </c>
    </row>
    <row r="27" spans="1:17" s="482" customFormat="1">
      <c r="A27" s="480" t="s">
        <v>564</v>
      </c>
      <c r="B27" s="780">
        <f t="shared" ca="1" si="2"/>
        <v>5.1499189113214241</v>
      </c>
      <c r="C27" s="481">
        <f t="shared" ca="1" si="3"/>
        <v>0</v>
      </c>
      <c r="D27" s="481">
        <f t="shared" si="4"/>
        <v>13.558068050987925</v>
      </c>
      <c r="E27" s="481">
        <f t="shared" si="5"/>
        <v>62.216459170311516</v>
      </c>
      <c r="F27" s="481">
        <f t="shared" si="6"/>
        <v>0</v>
      </c>
      <c r="G27" s="481">
        <f t="shared" si="7"/>
        <v>26959.965328057959</v>
      </c>
      <c r="H27" s="481">
        <f t="shared" si="8"/>
        <v>4531.3996763086525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31572.289450499229</v>
      </c>
    </row>
    <row r="28" spans="1:17">
      <c r="A28" s="476" t="s">
        <v>554</v>
      </c>
      <c r="B28" s="477">
        <f t="shared" ca="1" si="2"/>
        <v>0</v>
      </c>
      <c r="C28" s="477">
        <f t="shared" ca="1" si="3"/>
        <v>0</v>
      </c>
      <c r="D28" s="477">
        <f t="shared" si="4"/>
        <v>0</v>
      </c>
      <c r="E28" s="477">
        <f t="shared" si="5"/>
        <v>0</v>
      </c>
      <c r="F28" s="477">
        <f t="shared" si="6"/>
        <v>0</v>
      </c>
      <c r="G28" s="477">
        <f t="shared" si="7"/>
        <v>69.352105590716008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69.352105590716008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447.15228100607237</v>
      </c>
      <c r="C32" s="477">
        <f t="shared" ca="1" si="3"/>
        <v>0</v>
      </c>
      <c r="D32" s="477">
        <f t="shared" si="4"/>
        <v>517.19607667440005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964.34835768047242</v>
      </c>
    </row>
    <row r="33" spans="1:17" s="486" customFormat="1">
      <c r="A33" s="1038" t="s">
        <v>558</v>
      </c>
      <c r="B33" s="978">
        <f ca="1">SUM(B22:B32)</f>
        <v>23942.53630688593</v>
      </c>
      <c r="C33" s="978">
        <f t="shared" ref="C33:Q33" ca="1" si="18">SUM(C22:C32)</f>
        <v>0</v>
      </c>
      <c r="D33" s="978">
        <f t="shared" ca="1" si="18"/>
        <v>31863.731408149142</v>
      </c>
      <c r="E33" s="978">
        <f t="shared" si="18"/>
        <v>2072.9215757067182</v>
      </c>
      <c r="F33" s="978">
        <f t="shared" ca="1" si="18"/>
        <v>9100.4027036973439</v>
      </c>
      <c r="G33" s="978">
        <f t="shared" si="18"/>
        <v>27029.317433648674</v>
      </c>
      <c r="H33" s="978">
        <f t="shared" si="18"/>
        <v>4531.3996763086525</v>
      </c>
      <c r="I33" s="978">
        <f t="shared" si="18"/>
        <v>0</v>
      </c>
      <c r="J33" s="978">
        <f t="shared" si="18"/>
        <v>1027.7115744065068</v>
      </c>
      <c r="K33" s="978">
        <f t="shared" si="18"/>
        <v>0</v>
      </c>
      <c r="L33" s="978">
        <f t="shared" ca="1" si="18"/>
        <v>0</v>
      </c>
      <c r="M33" s="978">
        <f t="shared" si="18"/>
        <v>0</v>
      </c>
      <c r="N33" s="978">
        <f t="shared" ca="1" si="18"/>
        <v>0</v>
      </c>
      <c r="O33" s="978">
        <f t="shared" si="18"/>
        <v>0</v>
      </c>
      <c r="P33" s="978">
        <f t="shared" si="18"/>
        <v>0</v>
      </c>
      <c r="Q33" s="978">
        <f t="shared" ca="1" si="18"/>
        <v>99568.020678802961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18961.401421489965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6065.6237888650858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25027.025210355052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0.17952733573925353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0.17952733573925353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2019-08-12T08:25:21Z</dcterms:modified>
</cp:coreProperties>
</file>