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E20" s="1"/>
  <c r="O19"/>
  <c r="O20" s="1"/>
  <c r="O90" i="14"/>
  <c r="K17" i="59"/>
  <c r="K90" i="14"/>
  <c r="N19" i="59"/>
  <c r="N20" s="1"/>
  <c r="N90" i="14"/>
  <c r="L78"/>
  <c r="L8" i="59"/>
  <c r="L10" s="1"/>
  <c r="B98" i="18"/>
  <c r="E102" s="1"/>
  <c r="E17" s="1"/>
  <c r="B17"/>
  <c r="B20" s="1"/>
  <c r="D10"/>
  <c r="E77" i="14"/>
  <c r="E9" i="59" s="1"/>
  <c r="E10" s="1"/>
  <c r="P32" i="48"/>
  <c r="P29"/>
  <c r="N10" i="59"/>
  <c r="L20" i="18"/>
  <c r="R9" i="14"/>
  <c r="K22"/>
  <c r="P52"/>
  <c r="Q11" i="48"/>
  <c r="H90" i="14"/>
  <c r="H18" i="59"/>
  <c r="H78" i="14"/>
  <c r="H8" i="59"/>
  <c r="H10" s="1"/>
  <c r="K10"/>
  <c r="H20"/>
  <c r="C98" i="18"/>
  <c r="E101" s="1"/>
  <c r="E8" s="1"/>
  <c r="B10"/>
  <c r="K10"/>
  <c r="B13" i="15"/>
  <c r="K20" i="59"/>
  <c r="F13" i="15"/>
  <c r="L13"/>
  <c r="N13"/>
  <c r="Q77" i="14"/>
  <c r="P9" i="59" s="1"/>
  <c r="O9" i="18"/>
  <c r="O18"/>
  <c r="B89" i="14"/>
  <c r="B19" i="59" s="1"/>
  <c r="G88" i="14"/>
  <c r="F89"/>
  <c r="H101" i="18"/>
  <c r="D101"/>
  <c r="G101"/>
  <c r="C101"/>
  <c r="H102"/>
  <c r="D102"/>
  <c r="G102"/>
  <c r="C102"/>
  <c r="F102"/>
  <c r="B102"/>
  <c r="C17" s="1"/>
  <c r="B77" i="14"/>
  <c r="B9" i="59" s="1"/>
  <c r="Q14" i="48"/>
  <c r="O24"/>
  <c r="O30"/>
  <c r="P24"/>
  <c r="P30"/>
  <c r="C88" i="14"/>
  <c r="C18" i="59" s="1"/>
  <c r="E90" i="14"/>
  <c r="N78"/>
  <c r="O78" l="1"/>
  <c r="O9" i="59"/>
  <c r="O10" s="1"/>
  <c r="G90" i="14"/>
  <c r="G18" i="59"/>
  <c r="G20" s="1"/>
  <c r="C89" i="14"/>
  <c r="C19" i="59" s="1"/>
  <c r="F19"/>
  <c r="C77" i="14"/>
  <c r="C9" i="59" s="1"/>
  <c r="F101" i="18"/>
  <c r="I8" s="1"/>
  <c r="O8" s="1"/>
  <c r="O10" s="1"/>
  <c r="B101"/>
  <c r="C8" s="1"/>
  <c r="C10" s="1"/>
  <c r="Q88" i="14"/>
  <c r="P18" i="59" s="1"/>
  <c r="I102" i="18"/>
  <c r="H17" s="1"/>
  <c r="M87" i="14" s="1"/>
  <c r="I101" i="18"/>
  <c r="H8" s="1"/>
  <c r="E78" i="14"/>
  <c r="B88"/>
  <c r="B18" i="59" s="1"/>
  <c r="Q89" i="14"/>
  <c r="P19" i="59" s="1"/>
  <c r="C20" i="18"/>
  <c r="D87" i="14"/>
  <c r="D17" i="59" s="1"/>
  <c r="D20" s="1"/>
  <c r="J17" i="18"/>
  <c r="J8"/>
  <c r="F87" i="14"/>
  <c r="E20" i="18"/>
  <c r="E10"/>
  <c r="F76" i="14"/>
  <c r="F8" i="59" s="1"/>
  <c r="F10" s="1"/>
  <c r="I17" i="18"/>
  <c r="O17" s="1"/>
  <c r="O20" s="1"/>
  <c r="H20"/>
  <c r="M76" i="14"/>
  <c r="H10" i="18"/>
  <c r="H14" i="15"/>
  <c r="H16" s="1"/>
  <c r="G14"/>
  <c r="G16" s="1"/>
  <c r="M90" i="14" l="1"/>
  <c r="M17" i="59"/>
  <c r="M20" s="1"/>
  <c r="M78" i="14"/>
  <c r="M8" i="59"/>
  <c r="M10" s="1"/>
  <c r="F90" i="14"/>
  <c r="F17" i="59"/>
  <c r="F20" s="1"/>
  <c r="H5" i="48"/>
  <c r="I10" i="14"/>
  <c r="I16" s="1"/>
  <c r="G5" i="48"/>
  <c r="H10" i="14"/>
  <c r="H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32"/>
  <c r="J31"/>
  <c r="J29"/>
  <c r="J28"/>
  <c r="J30"/>
  <c r="J24"/>
  <c r="P4"/>
  <c r="Q11" i="14"/>
  <c r="O4" i="48"/>
  <c r="P11" i="14"/>
  <c r="I32" i="48"/>
  <c r="I31"/>
  <c r="I25"/>
  <c r="I29"/>
  <c r="I26"/>
  <c r="I30"/>
  <c r="I27"/>
  <c r="I24"/>
  <c r="I22"/>
  <c r="I28"/>
  <c r="D4"/>
  <c r="D22" s="1"/>
  <c r="E11" i="14"/>
  <c r="H32" i="48"/>
  <c r="H25"/>
  <c r="H29"/>
  <c r="H26"/>
  <c r="H28"/>
  <c r="H24"/>
  <c r="H22"/>
  <c r="H30"/>
  <c r="H23"/>
  <c r="C4"/>
  <c r="D11" i="14"/>
  <c r="G32" i="48"/>
  <c r="G25"/>
  <c r="G26"/>
  <c r="G22"/>
  <c r="G30"/>
  <c r="G29"/>
  <c r="G24"/>
  <c r="G23"/>
  <c r="B4"/>
  <c r="C11" i="14"/>
  <c r="F28" i="48"/>
  <c r="F32"/>
  <c r="F27"/>
  <c r="F31"/>
  <c r="F29"/>
  <c r="F30"/>
  <c r="F24"/>
  <c r="N28"/>
  <c r="N32"/>
  <c r="N27"/>
  <c r="N29"/>
  <c r="N30"/>
  <c r="N24"/>
  <c r="N31"/>
  <c r="C19" i="14"/>
  <c r="B10" i="48"/>
  <c r="E28"/>
  <c r="E32"/>
  <c r="E31"/>
  <c r="E30"/>
  <c r="E29"/>
  <c r="E24"/>
  <c r="M32"/>
  <c r="M25"/>
  <c r="M26"/>
  <c r="M22"/>
  <c r="M29"/>
  <c r="M24"/>
  <c r="M30"/>
  <c r="M23"/>
  <c r="L10" i="14"/>
  <c r="L16" s="1"/>
  <c r="L27" s="1"/>
  <c r="K5" i="48"/>
  <c r="D28"/>
  <c r="D30"/>
  <c r="D31"/>
  <c r="D24"/>
  <c r="D29"/>
  <c r="D32"/>
  <c r="L28"/>
  <c r="L27"/>
  <c r="L32"/>
  <c r="L31"/>
  <c r="L24"/>
  <c r="L29"/>
  <c r="L22"/>
  <c r="L30"/>
  <c r="P5"/>
  <c r="P23" s="1"/>
  <c r="Q10" i="14"/>
  <c r="K28" i="48"/>
  <c r="K27"/>
  <c r="K32"/>
  <c r="K29"/>
  <c r="K25"/>
  <c r="K31"/>
  <c r="K26"/>
  <c r="K30"/>
  <c r="K24"/>
  <c r="K22"/>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M12" i="22"/>
  <c r="M13" i="48"/>
  <c r="M31" s="1"/>
  <c r="N18" i="14"/>
  <c r="O22" i="48"/>
  <c r="H18" i="14"/>
  <c r="G13" i="48"/>
  <c r="I18" i="14"/>
  <c r="H13" i="48"/>
  <c r="H31" s="1"/>
  <c r="K23"/>
  <c r="K15"/>
  <c r="P8"/>
  <c r="P26" s="1"/>
  <c r="Q13" i="14"/>
  <c r="F20"/>
  <c r="F22" s="1"/>
  <c r="E9" i="48"/>
  <c r="E27" s="1"/>
  <c r="E20" i="14"/>
  <c r="E22" s="1"/>
  <c r="D9" i="48"/>
  <c r="D27" s="1"/>
  <c r="O5"/>
  <c r="O23" s="1"/>
  <c r="P10" i="14"/>
  <c r="J7" i="48"/>
  <c r="J25" s="1"/>
  <c r="K24" i="14"/>
  <c r="K26" s="1"/>
  <c r="B9" i="48"/>
  <c r="C20" i="14"/>
  <c r="P22" i="48"/>
  <c r="J46" i="14"/>
  <c r="J61" s="1"/>
  <c r="Q16"/>
  <c r="Q27" s="1"/>
  <c r="Q63" s="1"/>
  <c r="I20" i="15"/>
  <c r="J40" i="14" s="1"/>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10"/>
  <c r="M28" s="1"/>
  <c r="N19" i="14"/>
  <c r="G10" i="48"/>
  <c r="H19" i="14"/>
  <c r="R18"/>
  <c r="E12" i="13"/>
  <c r="F41" i="14" s="1"/>
  <c r="E4" i="48"/>
  <c r="F11" i="14"/>
  <c r="G31" i="48"/>
  <c r="Q13"/>
  <c r="I23"/>
  <c r="I33" s="1"/>
  <c r="I15"/>
  <c r="J4"/>
  <c r="K11" i="14"/>
  <c r="F24"/>
  <c r="F26" s="1"/>
  <c r="E7" i="48"/>
  <c r="E25" s="1"/>
  <c r="O22" i="16"/>
  <c r="P43" i="14" s="1"/>
  <c r="P13"/>
  <c r="O8" i="48"/>
  <c r="O26" s="1"/>
  <c r="H9"/>
  <c r="I20" i="14"/>
  <c r="P16"/>
  <c r="P27" s="1"/>
  <c r="O33" i="48"/>
  <c r="P46" i="14"/>
  <c r="P61" s="1"/>
  <c r="I22"/>
  <c r="I27" s="1"/>
  <c r="J63"/>
  <c r="M14" i="22"/>
  <c r="P15" i="48"/>
  <c r="G14" i="22"/>
  <c r="P33" i="48"/>
  <c r="C22" i="14"/>
  <c r="O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5" i="48" l="1"/>
  <c r="E23" s="1"/>
  <c r="F10" i="14"/>
  <c r="E22" i="48"/>
  <c r="Q4"/>
  <c r="J5"/>
  <c r="J23" s="1"/>
  <c r="K10" i="14"/>
  <c r="N20"/>
  <c r="N22" s="1"/>
  <c r="N27" s="1"/>
  <c r="M9" i="48"/>
  <c r="G28"/>
  <c r="Q10"/>
  <c r="H20" i="14"/>
  <c r="G9" i="48"/>
  <c r="H27"/>
  <c r="H33" s="1"/>
  <c r="H15"/>
  <c r="J22"/>
  <c r="P63" i="14"/>
  <c r="R11"/>
  <c r="R19"/>
  <c r="R24"/>
  <c r="R26" s="1"/>
  <c r="M18" i="22"/>
  <c r="N50" i="14" s="1"/>
  <c r="N52" s="1"/>
  <c r="N61" s="1"/>
  <c r="N63" s="1"/>
  <c r="I63"/>
  <c r="Q7" i="48"/>
  <c r="E20" i="15"/>
  <c r="F40" i="14" s="1"/>
  <c r="J18" i="16"/>
  <c r="E18"/>
  <c r="F18"/>
  <c r="F22" s="1"/>
  <c r="G43" i="14" s="1"/>
  <c r="N18" i="16"/>
  <c r="G18" i="22"/>
  <c r="H50" i="14" s="1"/>
  <c r="H52" s="1"/>
  <c r="H61" s="1"/>
  <c r="E22" i="16"/>
  <c r="F43" i="14" s="1"/>
  <c r="H18" i="22"/>
  <c r="I50" i="14" s="1"/>
  <c r="I52" s="1"/>
  <c r="I61" s="1"/>
  <c r="M27" i="48" l="1"/>
  <c r="M33" s="1"/>
  <c r="M15"/>
  <c r="J22" i="16"/>
  <c r="K43" i="14" s="1"/>
  <c r="K46" s="1"/>
  <c r="K61" s="1"/>
  <c r="J8" i="48"/>
  <c r="K13" i="14"/>
  <c r="G27" i="48"/>
  <c r="G33" s="1"/>
  <c r="G15"/>
  <c r="Q9"/>
  <c r="E8"/>
  <c r="E26" s="1"/>
  <c r="E33" s="1"/>
  <c r="F13" i="14"/>
  <c r="F16" s="1"/>
  <c r="F27" s="1"/>
  <c r="F46"/>
  <c r="F61" s="1"/>
  <c r="R20"/>
  <c r="R22" s="1"/>
  <c r="E15" i="48"/>
  <c r="H22" i="14"/>
  <c r="H27" s="1"/>
  <c r="H63" s="1"/>
  <c r="K16"/>
  <c r="K27" s="1"/>
  <c r="N8" i="48"/>
  <c r="N26" s="1"/>
  <c r="O13" i="14"/>
  <c r="N22" i="16"/>
  <c r="O43" i="14" s="1"/>
  <c r="G13"/>
  <c r="F8" i="48"/>
  <c r="J26" l="1"/>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<sst xmlns="http://schemas.openxmlformats.org/spreadsheetml/2006/main" count="2392" uniqueCount="890">
  <si>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</si>
  <si>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</si>
  <si>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</si>
  <si>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</si>
  <si>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</si>
  <si>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</si>
  <si>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</si>
  <si>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</si>
  <si>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</si>
  <si>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</si>
  <si>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</si>
  <si>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</si>
  <si>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</si>
  <si>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</si>
  <si>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</si>
  <si>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</si>
  <si>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</si>
  <si>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</si>
  <si>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</si>
  <si>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</si>
  <si>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</si>
  <si>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</si>
  <si>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</si>
  <si>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</si>
  <si>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</si>
  <si>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</si>
  <si>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</si>
  <si>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</si>
  <si>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</si>
  <si>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</si>
  <si>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</si>
  <si>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</si>
  <si>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</si>
  <si>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</si>
  <si>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</si>
  <si>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</si>
  <si>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</si>
  <si>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</si>
  <si>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</si>
  <si>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</si>
  <si>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</si>
  <si>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</si>
  <si>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</si>
  <si>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</si>
  <si>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</si>
  <si>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</si>
  <si>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</si>
  <si>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</si>
  <si>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</si>
  <si>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</si>
  <si>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</si>
  <si>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</si>
  <si>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</si>
  <si>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</si>
  <si>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</si>
  <si>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</si>
  <si>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</si>
  <si>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</si>
  <si>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</si>
  <si>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</si>
  <si>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</si>
  <si>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</si>
  <si>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</si>
  <si>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</si>
  <si>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</si>
  <si>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</si>
  <si>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</si>
  <si>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</si>
  <si>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</si>
  <si>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</si>
  <si>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</si>
  <si>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</si>
  <si>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</si>
  <si>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</si>
  <si>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</si>
  <si>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</si>
  <si>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</si>
  <si>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</si>
  <si>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</si>
  <si>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</si>
  <si>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</si>
  <si>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</si>
  <si>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</si>
  <si>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</si>
  <si>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</si>
  <si>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</si>
  <si>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</si>
  <si>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</si>
  <si>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</si>
  <si>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</si>
  <si>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</si>
  <si>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</si>
  <si>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</si>
  <si>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</si>
  <si>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</si>
  <si>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</si>
  <si>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</si>
  <si>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</si>
  <si>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</si>
  <si>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</si>
  <si>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</si>
  <si>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</si>
  <si>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</si>
  <si>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</si>
  <si>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</si>
  <si>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</si>
  <si>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</si>
  <si>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</si>
  <si>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</si>
  <si>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</si>
  <si>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</si>
  <si>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</si>
  <si>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</si>
  <si>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</si>
  <si>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</si>
  <si>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</si>
  <si>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</si>
  <si>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</si>
  <si>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</si>
  <si>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</si>
  <si>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</si>
  <si>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</si>
  <si>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</si>
  <si>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</si>
  <si>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</si>
  <si>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</si>
  <si>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</si>
  <si>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</si>
  <si>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</si>
  <si>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</si>
  <si>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</si>
  <si>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</si>
  <si>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</si>
  <si>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</si>
  <si>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</si>
  <si>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</si>
  <si>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</si>
  <si>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</si>
  <si>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</si>
  <si>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</si>
  <si>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</si>
  <si>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</si>
  <si>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</si>
  <si>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</si>
  <si>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</si>
  <si>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</si>
  <si>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</si>
  <si>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</si>
  <si>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</si>
  <si>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</si>
  <si>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</si>
  <si>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</si>
  <si>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</si>
  <si>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</si>
  <si>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</si>
  <si>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</si>
  <si>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</si>
  <si>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</si>
  <si>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</si>
  <si>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</si>
  <si>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</si>
  <si>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</si>
  <si>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</si>
  <si>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</si>
  <si>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</si>
  <si>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</si>
  <si>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</si>
  <si>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</si>
  <si>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</si>
  <si>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</si>
  <si>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</si>
  <si>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</si>
  <si>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</si>
  <si>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</si>
  <si>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</si>
  <si>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</si>
  <si>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</si>
  <si>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</si>
  <si>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</si>
  <si>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</si>
  <si>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</si>
  <si>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</si>
  <si>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</si>
  <si>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</si>
  <si>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</si>
  <si>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</si>
  <si>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</si>
  <si>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</si>
  <si>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</si>
  <si>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</si>
  <si>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</si>
  <si>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</si>
  <si>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</si>
  <si>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</si>
  <si>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</si>
  <si>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</si>
  <si>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</si>
  <si>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</si>
  <si>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</si>
  <si>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</si>
  <si>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</si>
  <si>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</si>
  <si>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</si>
  <si>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</si>
  <si>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</si>
  <si>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</si>
  <si>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</si>
  <si>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</si>
  <si>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</si>
  <si>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</si>
  <si>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</si>
  <si>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</si>
  <si>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</si>
  <si>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</si>
  <si>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</si>
  <si>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</si>
  <si>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</si>
  <si>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</si>
  <si>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</si>
  <si>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</si>
  <si>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</si>
  <si>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</si>
  <si>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</si>
  <si>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</si>
  <si>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</si>
  <si>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</si>
  <si>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</si>
  <si>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</si>
  <si>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</si>
  <si>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</si>
  <si>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</si>
  <si>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</si>
  <si>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</si>
  <si>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</si>
  <si>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</si>
  <si>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</si>
  <si>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</si>
  <si>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</si>
  <si>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</si>
  <si>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</si>
  <si>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</si>
  <si>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</si>
  <si>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</si>
  <si>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</si>
  <si>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</si>
  <si>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</si>
  <si>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</si>
  <si>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</si>
  <si>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</si>
  <si>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</si>
  <si>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</si>
  <si>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</si>
  <si>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</si>
  <si>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</si>
  <si>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</si>
  <si>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</si>
  <si>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</si>
  <si>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</si>
  <si>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</si>
  <si>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</si>
  <si>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</si>
  <si>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</si>
  <si>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</si>
  <si>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</si>
  <si>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</si>
  <si>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</si>
  <si>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</si>
  <si>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</si>
  <si>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</si>
  <si>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</si>
  <si>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</si>
  <si>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</si>
  <si>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</si>
  <si>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</si>
  <si>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</si>
  <si>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</si>
  <si>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</si>
  <si>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</si>
  <si>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</si>
  <si>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</si>
  <si>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</si>
  <si>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</si>
  <si>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</si>
  <si>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</si>
  <si>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</si>
  <si>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</si>
  <si>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</si>
  <si>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</si>
  <si>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</si>
  <si>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</si>
  <si>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</si>
  <si>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</si>
  <si>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</si>
  <si>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</si>
  <si>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</si>
  <si>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</si>
  <si>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</si>
  <si>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</si>
  <si>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</si>
  <si>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</si>
  <si>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</si>
  <si>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</si>
  <si>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</si>
  <si>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</si>
  <si>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</si>
  <si>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</si>
  <si>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</si>
  <si>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</si>
  <si>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</si>
  <si>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</si>
  <si>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</si>
  <si>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</si>
  <si>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</si>
  <si>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</si>
  <si>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</si>
  <si>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</si>
  <si>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</si>
  <si>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</si>
  <si>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</si>
  <si>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</si>
  <si>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</si>
  <si>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</si>
  <si>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</si>
  <si>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</si>
  <si>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</si>
  <si>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</si>
  <si>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</si>
  <si>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</si>
  <si>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</si>
  <si>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</si>
  <si>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</si>
  <si>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</si>
  <si>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</si>
  <si>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</si>
  <si>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</si>
  <si>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</si>
  <si>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</si>
  <si>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</si>
  <si>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</si>
  <si>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</si>
  <si>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</si>
  <si>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</si>
  <si>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</si>
  <si>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</si>
  <si>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</si>
  <si>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</si>
  <si>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</si>
  <si>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</si>
  <si>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</si>
  <si>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</si>
  <si>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</si>
  <si>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</si>
  <si>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</si>
  <si>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</si>
  <si>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</si>
  <si>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</si>
  <si>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</si>
  <si>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</si>
  <si>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</si>
  <si>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</si>
  <si>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</si>
  <si>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</si>
  <si>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</si>
  <si>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</si>
  <si>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</si>
  <si>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</si>
  <si>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</si>
  <si>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</si>
  <si>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</si>
  <si>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</si>
  <si>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</si>
  <si>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</si>
  <si>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</si>
  <si>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</si>
  <si>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</si>
  <si>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</si>
  <si>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</si>
  <si>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</si>
  <si>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</si>
  <si>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</si>
  <si>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</si>
  <si>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</si>
  <si>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</si>
  <si>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</si>
  <si>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</si>
  <si>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</si>
  <si>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</si>
  <si>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</si>
  <si>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</si>
  <si>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</si>
  <si>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</si>
  <si>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</si>
  <si>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</si>
  <si>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</si>
  <si>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</si>
  <si>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</si>
  <si>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</si>
  <si>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</si>
  <si>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</si>
  <si>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</si>
  <si>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</si>
  <si>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</si>
  <si>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</si>
  <si>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</si>
  <si>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</si>
  <si>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</si>
  <si>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</si>
  <si>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</si>
  <si>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</si>
  <si>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</si>
  <si>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</si>
  <si>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</si>
  <si>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</si>
  <si>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</si>
  <si>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</si>
  <si>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</si>
  <si>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</si>
  <si>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</si>
  <si>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</si>
  <si>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</si>
  <si>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</si>
  <si>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</si>
  <si>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</si>
  <si>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</si>
  <si>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</si>
  <si>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</si>
  <si>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</si>
  <si>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</si>
  <si>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</si>
  <si>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</si>
  <si>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</si>
  <si>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</si>
  <si>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</si>
  <si>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</si>
  <si>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</si>
  <si>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</si>
  <si>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</si>
  <si>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</si>
  <si>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</si>
  <si>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</si>
  <si>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</si>
  <si>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</si>
  <si>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</si>
  <si>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</si>
  <si>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</si>
  <si>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</si>
  <si>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</si>
  <si>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</si>
  <si>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</si>
  <si>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</si>
  <si>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</si>
  <si>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</si>
  <si>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</si>
  <si>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</si>
  <si>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</si>
  <si>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</si>
  <si>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</si>
  <si>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</si>
  <si>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</si>
  <si>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</si>
  <si>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</si>
  <si>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</si>
  <si>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</si>
  <si>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</si>
  <si>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</si>
  <si>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</si>
  <si>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</si>
  <si>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</si>
  <si>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</si>
  <si>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</si>
  <si>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</si>
  <si>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</si>
  <si>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</si>
  <si>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</si>
  <si>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</si>
  <si>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</si>
  <si>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</si>
  <si>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</si>
  <si>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</si>
  <si>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</si>
  <si>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</si>
  <si>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</si>
  <si>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</si>
  <si>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</si>
  <si>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</si>
  <si>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</si>
  <si>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</si>
  <si>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</si>
  <si>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</si>
  <si>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</si>
  <si>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</si>
  <si>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</si>
  <si>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</si>
  <si>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</si>
  <si>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</si>
  <si>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</si>
  <si>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</si>
  <si>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</si>
  <si>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</si>
  <si>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</si>
  <si>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</si>
  <si>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</si>
  <si>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</si>
  <si>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</si>
  <si>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</si>
  <si>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</si>
  <si>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</si>
  <si>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</si>
  <si>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</si>
  <si>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</si>
  <si>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</si>
  <si>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</si>
  <si>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</si>
  <si>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</si>
  <si>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</si>
  <si>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</si>
  <si>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</si>
  <si>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</si>
  <si>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</si>
  <si>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</si>
  <si>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</si>
  <si>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</si>
  <si>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</si>
  <si>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</si>
  <si>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</si>
  <si>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</si>
  <si>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</si>
  <si>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</si>
  <si>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</si>
  <si>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</si>
  <si>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</si>
  <si>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</si>
  <si>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</si>
  <si>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</si>
  <si>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</si>
  <si>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</si>
  <si>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</si>
  <si>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</si>
  <si>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</si>
  <si>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</si>
  <si>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</si>
  <si>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</si>
  <si>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</si>
  <si>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</si>
  <si>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</si>
  <si>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</si>
  <si>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</si>
  <si>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</si>
  <si>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</si>
  <si>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</si>
  <si>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</si>
  <si>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</si>
  <si>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</si>
  <si>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</si>
  <si>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</si>
  <si>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</si>
  <si>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</si>
  <si>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</si>
  <si>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</si>
  <si>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</si>
  <si>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</si>
  <si>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</si>
  <si>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</si>
  <si>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</si>
  <si>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</si>
  <si>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</si>
  <si>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</si>
  <si>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</si>
  <si>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</si>
  <si>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</si>
  <si>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</si>
  <si>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</si>
  <si>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</si>
  <si>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</si>
  <si>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</si>
  <si>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</si>
  <si>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</si>
  <si>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</si>
  <si>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</si>
  <si>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</si>
  <si>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</si>
  <si>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</si>
  <si>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</si>
  <si>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</si>
  <si>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</si>
  <si>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</si>
  <si>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</si>
  <si>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</si>
  <si>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</si>
  <si>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</si>
  <si>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</si>
  <si>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</si>
  <si>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</si>
  <si>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</si>
  <si>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</si>
  <si>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</si>
  <si>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</si>
  <si>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</si>
  <si>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</si>
  <si>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</si>
  <si>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</si>
  <si>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</si>
  <si>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</si>
  <si>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</si>
  <si>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</si>
  <si>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</si>
  <si>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</si>
  <si>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</si>
  <si>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</si>
  <si>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</si>
  <si>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</si>
  <si>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</si>
  <si>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</si>
  <si>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</si>
  <si>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</si>
  <si>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</si>
  <si>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</si>
  <si>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</si>
  <si>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</si>
  <si>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</si>
  <si>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</si>
  <si>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</si>
  <si>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</si>
  <si>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</si>
  <si>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</si>
  <si>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</si>
  <si>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</si>
  <si>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</si>
  <si>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</si>
  <si>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</si>
  <si>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</si>
  <si>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</si>
  <si>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</si>
  <si>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</si>
  <si>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</si>
  <si>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</si>
  <si>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</si>
  <si>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</si>
  <si>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</si>
  <si>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</si>
  <si>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</si>
  <si>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</si>
  <si>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</si>
  <si>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</si>
  <si>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</si>
  <si>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</si>
  <si>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</si>
  <si>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</si>
  <si>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</si>
  <si>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</si>
  <si>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</si>
  <si>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</si>
  <si>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</si>
  <si>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</si>
  <si>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</si>
  <si>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</si>
  <si>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</si>
  <si>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</si>
  <si>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</si>
  <si>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</si>
  <si>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</si>
  <si>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</si>
  <si>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</si>
  <si>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</si>
  <si>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</si>
  <si>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</si>
  <si>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</si>
  <si>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</si>
  <si>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</si>
  <si>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</si>
  <si>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</si>
  <si>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</si>
  <si>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</si>
  <si>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</si>
  <si>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</si>
  <si>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</si>
  <si>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</si>
  <si>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</si>
  <si>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</si>
  <si>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</si>
  <si>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</si>
  <si>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</si>
  <si>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</si>
  <si>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</si>
  <si>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</si>
  <si>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</si>
  <si>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</si>
  <si>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</si>
  <si>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</si>
  <si>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</si>
  <si>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</si>
  <si>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</si>
  <si>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</si>
  <si>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</si>
  <si>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</si>
  <si>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</si>
  <si>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</si>
  <si>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</si>
  <si>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</si>
  <si>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</si>
  <si>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</si>
  <si>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</si>
  <si>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</si>
  <si>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</si>
  <si>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</si>
  <si>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</si>
  <si>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</si>
  <si>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</si>
  <si>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</si>
  <si>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</si>
  <si>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</si>
  <si>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</si>
  <si>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</si>
  <si>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</si>
  <si>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</si>
  <si>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</si>
  <si>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</si>
  <si>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</si>
  <si>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</si>
  <si>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</si>
  <si>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</si>
  <si>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</si>
  <si>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</si>
  <si>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</si>
  <si>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</si>
  <si>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</si>
  <si>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</si>
  <si>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</si>
  <si>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</si>
  <si>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</si>
  <si>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</si>
  <si>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</si>
  <si>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</si>
  <si>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</si>
  <si>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</si>
  <si>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</si>
  <si>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</si>
  <si>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</si>
  <si>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</si>
  <si>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</si>
  <si>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</si>
  <si>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</si>
  <si>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</si>
  <si>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</si>
  <si>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</si>
  <si>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</si>
  <si>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</si>
  <si>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</si>
  <si>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</si>
  <si>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</si>
  <si>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</si>
  <si>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</si>
  <si>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</si>
  <si>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</si>
  <si>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</si>
  <si>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</si>
  <si>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</si>
  <si>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</si>
  <si>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</si>
  <si>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</si>
  <si>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</si>
  <si>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</si>
  <si>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</si>
  <si>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</si>
  <si>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</si>
  <si>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</si>
  <si>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</si>
  <si>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</si>
  <si>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</si>
  <si>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</si>
  <si>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</si>
  <si>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</si>
  <si>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</si>
  <si>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</si>
  <si>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</si>
  <si>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</si>
  <si>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</si>
  <si>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</si>
  <si>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</si>
  <si>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</si>
  <si>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</si>
  <si>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</si>
  <si>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</si>
  <si>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</si>
  <si>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</si>
  <si>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</si>
  <si>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</si>
  <si>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</si>
  <si>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</si>
  <si>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</si>
  <si>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</si>
  <si>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</si>
  <si>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</si>
  <si>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</si>
  <si>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</si>
  <si>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</si>
  <si>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</si>
  <si>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</si>
  <si>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</si>
  <si>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</si>
  <si>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</si>
  <si>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</si>
  <si>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</si>
  <si>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</si>
  <si>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</si>
  <si>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</si>
  <si>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</si>
  <si>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</si>
  <si>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</si>
  <si>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</si>
  <si>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</si>
  <si>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</si>
  <si>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</si>
  <si>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</si>
  <si>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</si>
  <si>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</si>
  <si>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</si>
  <si>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</si>
  <si>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</si>
  <si>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</si>
  <si>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</si>
  <si>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</si>
  <si>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</si>
  <si>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</si>
  <si>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</si>
  <si>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</si>
  <si>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</si>
  <si>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</si>
  <si>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</si>
  <si>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</si>
  <si>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</si>
  <si>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</si>
  <si>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</si>
  <si>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</si>
  <si>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</si>
  <si>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</si>
  <si>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</si>
  <si>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</si>
  <si>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</si>
  <si>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</si>
  <si>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</si>
  <si>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</si>
  <si>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</si>
  <si>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</si>
  <si>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</si>
  <si>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</si>
  <si>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</si>
  <si>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</si>
  <si>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</si>
  <si>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</si>
  <si>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</si>
  <si>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</si>
  <si>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</si>
  <si>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</si>
  <si>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</si>
  <si>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</si>
  <si>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</si>
  <si>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</si>
  <si>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</si>
  <si>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</si>
  <si>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</si>
  <si>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</si>
  <si>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</si>
  <si>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</si>
  <si>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</si>
  <si>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</si>
  <si>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</si>
  <si>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</si>
  <si>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</si>
  <si>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</si>
  <si>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</si>
  <si>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</si>
  <si>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</si>
  <si>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</si>
  <si>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</si>
  <si>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</si>
  <si>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</si>
  <si>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</si>
  <si>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</si>
  <si>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</si>
  <si>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</si>
  <si>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</si>
  <si>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42025</t>
  </si>
  <si>
    <t>WETTEREN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</si>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</sst>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163192.4004908365</c:v>
                </c:pt>
                <c:pt idx="1">
                  <c:v>89502.238892702415</c:v>
                </c:pt>
                <c:pt idx="2">
                  <c:v>1886.4169999999999</c:v>
                </c:pt>
                <c:pt idx="3">
                  <c:v>7766.6636043061744</c:v>
                </c:pt>
                <c:pt idx="4">
                  <c:v>194109.97278677247</c:v>
                </c:pt>
                <c:pt idx="5">
                  <c:v>220435.89340259874</c:v>
                </c:pt>
                <c:pt idx="6">
                  <c:v>1593.0109827757167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605888"/>
        <c:axId val="179607424"/>
      </c:barChart>
      <c:catAx>
        <c:axId val="179605888"/>
        <c:scaling>
          <c:orientation val="minMax"/>
        </c:scaling>
        <c:axPos val="b"/>
        <c:numFmt formatCode="General" sourceLinked="0"/>
        <c:tickLblPos val="nextTo"/>
        <c:crossAx val="179607424"/>
        <c:crosses val="autoZero"/>
        <c:auto val="1"/>
        <c:lblAlgn val="ctr"/>
        <c:lblOffset val="100"/>
      </c:catAx>
      <c:valAx>
        <c:axId val="179607424"/>
        <c:scaling>
          <c:orientation val="minMax"/>
        </c:scaling>
        <c:axPos val="l"/>
        <c:majorGridlines/>
        <c:numFmt formatCode="#,##0" sourceLinked="1"/>
        <c:tickLblPos val="nextTo"/>
        <c:crossAx val="179605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163192.4004908365</c:v>
                </c:pt>
                <c:pt idx="1">
                  <c:v>89502.238892702415</c:v>
                </c:pt>
                <c:pt idx="2">
                  <c:v>1886.4169999999999</c:v>
                </c:pt>
                <c:pt idx="3">
                  <c:v>7766.6636043061744</c:v>
                </c:pt>
                <c:pt idx="4">
                  <c:v>194109.97278677247</c:v>
                </c:pt>
                <c:pt idx="5">
                  <c:v>220435.89340259874</c:v>
                </c:pt>
                <c:pt idx="6">
                  <c:v>1593.0109827757167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31729.395347216956</c:v>
                </c:pt>
                <c:pt idx="2">
                  <c:v>18397.023627174989</c:v>
                </c:pt>
                <c:pt idx="3">
                  <c:v>399.89377043361293</c:v>
                </c:pt>
                <c:pt idx="4">
                  <c:v>1980.3089624759857</c:v>
                </c:pt>
                <c:pt idx="5">
                  <c:v>38366.032112654859</c:v>
                </c:pt>
                <c:pt idx="6">
                  <c:v>56450.013367580374</c:v>
                </c:pt>
                <c:pt idx="7">
                  <c:v>412.53792877304159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79944448"/>
        <c:axId val="179987200"/>
      </c:barChart>
      <c:catAx>
        <c:axId val="179944448"/>
        <c:scaling>
          <c:orientation val="minMax"/>
        </c:scaling>
        <c:axPos val="b"/>
        <c:numFmt formatCode="General" sourceLinked="0"/>
        <c:tickLblPos val="nextTo"/>
        <c:crossAx val="179987200"/>
        <c:crosses val="autoZero"/>
        <c:auto val="1"/>
        <c:lblAlgn val="ctr"/>
        <c:lblOffset val="100"/>
      </c:catAx>
      <c:valAx>
        <c:axId val="179987200"/>
        <c:scaling>
          <c:orientation val="minMax"/>
        </c:scaling>
        <c:axPos val="l"/>
        <c:majorGridlines/>
        <c:numFmt formatCode="#,##0" sourceLinked="1"/>
        <c:tickLblPos val="nextTo"/>
        <c:crossAx val="179944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31729.395347216956</c:v>
                </c:pt>
                <c:pt idx="2">
                  <c:v>18397.023627174989</c:v>
                </c:pt>
                <c:pt idx="3">
                  <c:v>399.89377043361293</c:v>
                </c:pt>
                <c:pt idx="4">
                  <c:v>1980.3089624759857</c:v>
                </c:pt>
                <c:pt idx="5">
                  <c:v>38366.032112654859</c:v>
                </c:pt>
                <c:pt idx="6">
                  <c:v>56450.013367580374</c:v>
                </c:pt>
                <c:pt idx="7">
                  <c:v>412.53792877304159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42025</v>
      </c>
      <c r="B6" s="415"/>
      <c r="C6" s="416"/>
    </row>
    <row r="7" spans="1:7" s="413" customFormat="1" ht="15.75" customHeight="1">
      <c r="A7" s="417" t="str">
        <f>txtMunicipality</f>
        <v>WETTEREN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37695.387482329999</v>
      </c>
      <c r="D10" s="1012">
        <f ca="1">tertiair!C16</f>
        <v>0</v>
      </c>
      <c r="E10" s="1012">
        <f ca="1">tertiair!D16</f>
        <v>40870.120226108804</v>
      </c>
      <c r="F10" s="1012">
        <f>tertiair!E16</f>
        <v>725.76815497352095</v>
      </c>
      <c r="G10" s="1012">
        <f ca="1">tertiair!F16</f>
        <v>8934.5086164270069</v>
      </c>
      <c r="H10" s="1012">
        <f>tertiair!G16</f>
        <v>0</v>
      </c>
      <c r="I10" s="1012">
        <f>tertiair!H16</f>
        <v>0</v>
      </c>
      <c r="J10" s="1012">
        <f>tertiair!I16</f>
        <v>0</v>
      </c>
      <c r="K10" s="1012">
        <f>tertiair!J16</f>
        <v>0</v>
      </c>
      <c r="L10" s="1012">
        <f>tertiair!K16</f>
        <v>0</v>
      </c>
      <c r="M10" s="1012">
        <f ca="1">tertiair!L16</f>
        <v>0</v>
      </c>
      <c r="N10" s="1012">
        <f>tertiair!M16</f>
        <v>0</v>
      </c>
      <c r="O10" s="1012">
        <f ca="1">tertiair!N16</f>
        <v>3134.4247461964123</v>
      </c>
      <c r="P10" s="1012">
        <f>tertiair!O16</f>
        <v>9.3800000000000008</v>
      </c>
      <c r="Q10" s="1013">
        <f>tertiair!P16</f>
        <v>19.066666666666666</v>
      </c>
      <c r="R10" s="700">
        <f ca="1">SUM(C10:Q10)</f>
        <v>91388.655892702416</v>
      </c>
      <c r="S10" s="67"/>
    </row>
    <row r="11" spans="1:19" s="473" customFormat="1">
      <c r="A11" s="809" t="s">
        <v>225</v>
      </c>
      <c r="B11" s="814"/>
      <c r="C11" s="1012">
        <f>huishoudens!B8</f>
        <v>46908.635053918944</v>
      </c>
      <c r="D11" s="1012">
        <f>huishoudens!C8</f>
        <v>0</v>
      </c>
      <c r="E11" s="1012">
        <f>huishoudens!D8</f>
        <v>92306.37338296001</v>
      </c>
      <c r="F11" s="1012">
        <f>huishoudens!E8</f>
        <v>4803.5607128706606</v>
      </c>
      <c r="G11" s="1012">
        <f>huishoudens!F8</f>
        <v>0</v>
      </c>
      <c r="H11" s="1012">
        <f>huishoudens!G8</f>
        <v>0</v>
      </c>
      <c r="I11" s="1012">
        <f>huishoudens!H8</f>
        <v>0</v>
      </c>
      <c r="J11" s="1012">
        <f>huishoudens!I8</f>
        <v>0</v>
      </c>
      <c r="K11" s="1012">
        <f>huishoudens!J8</f>
        <v>5788.5064826124453</v>
      </c>
      <c r="L11" s="1012">
        <f>huishoudens!K8</f>
        <v>0</v>
      </c>
      <c r="M11" s="1012">
        <f>huishoudens!L8</f>
        <v>0</v>
      </c>
      <c r="N11" s="1012">
        <f>huishoudens!M8</f>
        <v>0</v>
      </c>
      <c r="O11" s="1012">
        <f>huishoudens!N8</f>
        <v>12363.451525141078</v>
      </c>
      <c r="P11" s="1012">
        <f>huishoudens!O8</f>
        <v>278.27333333333337</v>
      </c>
      <c r="Q11" s="1013">
        <f>huishoudens!P8</f>
        <v>743.6</v>
      </c>
      <c r="R11" s="700">
        <f>SUM(C11:Q11)</f>
        <v>163192.4004908365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91200.388407340011</v>
      </c>
      <c r="D13" s="1012">
        <f>industrie!C18</f>
        <v>0</v>
      </c>
      <c r="E13" s="1012">
        <f>industrie!D18</f>
        <v>64821.268255678224</v>
      </c>
      <c r="F13" s="1012">
        <f>industrie!E18</f>
        <v>4304.1537217264822</v>
      </c>
      <c r="G13" s="1012">
        <f>industrie!F18</f>
        <v>17931.352147469046</v>
      </c>
      <c r="H13" s="1012">
        <f>industrie!G18</f>
        <v>0</v>
      </c>
      <c r="I13" s="1012">
        <f>industrie!H18</f>
        <v>0</v>
      </c>
      <c r="J13" s="1012">
        <f>industrie!I18</f>
        <v>0</v>
      </c>
      <c r="K13" s="1012">
        <f>industrie!J18</f>
        <v>492.1674751894007</v>
      </c>
      <c r="L13" s="1012">
        <f>industrie!K18</f>
        <v>0</v>
      </c>
      <c r="M13" s="1012">
        <f>industrie!L18</f>
        <v>0</v>
      </c>
      <c r="N13" s="1012">
        <f>industrie!M18</f>
        <v>0</v>
      </c>
      <c r="O13" s="1012">
        <f>industrie!N18</f>
        <v>15360.642779369349</v>
      </c>
      <c r="P13" s="1012">
        <f>industrie!O18</f>
        <v>0</v>
      </c>
      <c r="Q13" s="1013">
        <f>industrie!P18</f>
        <v>0</v>
      </c>
      <c r="R13" s="700">
        <f>SUM(C13:Q13)</f>
        <v>194109.97278677247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175804.41094358894</v>
      </c>
      <c r="D16" s="732">
        <f t="shared" ref="D16:R16" ca="1" si="0">SUM(D9:D15)</f>
        <v>0</v>
      </c>
      <c r="E16" s="732">
        <f t="shared" ca="1" si="0"/>
        <v>197997.76186474704</v>
      </c>
      <c r="F16" s="732">
        <f t="shared" si="0"/>
        <v>9833.4825895706635</v>
      </c>
      <c r="G16" s="732">
        <f t="shared" ca="1" si="0"/>
        <v>26865.860763896053</v>
      </c>
      <c r="H16" s="732">
        <f t="shared" si="0"/>
        <v>0</v>
      </c>
      <c r="I16" s="732">
        <f t="shared" si="0"/>
        <v>0</v>
      </c>
      <c r="J16" s="732">
        <f t="shared" si="0"/>
        <v>0</v>
      </c>
      <c r="K16" s="732">
        <f t="shared" si="0"/>
        <v>6280.673957801846</v>
      </c>
      <c r="L16" s="732">
        <f t="shared" si="0"/>
        <v>0</v>
      </c>
      <c r="M16" s="732">
        <f t="shared" ca="1" si="0"/>
        <v>0</v>
      </c>
      <c r="N16" s="732">
        <f t="shared" si="0"/>
        <v>0</v>
      </c>
      <c r="O16" s="732">
        <f t="shared" ca="1" si="0"/>
        <v>30858.51905070684</v>
      </c>
      <c r="P16" s="732">
        <f t="shared" si="0"/>
        <v>287.65333333333336</v>
      </c>
      <c r="Q16" s="732">
        <f t="shared" si="0"/>
        <v>762.66666666666674</v>
      </c>
      <c r="R16" s="732">
        <f t="shared" ca="1" si="0"/>
        <v>448691.02917031141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1545.0858755544627</v>
      </c>
      <c r="I19" s="1012">
        <f>transport!H54</f>
        <v>0</v>
      </c>
      <c r="J19" s="1012">
        <f>transport!I54</f>
        <v>0</v>
      </c>
      <c r="K19" s="1012">
        <f>transport!J54</f>
        <v>0</v>
      </c>
      <c r="L19" s="1012">
        <f>transport!K54</f>
        <v>0</v>
      </c>
      <c r="M19" s="1012">
        <f>transport!L54</f>
        <v>0</v>
      </c>
      <c r="N19" s="1012">
        <f>transport!M54</f>
        <v>47.925107221254009</v>
      </c>
      <c r="O19" s="1012">
        <f>transport!N54</f>
        <v>0</v>
      </c>
      <c r="P19" s="1012">
        <f>transport!O54</f>
        <v>0</v>
      </c>
      <c r="Q19" s="1013">
        <f>transport!P54</f>
        <v>0</v>
      </c>
      <c r="R19" s="700">
        <f>SUM(C19:Q19)</f>
        <v>1593.0109827757167</v>
      </c>
      <c r="S19" s="67"/>
    </row>
    <row r="20" spans="1:19" s="473" customFormat="1">
      <c r="A20" s="809" t="s">
        <v>307</v>
      </c>
      <c r="B20" s="814"/>
      <c r="C20" s="1012">
        <f>transport!B14</f>
        <v>54.901687885360971</v>
      </c>
      <c r="D20" s="1012">
        <f>transport!C14</f>
        <v>0</v>
      </c>
      <c r="E20" s="1012">
        <f>transport!D14</f>
        <v>120.0202291312365</v>
      </c>
      <c r="F20" s="1012">
        <f>transport!E14</f>
        <v>529.461687026655</v>
      </c>
      <c r="G20" s="1012">
        <f>transport!F14</f>
        <v>0</v>
      </c>
      <c r="H20" s="1012">
        <f>transport!G14</f>
        <v>179974.40277491423</v>
      </c>
      <c r="I20" s="1012">
        <f>transport!H14</f>
        <v>33095.492187718744</v>
      </c>
      <c r="J20" s="1012">
        <f>transport!I14</f>
        <v>0</v>
      </c>
      <c r="K20" s="1012">
        <f>transport!J14</f>
        <v>0</v>
      </c>
      <c r="L20" s="1012">
        <f>transport!K14</f>
        <v>0</v>
      </c>
      <c r="M20" s="1012">
        <f>transport!L14</f>
        <v>0</v>
      </c>
      <c r="N20" s="1012">
        <f>transport!M14</f>
        <v>6661.6148359225117</v>
      </c>
      <c r="O20" s="1012">
        <f>transport!N14</f>
        <v>0</v>
      </c>
      <c r="P20" s="1012">
        <f>transport!O14</f>
        <v>0</v>
      </c>
      <c r="Q20" s="1013">
        <f>transport!P14</f>
        <v>0</v>
      </c>
      <c r="R20" s="700">
        <f>SUM(C20:Q20)</f>
        <v>220435.89340259874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54.901687885360971</v>
      </c>
      <c r="D22" s="812">
        <f t="shared" ref="D22:R22" si="1">SUM(D18:D21)</f>
        <v>0</v>
      </c>
      <c r="E22" s="812">
        <f t="shared" si="1"/>
        <v>120.0202291312365</v>
      </c>
      <c r="F22" s="812">
        <f t="shared" si="1"/>
        <v>529.461687026655</v>
      </c>
      <c r="G22" s="812">
        <f t="shared" si="1"/>
        <v>0</v>
      </c>
      <c r="H22" s="812">
        <f t="shared" si="1"/>
        <v>181519.4886504687</v>
      </c>
      <c r="I22" s="812">
        <f t="shared" si="1"/>
        <v>33095.492187718744</v>
      </c>
      <c r="J22" s="812">
        <f t="shared" si="1"/>
        <v>0</v>
      </c>
      <c r="K22" s="812">
        <f t="shared" si="1"/>
        <v>0</v>
      </c>
      <c r="L22" s="812">
        <f t="shared" si="1"/>
        <v>0</v>
      </c>
      <c r="M22" s="812">
        <f t="shared" si="1"/>
        <v>0</v>
      </c>
      <c r="N22" s="812">
        <f t="shared" si="1"/>
        <v>6709.5399431437654</v>
      </c>
      <c r="O22" s="812">
        <f t="shared" si="1"/>
        <v>0</v>
      </c>
      <c r="P22" s="812">
        <f t="shared" si="1"/>
        <v>0</v>
      </c>
      <c r="Q22" s="812">
        <f t="shared" si="1"/>
        <v>0</v>
      </c>
      <c r="R22" s="812">
        <f t="shared" si="1"/>
        <v>222028.90438537445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1523.29664258</v>
      </c>
      <c r="D24" s="1012">
        <f>+landbouw!C8</f>
        <v>0</v>
      </c>
      <c r="E24" s="1012">
        <f>+landbouw!D8</f>
        <v>416.84898417327003</v>
      </c>
      <c r="F24" s="1012">
        <f>+landbouw!E8</f>
        <v>39.2799716292363</v>
      </c>
      <c r="G24" s="1012">
        <f>+landbouw!F8</f>
        <v>5567.9393263833599</v>
      </c>
      <c r="H24" s="1012">
        <f>+landbouw!G8</f>
        <v>0</v>
      </c>
      <c r="I24" s="1012">
        <f>+landbouw!H8</f>
        <v>0</v>
      </c>
      <c r="J24" s="1012">
        <f>+landbouw!I8</f>
        <v>0</v>
      </c>
      <c r="K24" s="1012">
        <f>+landbouw!J8</f>
        <v>219.29867954030726</v>
      </c>
      <c r="L24" s="1012">
        <f>+landbouw!K8</f>
        <v>0</v>
      </c>
      <c r="M24" s="1012">
        <f>+landbouw!L8</f>
        <v>0</v>
      </c>
      <c r="N24" s="1012">
        <f>+landbouw!M8</f>
        <v>0</v>
      </c>
      <c r="O24" s="1012">
        <f>+landbouw!N8</f>
        <v>0</v>
      </c>
      <c r="P24" s="1012">
        <f>+landbouw!O8</f>
        <v>0</v>
      </c>
      <c r="Q24" s="1013">
        <f>+landbouw!P8</f>
        <v>0</v>
      </c>
      <c r="R24" s="700">
        <f>SUM(C24:Q24)</f>
        <v>7766.6636043061744</v>
      </c>
      <c r="S24" s="67"/>
    </row>
    <row r="25" spans="1:19" s="473" customFormat="1" ht="15" thickBot="1">
      <c r="A25" s="831" t="s">
        <v>848</v>
      </c>
      <c r="B25" s="1015"/>
      <c r="C25" s="1016">
        <f>IF(Onbekend_ele_kWh="---",0,Onbekend_ele_kWh)/1000+IF(REST_rest_ele_kWh="---",0,REST_rest_ele_kWh)/1000</f>
        <v>1647.8492335000001</v>
      </c>
      <c r="D25" s="1016"/>
      <c r="E25" s="1016">
        <f>IF(onbekend_gas_kWh="---",0,onbekend_gas_kWh)/1000+IF(REST_rest_gas_kWh="---",0,REST_rest_gas_kWh)/1000</f>
        <v>2826.3877156000003</v>
      </c>
      <c r="F25" s="1016"/>
      <c r="G25" s="1016"/>
      <c r="H25" s="1016"/>
      <c r="I25" s="1016"/>
      <c r="J25" s="1016"/>
      <c r="K25" s="1016"/>
      <c r="L25" s="1016"/>
      <c r="M25" s="1016"/>
      <c r="N25" s="1016"/>
      <c r="O25" s="1016"/>
      <c r="P25" s="1016"/>
      <c r="Q25" s="1017"/>
      <c r="R25" s="700">
        <f>SUM(C25:Q25)</f>
        <v>4474.2369491000009</v>
      </c>
      <c r="S25" s="67"/>
    </row>
    <row r="26" spans="1:19" s="473" customFormat="1" ht="15.75" thickBot="1">
      <c r="A26" s="705" t="s">
        <v>849</v>
      </c>
      <c r="B26" s="817"/>
      <c r="C26" s="812">
        <f>SUM(C24:C25)</f>
        <v>3171.1458760800001</v>
      </c>
      <c r="D26" s="812">
        <f t="shared" ref="D26:R26" si="2">SUM(D24:D25)</f>
        <v>0</v>
      </c>
      <c r="E26" s="812">
        <f t="shared" si="2"/>
        <v>3243.2366997732702</v>
      </c>
      <c r="F26" s="812">
        <f t="shared" si="2"/>
        <v>39.2799716292363</v>
      </c>
      <c r="G26" s="812">
        <f t="shared" si="2"/>
        <v>5567.9393263833599</v>
      </c>
      <c r="H26" s="812">
        <f t="shared" si="2"/>
        <v>0</v>
      </c>
      <c r="I26" s="812">
        <f t="shared" si="2"/>
        <v>0</v>
      </c>
      <c r="J26" s="812">
        <f t="shared" si="2"/>
        <v>0</v>
      </c>
      <c r="K26" s="812">
        <f t="shared" si="2"/>
        <v>219.29867954030726</v>
      </c>
      <c r="L26" s="812">
        <f t="shared" si="2"/>
        <v>0</v>
      </c>
      <c r="M26" s="812">
        <f t="shared" si="2"/>
        <v>0</v>
      </c>
      <c r="N26" s="812">
        <f t="shared" si="2"/>
        <v>0</v>
      </c>
      <c r="O26" s="812">
        <f t="shared" si="2"/>
        <v>0</v>
      </c>
      <c r="P26" s="812">
        <f t="shared" si="2"/>
        <v>0</v>
      </c>
      <c r="Q26" s="812">
        <f t="shared" si="2"/>
        <v>0</v>
      </c>
      <c r="R26" s="812">
        <f t="shared" si="2"/>
        <v>12240.900553406176</v>
      </c>
      <c r="S26" s="67"/>
    </row>
    <row r="27" spans="1:19" s="473" customFormat="1" ht="17.25" thickTop="1" thickBot="1">
      <c r="A27" s="706" t="s">
        <v>116</v>
      </c>
      <c r="B27" s="805"/>
      <c r="C27" s="707">
        <f ca="1">C22+C16+C26</f>
        <v>179030.45850755431</v>
      </c>
      <c r="D27" s="707">
        <f t="shared" ref="D27:R27" ca="1" si="3">D22+D16+D26</f>
        <v>0</v>
      </c>
      <c r="E27" s="707">
        <f t="shared" ca="1" si="3"/>
        <v>201361.01879365154</v>
      </c>
      <c r="F27" s="707">
        <f t="shared" si="3"/>
        <v>10402.224248226554</v>
      </c>
      <c r="G27" s="707">
        <f t="shared" ca="1" si="3"/>
        <v>32433.800090279412</v>
      </c>
      <c r="H27" s="707">
        <f t="shared" si="3"/>
        <v>181519.4886504687</v>
      </c>
      <c r="I27" s="707">
        <f t="shared" si="3"/>
        <v>33095.492187718744</v>
      </c>
      <c r="J27" s="707">
        <f t="shared" si="3"/>
        <v>0</v>
      </c>
      <c r="K27" s="707">
        <f t="shared" si="3"/>
        <v>6499.9726373421536</v>
      </c>
      <c r="L27" s="707">
        <f t="shared" si="3"/>
        <v>0</v>
      </c>
      <c r="M27" s="707">
        <f t="shared" ca="1" si="3"/>
        <v>0</v>
      </c>
      <c r="N27" s="707">
        <f t="shared" si="3"/>
        <v>6709.5399431437654</v>
      </c>
      <c r="O27" s="707">
        <f t="shared" ca="1" si="3"/>
        <v>30858.51905070684</v>
      </c>
      <c r="P27" s="707">
        <f t="shared" si="3"/>
        <v>287.65333333333336</v>
      </c>
      <c r="Q27" s="707">
        <f t="shared" si="3"/>
        <v>762.66666666666674</v>
      </c>
      <c r="R27" s="707">
        <f t="shared" ca="1" si="3"/>
        <v>682960.83410909213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7990.8899401696226</v>
      </c>
      <c r="D40" s="1012">
        <f ca="1">tertiair!C20</f>
        <v>0</v>
      </c>
      <c r="E40" s="1012">
        <f ca="1">tertiair!D20</f>
        <v>8255.7642856739785</v>
      </c>
      <c r="F40" s="1012">
        <f>tertiair!E20</f>
        <v>164.74937117898926</v>
      </c>
      <c r="G40" s="1012">
        <f ca="1">tertiair!F20</f>
        <v>2385.5138005860108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18796.917397608602</v>
      </c>
    </row>
    <row r="41" spans="1:18">
      <c r="A41" s="822" t="s">
        <v>225</v>
      </c>
      <c r="B41" s="829"/>
      <c r="C41" s="1012">
        <f ca="1">huishoudens!B12</f>
        <v>9943.9683471925837</v>
      </c>
      <c r="D41" s="1012">
        <f ca="1">huishoudens!C12</f>
        <v>0</v>
      </c>
      <c r="E41" s="1012">
        <f>huishoudens!D12</f>
        <v>18645.887423357923</v>
      </c>
      <c r="F41" s="1012">
        <f>huishoudens!E12</f>
        <v>1090.40828182164</v>
      </c>
      <c r="G41" s="1012">
        <f>huishoudens!F12</f>
        <v>0</v>
      </c>
      <c r="H41" s="1012">
        <f>huishoudens!G12</f>
        <v>0</v>
      </c>
      <c r="I41" s="1012">
        <f>huishoudens!H12</f>
        <v>0</v>
      </c>
      <c r="J41" s="1012">
        <f>huishoudens!I12</f>
        <v>0</v>
      </c>
      <c r="K41" s="1012">
        <f>huishoudens!J12</f>
        <v>2049.1312948448053</v>
      </c>
      <c r="L41" s="1012">
        <f>huishoudens!K12</f>
        <v>0</v>
      </c>
      <c r="M41" s="1012">
        <f>huishoudens!L12</f>
        <v>0</v>
      </c>
      <c r="N41" s="1012">
        <f>huishoudens!M12</f>
        <v>0</v>
      </c>
      <c r="O41" s="1012">
        <f>huishoudens!N12</f>
        <v>0</v>
      </c>
      <c r="P41" s="1012">
        <f>huishoudens!O12</f>
        <v>0</v>
      </c>
      <c r="Q41" s="774">
        <f>huishoudens!P12</f>
        <v>0</v>
      </c>
      <c r="R41" s="850">
        <f t="shared" ca="1" si="4"/>
        <v>31729.395347216956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19333.194720584663</v>
      </c>
      <c r="D43" s="1012">
        <f ca="1">industrie!C22</f>
        <v>0</v>
      </c>
      <c r="E43" s="1012">
        <f>industrie!D22</f>
        <v>13093.896187647002</v>
      </c>
      <c r="F43" s="1012">
        <f>industrie!E22</f>
        <v>977.04289483191144</v>
      </c>
      <c r="G43" s="1012">
        <f>industrie!F22</f>
        <v>4787.6710233742351</v>
      </c>
      <c r="H43" s="1012">
        <f>industrie!G22</f>
        <v>0</v>
      </c>
      <c r="I43" s="1012">
        <f>industrie!H22</f>
        <v>0</v>
      </c>
      <c r="J43" s="1012">
        <f>industrie!I22</f>
        <v>0</v>
      </c>
      <c r="K43" s="1012">
        <f>industrie!J22</f>
        <v>174.22728621704783</v>
      </c>
      <c r="L43" s="1012">
        <f>industrie!K22</f>
        <v>0</v>
      </c>
      <c r="M43" s="1012">
        <f>industrie!L22</f>
        <v>0</v>
      </c>
      <c r="N43" s="1012">
        <f>industrie!M22</f>
        <v>0</v>
      </c>
      <c r="O43" s="1012">
        <f>industrie!N22</f>
        <v>0</v>
      </c>
      <c r="P43" s="1012">
        <f>industrie!O22</f>
        <v>0</v>
      </c>
      <c r="Q43" s="774">
        <f>industrie!P22</f>
        <v>0</v>
      </c>
      <c r="R43" s="849">
        <f t="shared" ca="1" si="4"/>
        <v>38366.032112654859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37268.053007946874</v>
      </c>
      <c r="D46" s="732">
        <f t="shared" ref="D46:Q46" ca="1" si="5">SUM(D39:D45)</f>
        <v>0</v>
      </c>
      <c r="E46" s="732">
        <f t="shared" ca="1" si="5"/>
        <v>39995.547896678909</v>
      </c>
      <c r="F46" s="732">
        <f t="shared" si="5"/>
        <v>2232.2005478325409</v>
      </c>
      <c r="G46" s="732">
        <f t="shared" ca="1" si="5"/>
        <v>7173.1848239602459</v>
      </c>
      <c r="H46" s="732">
        <f t="shared" si="5"/>
        <v>0</v>
      </c>
      <c r="I46" s="732">
        <f t="shared" si="5"/>
        <v>0</v>
      </c>
      <c r="J46" s="732">
        <f t="shared" si="5"/>
        <v>0</v>
      </c>
      <c r="K46" s="732">
        <f t="shared" si="5"/>
        <v>2223.3585810618533</v>
      </c>
      <c r="L46" s="732">
        <f t="shared" si="5"/>
        <v>0</v>
      </c>
      <c r="M46" s="732">
        <f t="shared" ca="1" si="5"/>
        <v>0</v>
      </c>
      <c r="N46" s="732">
        <f t="shared" si="5"/>
        <v>0</v>
      </c>
      <c r="O46" s="732">
        <f t="shared" ca="1" si="5"/>
        <v>0</v>
      </c>
      <c r="P46" s="732">
        <f t="shared" si="5"/>
        <v>0</v>
      </c>
      <c r="Q46" s="732">
        <f t="shared" si="5"/>
        <v>0</v>
      </c>
      <c r="R46" s="732">
        <f ca="1">SUM(R39:R45)</f>
        <v>88892.344857480406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412.53792877304159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412.53792877304159</v>
      </c>
    </row>
    <row r="50" spans="1:18">
      <c r="A50" s="825" t="s">
        <v>307</v>
      </c>
      <c r="B50" s="835"/>
      <c r="C50" s="703">
        <f ca="1">transport!B18</f>
        <v>11.638382696745422</v>
      </c>
      <c r="D50" s="703">
        <f>transport!C18</f>
        <v>0</v>
      </c>
      <c r="E50" s="703">
        <f>transport!D18</f>
        <v>24.244086284509777</v>
      </c>
      <c r="F50" s="703">
        <f>transport!E18</f>
        <v>120.18780295505069</v>
      </c>
      <c r="G50" s="703">
        <f>transport!F18</f>
        <v>0</v>
      </c>
      <c r="H50" s="703">
        <f>transport!G18</f>
        <v>48053.165540902104</v>
      </c>
      <c r="I50" s="703">
        <f>transport!H18</f>
        <v>8240.7775547419678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56450.013367580374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11.638382696745422</v>
      </c>
      <c r="D52" s="732">
        <f t="shared" ref="D52:Q52" ca="1" si="6">SUM(D48:D51)</f>
        <v>0</v>
      </c>
      <c r="E52" s="732">
        <f t="shared" si="6"/>
        <v>24.244086284509777</v>
      </c>
      <c r="F52" s="732">
        <f t="shared" si="6"/>
        <v>120.18780295505069</v>
      </c>
      <c r="G52" s="732">
        <f t="shared" si="6"/>
        <v>0</v>
      </c>
      <c r="H52" s="732">
        <f t="shared" si="6"/>
        <v>48465.703469675143</v>
      </c>
      <c r="I52" s="732">
        <f t="shared" si="6"/>
        <v>8240.7775547419678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56862.551296353413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322.9173814115224</v>
      </c>
      <c r="D54" s="703">
        <f ca="1">+landbouw!C12</f>
        <v>0</v>
      </c>
      <c r="E54" s="703">
        <f>+landbouw!D12</f>
        <v>84.203494803000552</v>
      </c>
      <c r="F54" s="703">
        <f>+landbouw!E12</f>
        <v>8.9165535598366397</v>
      </c>
      <c r="G54" s="703">
        <f>+landbouw!F12</f>
        <v>1486.6398001443572</v>
      </c>
      <c r="H54" s="703">
        <f>+landbouw!G12</f>
        <v>0</v>
      </c>
      <c r="I54" s="703">
        <f>+landbouw!H12</f>
        <v>0</v>
      </c>
      <c r="J54" s="703">
        <f>+landbouw!I12</f>
        <v>0</v>
      </c>
      <c r="K54" s="703">
        <f>+landbouw!J12</f>
        <v>77.631732557268762</v>
      </c>
      <c r="L54" s="703">
        <f>+landbouw!K12</f>
        <v>0</v>
      </c>
      <c r="M54" s="703">
        <f>+landbouw!L12</f>
        <v>0</v>
      </c>
      <c r="N54" s="703">
        <f>+landbouw!M12</f>
        <v>0</v>
      </c>
      <c r="O54" s="703">
        <f>+landbouw!N12</f>
        <v>0</v>
      </c>
      <c r="P54" s="703">
        <f>+landbouw!O12</f>
        <v>0</v>
      </c>
      <c r="Q54" s="704">
        <f>+landbouw!P12</f>
        <v>0</v>
      </c>
      <c r="R54" s="731">
        <f ca="1">SUM(C54:Q54)</f>
        <v>1980.3089624759857</v>
      </c>
    </row>
    <row r="55" spans="1:18" ht="15" thickBot="1">
      <c r="A55" s="825" t="s">
        <v>848</v>
      </c>
      <c r="B55" s="835"/>
      <c r="C55" s="703">
        <f ca="1">C25*'EF ele_warmte'!B12</f>
        <v>349.32077217839645</v>
      </c>
      <c r="D55" s="703"/>
      <c r="E55" s="703">
        <f>E25*EF_CO2_aardgas</f>
        <v>570.93031855120012</v>
      </c>
      <c r="F55" s="703"/>
      <c r="G55" s="703"/>
      <c r="H55" s="703"/>
      <c r="I55" s="703"/>
      <c r="J55" s="703"/>
      <c r="K55" s="703"/>
      <c r="L55" s="703"/>
      <c r="M55" s="703"/>
      <c r="N55" s="703"/>
      <c r="O55" s="703"/>
      <c r="P55" s="703"/>
      <c r="Q55" s="704"/>
      <c r="R55" s="731">
        <f ca="1">SUM(C55:Q55)</f>
        <v>920.25109072959663</v>
      </c>
    </row>
    <row r="56" spans="1:18" ht="15.75" thickBot="1">
      <c r="A56" s="823" t="s">
        <v>849</v>
      </c>
      <c r="B56" s="836"/>
      <c r="C56" s="732">
        <f ca="1">SUM(C54:C55)</f>
        <v>672.23815358991885</v>
      </c>
      <c r="D56" s="732">
        <f t="shared" ref="D56:Q56" ca="1" si="7">SUM(D54:D55)</f>
        <v>0</v>
      </c>
      <c r="E56" s="732">
        <f t="shared" si="7"/>
        <v>655.1338133542007</v>
      </c>
      <c r="F56" s="732">
        <f t="shared" si="7"/>
        <v>8.9165535598366397</v>
      </c>
      <c r="G56" s="732">
        <f t="shared" si="7"/>
        <v>1486.6398001443572</v>
      </c>
      <c r="H56" s="732">
        <f t="shared" si="7"/>
        <v>0</v>
      </c>
      <c r="I56" s="732">
        <f t="shared" si="7"/>
        <v>0</v>
      </c>
      <c r="J56" s="732">
        <f t="shared" si="7"/>
        <v>0</v>
      </c>
      <c r="K56" s="732">
        <f t="shared" si="7"/>
        <v>77.631732557268762</v>
      </c>
      <c r="L56" s="732">
        <f t="shared" si="7"/>
        <v>0</v>
      </c>
      <c r="M56" s="732">
        <f t="shared" si="7"/>
        <v>0</v>
      </c>
      <c r="N56" s="732">
        <f t="shared" si="7"/>
        <v>0</v>
      </c>
      <c r="O56" s="732">
        <f t="shared" si="7"/>
        <v>0</v>
      </c>
      <c r="P56" s="732">
        <f t="shared" si="7"/>
        <v>0</v>
      </c>
      <c r="Q56" s="733">
        <f t="shared" si="7"/>
        <v>0</v>
      </c>
      <c r="R56" s="734">
        <f ca="1">SUM(R54:R55)</f>
        <v>2900.5600532055823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37951.929544233535</v>
      </c>
      <c r="D61" s="740">
        <f t="shared" ref="D61:Q61" ca="1" si="8">D46+D52+D56</f>
        <v>0</v>
      </c>
      <c r="E61" s="740">
        <f t="shared" ca="1" si="8"/>
        <v>40674.925796317621</v>
      </c>
      <c r="F61" s="740">
        <f t="shared" si="8"/>
        <v>2361.3049043474284</v>
      </c>
      <c r="G61" s="740">
        <f t="shared" ca="1" si="8"/>
        <v>8659.8246241046036</v>
      </c>
      <c r="H61" s="740">
        <f t="shared" si="8"/>
        <v>48465.703469675143</v>
      </c>
      <c r="I61" s="740">
        <f t="shared" si="8"/>
        <v>8240.7775547419678</v>
      </c>
      <c r="J61" s="740">
        <f t="shared" si="8"/>
        <v>0</v>
      </c>
      <c r="K61" s="740">
        <f t="shared" si="8"/>
        <v>2300.9903136191219</v>
      </c>
      <c r="L61" s="740">
        <f t="shared" si="8"/>
        <v>0</v>
      </c>
      <c r="M61" s="740">
        <f t="shared" ca="1" si="8"/>
        <v>0</v>
      </c>
      <c r="N61" s="740">
        <f t="shared" si="8"/>
        <v>0</v>
      </c>
      <c r="O61" s="740">
        <f t="shared" ca="1" si="8"/>
        <v>0</v>
      </c>
      <c r="P61" s="740">
        <f t="shared" si="8"/>
        <v>0</v>
      </c>
      <c r="Q61" s="740">
        <f t="shared" si="8"/>
        <v>0</v>
      </c>
      <c r="R61" s="740">
        <f ca="1">R46+R52+R56</f>
        <v>148655.45620703942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0.21198588140035471</v>
      </c>
      <c r="D63" s="781">
        <f t="shared" ca="1" si="9"/>
        <v>0</v>
      </c>
      <c r="E63" s="1023">
        <f t="shared" ca="1" si="9"/>
        <v>0.20200000000000004</v>
      </c>
      <c r="F63" s="781">
        <f t="shared" si="9"/>
        <v>0.22700000000000006</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7302.270524597141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7302.270524597141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46908.635053918944</v>
      </c>
      <c r="C4" s="477">
        <f>huishoudens!C8</f>
        <v>0</v>
      </c>
      <c r="D4" s="477">
        <f>huishoudens!D8</f>
        <v>92306.37338296001</v>
      </c>
      <c r="E4" s="477">
        <f>huishoudens!E8</f>
        <v>4803.5607128706606</v>
      </c>
      <c r="F4" s="477">
        <f>huishoudens!F8</f>
        <v>0</v>
      </c>
      <c r="G4" s="477">
        <f>huishoudens!G8</f>
        <v>0</v>
      </c>
      <c r="H4" s="477">
        <f>huishoudens!H8</f>
        <v>0</v>
      </c>
      <c r="I4" s="477">
        <f>huishoudens!I8</f>
        <v>0</v>
      </c>
      <c r="J4" s="477">
        <f>huishoudens!J8</f>
        <v>5788.5064826124453</v>
      </c>
      <c r="K4" s="477">
        <f>huishoudens!K8</f>
        <v>0</v>
      </c>
      <c r="L4" s="477">
        <f>huishoudens!L8</f>
        <v>0</v>
      </c>
      <c r="M4" s="477">
        <f>huishoudens!M8</f>
        <v>0</v>
      </c>
      <c r="N4" s="477">
        <f>huishoudens!N8</f>
        <v>12363.451525141078</v>
      </c>
      <c r="O4" s="477">
        <f>huishoudens!O8</f>
        <v>278.27333333333337</v>
      </c>
      <c r="P4" s="478">
        <f>huishoudens!P8</f>
        <v>743.6</v>
      </c>
      <c r="Q4" s="479">
        <f>SUM(B4:P4)</f>
        <v>163192.4004908365</v>
      </c>
    </row>
    <row r="5" spans="1:17">
      <c r="A5" s="476" t="s">
        <v>156</v>
      </c>
      <c r="B5" s="477">
        <f ca="1">tertiair!B16</f>
        <v>35808.970482329998</v>
      </c>
      <c r="C5" s="477">
        <f ca="1">tertiair!C16</f>
        <v>0</v>
      </c>
      <c r="D5" s="477">
        <f ca="1">tertiair!D16</f>
        <v>40870.120226108804</v>
      </c>
      <c r="E5" s="477">
        <f>tertiair!E16</f>
        <v>725.76815497352095</v>
      </c>
      <c r="F5" s="477">
        <f ca="1">tertiair!F16</f>
        <v>8934.5086164270069</v>
      </c>
      <c r="G5" s="477">
        <f>tertiair!G16</f>
        <v>0</v>
      </c>
      <c r="H5" s="477">
        <f>tertiair!H16</f>
        <v>0</v>
      </c>
      <c r="I5" s="477">
        <f>tertiair!I16</f>
        <v>0</v>
      </c>
      <c r="J5" s="477">
        <f>tertiair!J16</f>
        <v>0</v>
      </c>
      <c r="K5" s="477">
        <f>tertiair!K16</f>
        <v>0</v>
      </c>
      <c r="L5" s="477">
        <f ca="1">tertiair!L16</f>
        <v>0</v>
      </c>
      <c r="M5" s="477">
        <f>tertiair!M16</f>
        <v>0</v>
      </c>
      <c r="N5" s="477">
        <f ca="1">tertiair!N16</f>
        <v>3134.4247461964123</v>
      </c>
      <c r="O5" s="477">
        <f>tertiair!O16</f>
        <v>9.3800000000000008</v>
      </c>
      <c r="P5" s="478">
        <f>tertiair!P16</f>
        <v>19.066666666666666</v>
      </c>
      <c r="Q5" s="476">
        <f t="shared" ref="Q5:Q14" ca="1" si="0">SUM(B5:P5)</f>
        <v>89502.238892702415</v>
      </c>
    </row>
    <row r="6" spans="1:17">
      <c r="A6" s="476" t="s">
        <v>194</v>
      </c>
      <c r="B6" s="477">
        <f>'openbare verlichting'!B8</f>
        <v>1886.4169999999999</v>
      </c>
      <c r="C6" s="477"/>
      <c r="D6" s="477"/>
      <c r="E6" s="477"/>
      <c r="F6" s="477"/>
      <c r="G6" s="477"/>
      <c r="H6" s="477"/>
      <c r="I6" s="477"/>
      <c r="J6" s="477"/>
      <c r="K6" s="477"/>
      <c r="L6" s="477"/>
      <c r="M6" s="477"/>
      <c r="N6" s="477"/>
      <c r="O6" s="477"/>
      <c r="P6" s="478"/>
      <c r="Q6" s="476">
        <f t="shared" si="0"/>
        <v>1886.4169999999999</v>
      </c>
    </row>
    <row r="7" spans="1:17">
      <c r="A7" s="476" t="s">
        <v>112</v>
      </c>
      <c r="B7" s="477">
        <f>landbouw!B8</f>
        <v>1523.29664258</v>
      </c>
      <c r="C7" s="477">
        <f>landbouw!C8</f>
        <v>0</v>
      </c>
      <c r="D7" s="477">
        <f>landbouw!D8</f>
        <v>416.84898417327003</v>
      </c>
      <c r="E7" s="477">
        <f>landbouw!E8</f>
        <v>39.2799716292363</v>
      </c>
      <c r="F7" s="477">
        <f>landbouw!F8</f>
        <v>5567.9393263833599</v>
      </c>
      <c r="G7" s="477">
        <f>landbouw!G8</f>
        <v>0</v>
      </c>
      <c r="H7" s="477">
        <f>landbouw!H8</f>
        <v>0</v>
      </c>
      <c r="I7" s="477">
        <f>landbouw!I8</f>
        <v>0</v>
      </c>
      <c r="J7" s="477">
        <f>landbouw!J8</f>
        <v>219.29867954030726</v>
      </c>
      <c r="K7" s="477">
        <f>landbouw!K8</f>
        <v>0</v>
      </c>
      <c r="L7" s="477">
        <f>landbouw!L8</f>
        <v>0</v>
      </c>
      <c r="M7" s="477">
        <f>landbouw!M8</f>
        <v>0</v>
      </c>
      <c r="N7" s="477">
        <f>landbouw!N8</f>
        <v>0</v>
      </c>
      <c r="O7" s="477">
        <f>landbouw!O8</f>
        <v>0</v>
      </c>
      <c r="P7" s="478">
        <f>landbouw!P8</f>
        <v>0</v>
      </c>
      <c r="Q7" s="476">
        <f t="shared" si="0"/>
        <v>7766.6636043061744</v>
      </c>
    </row>
    <row r="8" spans="1:17">
      <c r="A8" s="476" t="s">
        <v>638</v>
      </c>
      <c r="B8" s="477">
        <f>industrie!B18</f>
        <v>91200.388407340011</v>
      </c>
      <c r="C8" s="477">
        <f>industrie!C18</f>
        <v>0</v>
      </c>
      <c r="D8" s="477">
        <f>industrie!D18</f>
        <v>64821.268255678224</v>
      </c>
      <c r="E8" s="477">
        <f>industrie!E18</f>
        <v>4304.1537217264822</v>
      </c>
      <c r="F8" s="477">
        <f>industrie!F18</f>
        <v>17931.352147469046</v>
      </c>
      <c r="G8" s="477">
        <f>industrie!G18</f>
        <v>0</v>
      </c>
      <c r="H8" s="477">
        <f>industrie!H18</f>
        <v>0</v>
      </c>
      <c r="I8" s="477">
        <f>industrie!I18</f>
        <v>0</v>
      </c>
      <c r="J8" s="477">
        <f>industrie!J18</f>
        <v>492.1674751894007</v>
      </c>
      <c r="K8" s="477">
        <f>industrie!K18</f>
        <v>0</v>
      </c>
      <c r="L8" s="477">
        <f>industrie!L18</f>
        <v>0</v>
      </c>
      <c r="M8" s="477">
        <f>industrie!M18</f>
        <v>0</v>
      </c>
      <c r="N8" s="477">
        <f>industrie!N18</f>
        <v>15360.642779369349</v>
      </c>
      <c r="O8" s="477">
        <f>industrie!O18</f>
        <v>0</v>
      </c>
      <c r="P8" s="478">
        <f>industrie!P18</f>
        <v>0</v>
      </c>
      <c r="Q8" s="476">
        <f t="shared" si="0"/>
        <v>194109.97278677247</v>
      </c>
    </row>
    <row r="9" spans="1:17" s="482" customFormat="1">
      <c r="A9" s="480" t="s">
        <v>564</v>
      </c>
      <c r="B9" s="481">
        <f>transport!B14</f>
        <v>54.901687885360971</v>
      </c>
      <c r="C9" s="481">
        <f>transport!C14</f>
        <v>0</v>
      </c>
      <c r="D9" s="481">
        <f>transport!D14</f>
        <v>120.0202291312365</v>
      </c>
      <c r="E9" s="481">
        <f>transport!E14</f>
        <v>529.461687026655</v>
      </c>
      <c r="F9" s="481">
        <f>transport!F14</f>
        <v>0</v>
      </c>
      <c r="G9" s="481">
        <f>transport!G14</f>
        <v>179974.40277491423</v>
      </c>
      <c r="H9" s="481">
        <f>transport!H14</f>
        <v>33095.492187718744</v>
      </c>
      <c r="I9" s="481">
        <f>transport!I14</f>
        <v>0</v>
      </c>
      <c r="J9" s="481">
        <f>transport!J14</f>
        <v>0</v>
      </c>
      <c r="K9" s="481">
        <f>transport!K14</f>
        <v>0</v>
      </c>
      <c r="L9" s="481">
        <f>transport!L14</f>
        <v>0</v>
      </c>
      <c r="M9" s="481">
        <f>transport!M14</f>
        <v>6661.6148359225117</v>
      </c>
      <c r="N9" s="481">
        <f>transport!N14</f>
        <v>0</v>
      </c>
      <c r="O9" s="481">
        <f>transport!O14</f>
        <v>0</v>
      </c>
      <c r="P9" s="481">
        <f>transport!P14</f>
        <v>0</v>
      </c>
      <c r="Q9" s="480">
        <f>SUM(B9:P9)</f>
        <v>220435.89340259874</v>
      </c>
    </row>
    <row r="10" spans="1:17">
      <c r="A10" s="476" t="s">
        <v>554</v>
      </c>
      <c r="B10" s="477">
        <f>transport!B54</f>
        <v>0</v>
      </c>
      <c r="C10" s="477">
        <f>transport!C54</f>
        <v>0</v>
      </c>
      <c r="D10" s="477">
        <f>transport!D54</f>
        <v>0</v>
      </c>
      <c r="E10" s="477">
        <f>transport!E54</f>
        <v>0</v>
      </c>
      <c r="F10" s="477">
        <f>transport!F54</f>
        <v>0</v>
      </c>
      <c r="G10" s="477">
        <f>transport!G54</f>
        <v>1545.0858755544627</v>
      </c>
      <c r="H10" s="477">
        <f>transport!H54</f>
        <v>0</v>
      </c>
      <c r="I10" s="477">
        <f>transport!I54</f>
        <v>0</v>
      </c>
      <c r="J10" s="477">
        <f>transport!J54</f>
        <v>0</v>
      </c>
      <c r="K10" s="477">
        <f>transport!K54</f>
        <v>0</v>
      </c>
      <c r="L10" s="477">
        <f>transport!L54</f>
        <v>0</v>
      </c>
      <c r="M10" s="477">
        <f>transport!M54</f>
        <v>47.925107221254009</v>
      </c>
      <c r="N10" s="477">
        <f>transport!N54</f>
        <v>0</v>
      </c>
      <c r="O10" s="477">
        <f>transport!O54</f>
        <v>0</v>
      </c>
      <c r="P10" s="478">
        <f>transport!P54</f>
        <v>0</v>
      </c>
      <c r="Q10" s="476">
        <f t="shared" si="0"/>
        <v>1593.0109827757167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1647.8492335000001</v>
      </c>
      <c r="C14" s="484"/>
      <c r="D14" s="484">
        <f>'SEAP template'!E25</f>
        <v>2826.3877156000003</v>
      </c>
      <c r="E14" s="484"/>
      <c r="F14" s="484"/>
      <c r="G14" s="484"/>
      <c r="H14" s="484"/>
      <c r="I14" s="484"/>
      <c r="J14" s="484"/>
      <c r="K14" s="484"/>
      <c r="L14" s="484"/>
      <c r="M14" s="484"/>
      <c r="N14" s="484"/>
      <c r="O14" s="484"/>
      <c r="P14" s="485"/>
      <c r="Q14" s="476">
        <f t="shared" si="0"/>
        <v>4474.2369491000009</v>
      </c>
    </row>
    <row r="15" spans="1:17" s="486" customFormat="1">
      <c r="A15" s="1038" t="s">
        <v>558</v>
      </c>
      <c r="B15" s="978">
        <f ca="1">SUM(B4:B14)</f>
        <v>179030.45850755431</v>
      </c>
      <c r="C15" s="978">
        <f t="shared" ref="C15:Q15" ca="1" si="1">SUM(C4:C14)</f>
        <v>0</v>
      </c>
      <c r="D15" s="978">
        <f t="shared" ca="1" si="1"/>
        <v>201361.01879365154</v>
      </c>
      <c r="E15" s="978">
        <f t="shared" si="1"/>
        <v>10402.224248226554</v>
      </c>
      <c r="F15" s="978">
        <f t="shared" ca="1" si="1"/>
        <v>32433.800090279412</v>
      </c>
      <c r="G15" s="978">
        <f t="shared" si="1"/>
        <v>181519.4886504687</v>
      </c>
      <c r="H15" s="978">
        <f t="shared" si="1"/>
        <v>33095.492187718744</v>
      </c>
      <c r="I15" s="978">
        <f t="shared" si="1"/>
        <v>0</v>
      </c>
      <c r="J15" s="978">
        <f t="shared" si="1"/>
        <v>6499.9726373421536</v>
      </c>
      <c r="K15" s="978">
        <f t="shared" si="1"/>
        <v>0</v>
      </c>
      <c r="L15" s="978">
        <f t="shared" ca="1" si="1"/>
        <v>0</v>
      </c>
      <c r="M15" s="978">
        <f t="shared" si="1"/>
        <v>6709.5399431437654</v>
      </c>
      <c r="N15" s="978">
        <f t="shared" ca="1" si="1"/>
        <v>30858.51905070684</v>
      </c>
      <c r="O15" s="978">
        <f t="shared" si="1"/>
        <v>287.65333333333336</v>
      </c>
      <c r="P15" s="978">
        <f t="shared" si="1"/>
        <v>762.66666666666674</v>
      </c>
      <c r="Q15" s="978">
        <f t="shared" ca="1" si="1"/>
        <v>682960.83410909213</v>
      </c>
    </row>
    <row r="17" spans="1:17">
      <c r="A17" s="487" t="s">
        <v>559</v>
      </c>
      <c r="B17" s="786">
        <f ca="1">huishoudens!B10</f>
        <v>0.21198588140035471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9943.9683471925837</v>
      </c>
      <c r="C22" s="477">
        <f t="shared" ref="C22:C32" ca="1" si="3">C4*$C$17</f>
        <v>0</v>
      </c>
      <c r="D22" s="477">
        <f t="shared" ref="D22:D32" si="4">D4*$D$17</f>
        <v>18645.887423357923</v>
      </c>
      <c r="E22" s="477">
        <f t="shared" ref="E22:E32" si="5">E4*$E$17</f>
        <v>1090.40828182164</v>
      </c>
      <c r="F22" s="477">
        <f t="shared" ref="F22:F32" si="6">F4*$F$17</f>
        <v>0</v>
      </c>
      <c r="G22" s="477">
        <f t="shared" ref="G22:G32" si="7">G4*$G$17</f>
        <v>0</v>
      </c>
      <c r="H22" s="477">
        <f t="shared" ref="H22:H32" si="8">H4*$H$17</f>
        <v>0</v>
      </c>
      <c r="I22" s="477">
        <f t="shared" ref="I22:I32" si="9">I4*$I$17</f>
        <v>0</v>
      </c>
      <c r="J22" s="477">
        <f t="shared" ref="J22:J32" si="10">J4*$J$17</f>
        <v>2049.1312948448053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31729.395347216956</v>
      </c>
    </row>
    <row r="23" spans="1:17">
      <c r="A23" s="476" t="s">
        <v>156</v>
      </c>
      <c r="B23" s="477">
        <f t="shared" ca="1" si="2"/>
        <v>7590.9961697360095</v>
      </c>
      <c r="C23" s="477">
        <f t="shared" ca="1" si="3"/>
        <v>0</v>
      </c>
      <c r="D23" s="477">
        <f t="shared" ca="1" si="4"/>
        <v>8255.7642856739785</v>
      </c>
      <c r="E23" s="477">
        <f t="shared" si="5"/>
        <v>164.74937117898926</v>
      </c>
      <c r="F23" s="477">
        <f t="shared" ca="1" si="6"/>
        <v>2385.5138005860108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18397.023627174989</v>
      </c>
    </row>
    <row r="24" spans="1:17">
      <c r="A24" s="476" t="s">
        <v>194</v>
      </c>
      <c r="B24" s="477">
        <f t="shared" ca="1" si="2"/>
        <v>399.89377043361293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399.89377043361293</v>
      </c>
    </row>
    <row r="25" spans="1:17">
      <c r="A25" s="476" t="s">
        <v>112</v>
      </c>
      <c r="B25" s="477">
        <f t="shared" ca="1" si="2"/>
        <v>322.9173814115224</v>
      </c>
      <c r="C25" s="477">
        <f t="shared" ca="1" si="3"/>
        <v>0</v>
      </c>
      <c r="D25" s="477">
        <f t="shared" si="4"/>
        <v>84.203494803000552</v>
      </c>
      <c r="E25" s="477">
        <f t="shared" si="5"/>
        <v>8.9165535598366397</v>
      </c>
      <c r="F25" s="477">
        <f t="shared" si="6"/>
        <v>1486.6398001443572</v>
      </c>
      <c r="G25" s="477">
        <f t="shared" si="7"/>
        <v>0</v>
      </c>
      <c r="H25" s="477">
        <f t="shared" si="8"/>
        <v>0</v>
      </c>
      <c r="I25" s="477">
        <f t="shared" si="9"/>
        <v>0</v>
      </c>
      <c r="J25" s="477">
        <f t="shared" si="10"/>
        <v>77.631732557268762</v>
      </c>
      <c r="K25" s="477">
        <f t="shared" si="11"/>
        <v>0</v>
      </c>
      <c r="L25" s="477">
        <f t="shared" si="12"/>
        <v>0</v>
      </c>
      <c r="M25" s="477">
        <f t="shared" si="13"/>
        <v>0</v>
      </c>
      <c r="N25" s="477">
        <f t="shared" si="14"/>
        <v>0</v>
      </c>
      <c r="O25" s="477">
        <f t="shared" si="15"/>
        <v>0</v>
      </c>
      <c r="P25" s="478">
        <f t="shared" si="16"/>
        <v>0</v>
      </c>
      <c r="Q25" s="476">
        <f t="shared" ca="1" si="17"/>
        <v>1980.3089624759857</v>
      </c>
    </row>
    <row r="26" spans="1:17">
      <c r="A26" s="476" t="s">
        <v>638</v>
      </c>
      <c r="B26" s="477">
        <f t="shared" ca="1" si="2"/>
        <v>19333.194720584663</v>
      </c>
      <c r="C26" s="477">
        <f t="shared" ca="1" si="3"/>
        <v>0</v>
      </c>
      <c r="D26" s="477">
        <f t="shared" si="4"/>
        <v>13093.896187647002</v>
      </c>
      <c r="E26" s="477">
        <f t="shared" si="5"/>
        <v>977.04289483191144</v>
      </c>
      <c r="F26" s="477">
        <f t="shared" si="6"/>
        <v>4787.6710233742351</v>
      </c>
      <c r="G26" s="477">
        <f t="shared" si="7"/>
        <v>0</v>
      </c>
      <c r="H26" s="477">
        <f t="shared" si="8"/>
        <v>0</v>
      </c>
      <c r="I26" s="477">
        <f t="shared" si="9"/>
        <v>0</v>
      </c>
      <c r="J26" s="477">
        <f t="shared" si="10"/>
        <v>174.22728621704783</v>
      </c>
      <c r="K26" s="477">
        <f t="shared" si="11"/>
        <v>0</v>
      </c>
      <c r="L26" s="477">
        <f t="shared" si="12"/>
        <v>0</v>
      </c>
      <c r="M26" s="477">
        <f t="shared" si="13"/>
        <v>0</v>
      </c>
      <c r="N26" s="477">
        <f t="shared" si="14"/>
        <v>0</v>
      </c>
      <c r="O26" s="477">
        <f t="shared" si="15"/>
        <v>0</v>
      </c>
      <c r="P26" s="478">
        <f t="shared" si="16"/>
        <v>0</v>
      </c>
      <c r="Q26" s="476">
        <f t="shared" ca="1" si="17"/>
        <v>38366.032112654859</v>
      </c>
    </row>
    <row r="27" spans="1:17" s="482" customFormat="1">
      <c r="A27" s="480" t="s">
        <v>564</v>
      </c>
      <c r="B27" s="780">
        <f t="shared" ca="1" si="2"/>
        <v>11.638382696745422</v>
      </c>
      <c r="C27" s="481">
        <f t="shared" ca="1" si="3"/>
        <v>0</v>
      </c>
      <c r="D27" s="481">
        <f t="shared" si="4"/>
        <v>24.244086284509777</v>
      </c>
      <c r="E27" s="481">
        <f t="shared" si="5"/>
        <v>120.18780295505069</v>
      </c>
      <c r="F27" s="481">
        <f t="shared" si="6"/>
        <v>0</v>
      </c>
      <c r="G27" s="481">
        <f t="shared" si="7"/>
        <v>48053.165540902104</v>
      </c>
      <c r="H27" s="481">
        <f t="shared" si="8"/>
        <v>8240.7775547419678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56450.013367580374</v>
      </c>
    </row>
    <row r="28" spans="1:17">
      <c r="A28" s="476" t="s">
        <v>554</v>
      </c>
      <c r="B28" s="477">
        <f t="shared" ca="1" si="2"/>
        <v>0</v>
      </c>
      <c r="C28" s="477">
        <f t="shared" ca="1" si="3"/>
        <v>0</v>
      </c>
      <c r="D28" s="477">
        <f t="shared" si="4"/>
        <v>0</v>
      </c>
      <c r="E28" s="477">
        <f t="shared" si="5"/>
        <v>0</v>
      </c>
      <c r="F28" s="477">
        <f t="shared" si="6"/>
        <v>0</v>
      </c>
      <c r="G28" s="477">
        <f t="shared" si="7"/>
        <v>412.53792877304159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412.53792877304159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349.32077217839645</v>
      </c>
      <c r="C32" s="477">
        <f t="shared" ca="1" si="3"/>
        <v>0</v>
      </c>
      <c r="D32" s="477">
        <f t="shared" si="4"/>
        <v>570.93031855120012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920.25109072959663</v>
      </c>
    </row>
    <row r="33" spans="1:17" s="486" customFormat="1">
      <c r="A33" s="1038" t="s">
        <v>558</v>
      </c>
      <c r="B33" s="978">
        <f ca="1">SUM(B22:B32)</f>
        <v>37951.929544233535</v>
      </c>
      <c r="C33" s="978">
        <f t="shared" ref="C33:Q33" ca="1" si="18">SUM(C22:C32)</f>
        <v>0</v>
      </c>
      <c r="D33" s="978">
        <f t="shared" ca="1" si="18"/>
        <v>40674.925796317621</v>
      </c>
      <c r="E33" s="978">
        <f t="shared" si="18"/>
        <v>2361.304904347428</v>
      </c>
      <c r="F33" s="978">
        <f t="shared" ca="1" si="18"/>
        <v>8659.8246241046036</v>
      </c>
      <c r="G33" s="978">
        <f t="shared" si="18"/>
        <v>48465.703469675143</v>
      </c>
      <c r="H33" s="978">
        <f t="shared" si="18"/>
        <v>8240.7775547419678</v>
      </c>
      <c r="I33" s="978">
        <f t="shared" si="18"/>
        <v>0</v>
      </c>
      <c r="J33" s="978">
        <f t="shared" si="18"/>
        <v>2300.9903136191219</v>
      </c>
      <c r="K33" s="978">
        <f t="shared" si="18"/>
        <v>0</v>
      </c>
      <c r="L33" s="978">
        <f t="shared" ca="1" si="18"/>
        <v>0</v>
      </c>
      <c r="M33" s="978">
        <f t="shared" si="18"/>
        <v>0</v>
      </c>
      <c r="N33" s="978">
        <f t="shared" ca="1" si="18"/>
        <v>0</v>
      </c>
      <c r="O33" s="978">
        <f t="shared" si="18"/>
        <v>0</v>
      </c>
      <c r="P33" s="978">
        <f t="shared" si="18"/>
        <v>0</v>
      </c>
      <c r="Q33" s="978">
        <f t="shared" ca="1" si="18"/>
        <v>148655.45620703942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7302.270524597141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7302.270524597141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0.21198588140035471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0.21198588140035471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0.21198588140035471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0.21198588140035471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10891</v>
      </c>
      <c r="C9" s="342">
        <v>10957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1710.36</v>
      </c>
    </row>
    <row r="15" spans="1:6">
      <c r="A15" s="348" t="s">
        <v>184</v>
      </c>
      <c r="B15" s="334">
        <v>13</v>
      </c>
    </row>
    <row r="16" spans="1:6">
      <c r="A16" s="348" t="s">
        <v>6</v>
      </c>
      <c r="B16" s="334">
        <v>494</v>
      </c>
    </row>
    <row r="17" spans="1:6">
      <c r="A17" s="348" t="s">
        <v>7</v>
      </c>
      <c r="B17" s="334">
        <v>539</v>
      </c>
    </row>
    <row r="18" spans="1:6">
      <c r="A18" s="348" t="s">
        <v>8</v>
      </c>
      <c r="B18" s="334">
        <v>764</v>
      </c>
    </row>
    <row r="19" spans="1:6">
      <c r="A19" s="348" t="s">
        <v>9</v>
      </c>
      <c r="B19" s="334">
        <v>675</v>
      </c>
    </row>
    <row r="20" spans="1:6">
      <c r="A20" s="348" t="s">
        <v>10</v>
      </c>
      <c r="B20" s="334">
        <v>796</v>
      </c>
    </row>
    <row r="21" spans="1:6">
      <c r="A21" s="348" t="s">
        <v>11</v>
      </c>
      <c r="B21" s="334">
        <v>0</v>
      </c>
    </row>
    <row r="22" spans="1:6">
      <c r="A22" s="348" t="s">
        <v>12</v>
      </c>
      <c r="B22" s="334">
        <v>1558</v>
      </c>
    </row>
    <row r="23" spans="1:6">
      <c r="A23" s="348" t="s">
        <v>13</v>
      </c>
      <c r="B23" s="334">
        <v>0</v>
      </c>
    </row>
    <row r="24" spans="1:6">
      <c r="A24" s="348" t="s">
        <v>14</v>
      </c>
      <c r="B24" s="334">
        <v>0</v>
      </c>
    </row>
    <row r="25" spans="1:6">
      <c r="A25" s="348" t="s">
        <v>15</v>
      </c>
      <c r="B25" s="334">
        <v>0</v>
      </c>
    </row>
    <row r="26" spans="1:6">
      <c r="A26" s="348" t="s">
        <v>16</v>
      </c>
      <c r="B26" s="334">
        <v>127</v>
      </c>
    </row>
    <row r="27" spans="1:6">
      <c r="A27" s="348" t="s">
        <v>17</v>
      </c>
      <c r="B27" s="334">
        <v>0</v>
      </c>
    </row>
    <row r="28" spans="1:6" s="356" customFormat="1">
      <c r="A28" s="355" t="s">
        <v>18</v>
      </c>
      <c r="B28" s="355">
        <v>30</v>
      </c>
    </row>
    <row r="29" spans="1:6">
      <c r="A29" s="355" t="s">
        <v>884</v>
      </c>
      <c r="B29" s="355">
        <v>86</v>
      </c>
      <c r="C29" s="356"/>
      <c r="D29" s="356"/>
      <c r="E29" s="356"/>
      <c r="F29" s="356"/>
    </row>
    <row r="30" spans="1:6">
      <c r="A30" s="355" t="s">
        <v>885</v>
      </c>
      <c r="B30" s="341">
        <v>25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118285.84535</v>
      </c>
      <c r="E38" s="334">
        <v>2</v>
      </c>
      <c r="F38" s="334">
        <v>69959.857730999996</v>
      </c>
    </row>
    <row r="39" spans="1:6">
      <c r="A39" s="348" t="s">
        <v>30</v>
      </c>
      <c r="B39" s="348" t="s">
        <v>31</v>
      </c>
      <c r="C39" s="334">
        <v>7278</v>
      </c>
      <c r="D39" s="334">
        <v>102335225.48</v>
      </c>
      <c r="E39" s="334">
        <v>10714</v>
      </c>
      <c r="F39" s="334">
        <v>43512647.233999997</v>
      </c>
    </row>
    <row r="40" spans="1:6">
      <c r="A40" s="348" t="s">
        <v>30</v>
      </c>
      <c r="B40" s="348" t="s">
        <v>29</v>
      </c>
      <c r="C40" s="334">
        <v>0</v>
      </c>
      <c r="D40" s="334">
        <v>0</v>
      </c>
      <c r="E40" s="334">
        <v>0</v>
      </c>
      <c r="F40" s="334">
        <v>0</v>
      </c>
    </row>
    <row r="41" spans="1:6">
      <c r="A41" s="348" t="s">
        <v>32</v>
      </c>
      <c r="B41" s="348" t="s">
        <v>33</v>
      </c>
      <c r="C41" s="334">
        <v>110</v>
      </c>
      <c r="D41" s="334">
        <v>3272161.8876999998</v>
      </c>
      <c r="E41" s="334">
        <v>212</v>
      </c>
      <c r="F41" s="334">
        <v>3416119.7393</v>
      </c>
    </row>
    <row r="42" spans="1:6">
      <c r="A42" s="348" t="s">
        <v>32</v>
      </c>
      <c r="B42" s="348" t="s">
        <v>34</v>
      </c>
      <c r="C42" s="334">
        <v>0</v>
      </c>
      <c r="D42" s="334">
        <v>0</v>
      </c>
      <c r="E42" s="334">
        <v>3</v>
      </c>
      <c r="F42" s="334">
        <v>20712988.919</v>
      </c>
    </row>
    <row r="43" spans="1:6">
      <c r="A43" s="348" t="s">
        <v>32</v>
      </c>
      <c r="B43" s="348" t="s">
        <v>35</v>
      </c>
      <c r="C43" s="334">
        <v>0</v>
      </c>
      <c r="D43" s="334">
        <v>0</v>
      </c>
      <c r="E43" s="334">
        <v>3</v>
      </c>
      <c r="F43" s="334">
        <v>1479329.9171</v>
      </c>
    </row>
    <row r="44" spans="1:6">
      <c r="A44" s="348" t="s">
        <v>32</v>
      </c>
      <c r="B44" s="348" t="s">
        <v>36</v>
      </c>
      <c r="C44" s="334">
        <v>7</v>
      </c>
      <c r="D44" s="334">
        <v>1027630.0223</v>
      </c>
      <c r="E44" s="334">
        <v>29</v>
      </c>
      <c r="F44" s="334">
        <v>2548900.3254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186084.00120999999</v>
      </c>
      <c r="E47" s="334">
        <v>13</v>
      </c>
      <c r="F47" s="334">
        <v>234268.80760999999</v>
      </c>
    </row>
    <row r="48" spans="1:6">
      <c r="A48" s="348" t="s">
        <v>32</v>
      </c>
      <c r="B48" s="348" t="s">
        <v>29</v>
      </c>
      <c r="C48" s="334">
        <v>40</v>
      </c>
      <c r="D48" s="334">
        <v>66009093.419</v>
      </c>
      <c r="E48" s="334">
        <v>37</v>
      </c>
      <c r="F48" s="334">
        <v>58773611.950000003</v>
      </c>
    </row>
    <row r="49" spans="1:6">
      <c r="A49" s="348" t="s">
        <v>32</v>
      </c>
      <c r="B49" s="348" t="s">
        <v>40</v>
      </c>
      <c r="C49" s="334">
        <v>0</v>
      </c>
      <c r="D49" s="334">
        <v>0</v>
      </c>
      <c r="E49" s="334">
        <v>10</v>
      </c>
      <c r="F49" s="334">
        <v>102929.95043</v>
      </c>
    </row>
    <row r="50" spans="1:6">
      <c r="A50" s="348" t="s">
        <v>32</v>
      </c>
      <c r="B50" s="348" t="s">
        <v>41</v>
      </c>
      <c r="C50" s="334">
        <v>15</v>
      </c>
      <c r="D50" s="334">
        <v>1368964.4343999999</v>
      </c>
      <c r="E50" s="334">
        <v>21</v>
      </c>
      <c r="F50" s="334">
        <v>3932238.7985</v>
      </c>
    </row>
    <row r="51" spans="1:6">
      <c r="A51" s="348" t="s">
        <v>42</v>
      </c>
      <c r="B51" s="348" t="s">
        <v>43</v>
      </c>
      <c r="C51" s="334">
        <v>23</v>
      </c>
      <c r="D51" s="334">
        <v>398729.22855</v>
      </c>
      <c r="E51" s="334">
        <v>122</v>
      </c>
      <c r="F51" s="334">
        <v>1293166.352</v>
      </c>
    </row>
    <row r="52" spans="1:6">
      <c r="A52" s="348" t="s">
        <v>42</v>
      </c>
      <c r="B52" s="348" t="s">
        <v>29</v>
      </c>
      <c r="C52" s="334">
        <v>2</v>
      </c>
      <c r="D52" s="334">
        <v>63409.334835000001</v>
      </c>
      <c r="E52" s="334">
        <v>6</v>
      </c>
      <c r="F52" s="334">
        <v>230130.29058</v>
      </c>
    </row>
    <row r="53" spans="1:6">
      <c r="A53" s="348" t="s">
        <v>44</v>
      </c>
      <c r="B53" s="348" t="s">
        <v>45</v>
      </c>
      <c r="C53" s="334">
        <v>213</v>
      </c>
      <c r="D53" s="334">
        <v>2826387.7156000002</v>
      </c>
      <c r="E53" s="334">
        <v>456</v>
      </c>
      <c r="F53" s="334">
        <v>1647849.2335000001</v>
      </c>
    </row>
    <row r="54" spans="1:6">
      <c r="A54" s="348" t="s">
        <v>46</v>
      </c>
      <c r="B54" s="348" t="s">
        <v>47</v>
      </c>
      <c r="C54" s="334">
        <v>0</v>
      </c>
      <c r="D54" s="334">
        <v>0</v>
      </c>
      <c r="E54" s="334">
        <v>3</v>
      </c>
      <c r="F54" s="334">
        <v>1886417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82</v>
      </c>
      <c r="D57" s="334">
        <v>7425912.6023000004</v>
      </c>
      <c r="E57" s="334">
        <v>202</v>
      </c>
      <c r="F57" s="334">
        <v>3308736.1568999998</v>
      </c>
    </row>
    <row r="58" spans="1:6">
      <c r="A58" s="348" t="s">
        <v>49</v>
      </c>
      <c r="B58" s="348" t="s">
        <v>51</v>
      </c>
      <c r="C58" s="334">
        <v>39</v>
      </c>
      <c r="D58" s="334">
        <v>2861452.8287</v>
      </c>
      <c r="E58" s="334">
        <v>47</v>
      </c>
      <c r="F58" s="334">
        <v>871246.91512999998</v>
      </c>
    </row>
    <row r="59" spans="1:6">
      <c r="A59" s="348" t="s">
        <v>49</v>
      </c>
      <c r="B59" s="348" t="s">
        <v>52</v>
      </c>
      <c r="C59" s="334">
        <v>191</v>
      </c>
      <c r="D59" s="334">
        <v>7592643.7423</v>
      </c>
      <c r="E59" s="334">
        <v>382</v>
      </c>
      <c r="F59" s="334">
        <v>13372421.632999999</v>
      </c>
    </row>
    <row r="60" spans="1:6">
      <c r="A60" s="348" t="s">
        <v>49</v>
      </c>
      <c r="B60" s="348" t="s">
        <v>53</v>
      </c>
      <c r="C60" s="334">
        <v>97</v>
      </c>
      <c r="D60" s="334">
        <v>3643606.0685999999</v>
      </c>
      <c r="E60" s="334">
        <v>122</v>
      </c>
      <c r="F60" s="334">
        <v>2521770.0033999998</v>
      </c>
    </row>
    <row r="61" spans="1:6">
      <c r="A61" s="348" t="s">
        <v>49</v>
      </c>
      <c r="B61" s="348" t="s">
        <v>54</v>
      </c>
      <c r="C61" s="334">
        <v>241</v>
      </c>
      <c r="D61" s="334">
        <v>8223389.0225</v>
      </c>
      <c r="E61" s="334">
        <v>476</v>
      </c>
      <c r="F61" s="334">
        <v>8798902.5240000002</v>
      </c>
    </row>
    <row r="62" spans="1:6">
      <c r="A62" s="348" t="s">
        <v>49</v>
      </c>
      <c r="B62" s="348" t="s">
        <v>55</v>
      </c>
      <c r="C62" s="334">
        <v>25</v>
      </c>
      <c r="D62" s="334">
        <v>6246871.7103000004</v>
      </c>
      <c r="E62" s="334">
        <v>21</v>
      </c>
      <c r="F62" s="334">
        <v>1396845.5814</v>
      </c>
    </row>
    <row r="63" spans="1:6">
      <c r="A63" s="348" t="s">
        <v>49</v>
      </c>
      <c r="B63" s="348" t="s">
        <v>29</v>
      </c>
      <c r="C63" s="334">
        <v>91</v>
      </c>
      <c r="D63" s="334">
        <v>9316678.5997000001</v>
      </c>
      <c r="E63" s="334">
        <v>109</v>
      </c>
      <c r="F63" s="334">
        <v>5539047.6684999997</v>
      </c>
    </row>
    <row r="64" spans="1:6">
      <c r="A64" s="348" t="s">
        <v>56</v>
      </c>
      <c r="B64" s="348" t="s">
        <v>57</v>
      </c>
      <c r="C64" s="334">
        <v>0</v>
      </c>
      <c r="D64" s="334">
        <v>0</v>
      </c>
      <c r="E64" s="334">
        <v>0</v>
      </c>
      <c r="F64" s="334">
        <v>0</v>
      </c>
    </row>
    <row r="65" spans="1:6">
      <c r="A65" s="348" t="s">
        <v>56</v>
      </c>
      <c r="B65" s="348" t="s">
        <v>29</v>
      </c>
      <c r="C65" s="334">
        <v>2</v>
      </c>
      <c r="D65" s="334">
        <v>48378.831383999997</v>
      </c>
      <c r="E65" s="334">
        <v>2</v>
      </c>
      <c r="F65" s="334">
        <v>18033.369448000001</v>
      </c>
    </row>
    <row r="66" spans="1:6">
      <c r="A66" s="348" t="s">
        <v>56</v>
      </c>
      <c r="B66" s="348" t="s">
        <v>58</v>
      </c>
      <c r="C66" s="334">
        <v>0</v>
      </c>
      <c r="D66" s="334">
        <v>0</v>
      </c>
      <c r="E66" s="334">
        <v>16</v>
      </c>
      <c r="F66" s="334">
        <v>471005.72472</v>
      </c>
    </row>
    <row r="67" spans="1:6">
      <c r="A67" s="355" t="s">
        <v>56</v>
      </c>
      <c r="B67" s="355" t="s">
        <v>59</v>
      </c>
      <c r="C67" s="334">
        <v>0</v>
      </c>
      <c r="D67" s="334">
        <v>0</v>
      </c>
      <c r="E67" s="334">
        <v>0</v>
      </c>
      <c r="F67" s="334">
        <v>0</v>
      </c>
    </row>
    <row r="68" spans="1:6">
      <c r="A68" s="341" t="s">
        <v>56</v>
      </c>
      <c r="B68" s="341" t="s">
        <v>60</v>
      </c>
      <c r="C68" s="334">
        <v>5</v>
      </c>
      <c r="D68" s="334">
        <v>244926.51540999999</v>
      </c>
      <c r="E68" s="334">
        <v>14</v>
      </c>
      <c r="F68" s="334">
        <v>594083.07793999999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79264142</v>
      </c>
      <c r="E73" s="475">
        <v>94455548.197172806</v>
      </c>
    </row>
    <row r="74" spans="1:6">
      <c r="A74" s="348" t="s">
        <v>64</v>
      </c>
      <c r="B74" s="348" t="s">
        <v>667</v>
      </c>
      <c r="C74" s="1294" t="s">
        <v>669</v>
      </c>
      <c r="D74" s="475">
        <v>5943580.4838426169</v>
      </c>
      <c r="E74" s="475">
        <v>6562150.0863767518</v>
      </c>
    </row>
    <row r="75" spans="1:6">
      <c r="A75" s="348" t="s">
        <v>65</v>
      </c>
      <c r="B75" s="348" t="s">
        <v>666</v>
      </c>
      <c r="C75" s="1294" t="s">
        <v>670</v>
      </c>
      <c r="D75" s="475">
        <v>22397524</v>
      </c>
      <c r="E75" s="475">
        <v>25682158.15914876</v>
      </c>
    </row>
    <row r="76" spans="1:6">
      <c r="A76" s="348" t="s">
        <v>65</v>
      </c>
      <c r="B76" s="348" t="s">
        <v>667</v>
      </c>
      <c r="C76" s="1294" t="s">
        <v>671</v>
      </c>
      <c r="D76" s="475">
        <v>1309993.4838426171</v>
      </c>
      <c r="E76" s="475">
        <v>1381626.8256493725</v>
      </c>
    </row>
    <row r="77" spans="1:6">
      <c r="A77" s="348" t="s">
        <v>66</v>
      </c>
      <c r="B77" s="348" t="s">
        <v>666</v>
      </c>
      <c r="C77" s="1294" t="s">
        <v>672</v>
      </c>
      <c r="D77" s="475">
        <v>132625278</v>
      </c>
      <c r="E77" s="475">
        <v>131479359.28369926</v>
      </c>
    </row>
    <row r="78" spans="1:6">
      <c r="A78" s="341" t="s">
        <v>66</v>
      </c>
      <c r="B78" s="341" t="s">
        <v>667</v>
      </c>
      <c r="C78" s="341" t="s">
        <v>673</v>
      </c>
      <c r="D78" s="1295">
        <v>16805491</v>
      </c>
      <c r="E78" s="1295">
        <v>16815559.760749996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427861.03231476556</v>
      </c>
      <c r="C83" s="475">
        <v>427861.03231476556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3395.9878199189502</v>
      </c>
    </row>
    <row r="92" spans="1:6">
      <c r="A92" s="341" t="s">
        <v>69</v>
      </c>
      <c r="B92" s="342">
        <v>3906.2827046781908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4298</v>
      </c>
    </row>
    <row r="98" spans="1:6">
      <c r="A98" s="348" t="s">
        <v>72</v>
      </c>
      <c r="B98" s="334">
        <v>2</v>
      </c>
    </row>
    <row r="99" spans="1:6">
      <c r="A99" s="348" t="s">
        <v>73</v>
      </c>
      <c r="B99" s="334">
        <v>96</v>
      </c>
    </row>
    <row r="100" spans="1:6">
      <c r="A100" s="348" t="s">
        <v>74</v>
      </c>
      <c r="B100" s="334">
        <v>1348</v>
      </c>
    </row>
    <row r="101" spans="1:6">
      <c r="A101" s="348" t="s">
        <v>75</v>
      </c>
      <c r="B101" s="334">
        <v>87</v>
      </c>
    </row>
    <row r="102" spans="1:6">
      <c r="A102" s="348" t="s">
        <v>76</v>
      </c>
      <c r="B102" s="334">
        <v>169</v>
      </c>
    </row>
    <row r="103" spans="1:6">
      <c r="A103" s="348" t="s">
        <v>77</v>
      </c>
      <c r="B103" s="334">
        <v>485</v>
      </c>
    </row>
    <row r="104" spans="1:6">
      <c r="A104" s="348" t="s">
        <v>78</v>
      </c>
      <c r="B104" s="334">
        <v>2881</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19</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6</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179030.45850755431</v>
      </c>
      <c r="C3" s="43" t="s">
        <v>170</v>
      </c>
      <c r="D3" s="43"/>
      <c r="E3" s="154"/>
      <c r="F3" s="43"/>
      <c r="G3" s="43"/>
      <c r="H3" s="43"/>
      <c r="I3" s="43"/>
      <c r="J3" s="43"/>
      <c r="K3" s="96"/>
    </row>
    <row r="4" spans="1:11">
      <c r="A4" s="383" t="s">
        <v>171</v>
      </c>
      <c r="B4" s="49">
        <f>IF(ISERROR('SEAP template'!B78+'SEAP template'!C78),0,'SEAP template'!B78+'SEAP template'!C78)</f>
        <v>7302.270524597141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0.21198588140035471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1886.4169999999999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1886.4169999999999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0.21198588140035471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399.89377043361293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43512.647233999996</v>
      </c>
      <c r="C5" s="17">
        <f>IF(ISERROR('Eigen informatie GS &amp; warmtenet'!B57),0,'Eigen informatie GS &amp; warmtenet'!B57)</f>
        <v>0</v>
      </c>
      <c r="D5" s="30">
        <f>(SUM(HH_hh_gas_kWh,HH_rest_gas_kWh)/1000)*0.902</f>
        <v>92306.37338296001</v>
      </c>
      <c r="E5" s="17">
        <f>B46*B57</f>
        <v>4803.5607128706606</v>
      </c>
      <c r="F5" s="17">
        <f>B51*B62</f>
        <v>0</v>
      </c>
      <c r="G5" s="18"/>
      <c r="H5" s="17"/>
      <c r="I5" s="17"/>
      <c r="J5" s="17">
        <f>B50*B61+C50*C61</f>
        <v>5788.5064826124453</v>
      </c>
      <c r="K5" s="17"/>
      <c r="L5" s="17"/>
      <c r="M5" s="17"/>
      <c r="N5" s="17">
        <f>B48*B59+C48*C59</f>
        <v>12363.451525141078</v>
      </c>
      <c r="O5" s="17">
        <f>B69*B70*B71</f>
        <v>278.27333333333337</v>
      </c>
      <c r="P5" s="17">
        <f>B77*B78*B79/1000-B77*B78*B79/1000/B80</f>
        <v>743.6</v>
      </c>
    </row>
    <row r="6" spans="1:16">
      <c r="A6" s="16" t="s">
        <v>624</v>
      </c>
      <c r="B6" s="788">
        <f>kWh_PV_kleiner_dan_10kW</f>
        <v>3395.9878199189502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46908.635053918944</v>
      </c>
      <c r="C8" s="21">
        <f>C5</f>
        <v>0</v>
      </c>
      <c r="D8" s="21">
        <f>D5</f>
        <v>92306.37338296001</v>
      </c>
      <c r="E8" s="21">
        <f>E5</f>
        <v>4803.5607128706606</v>
      </c>
      <c r="F8" s="21">
        <f>F5</f>
        <v>0</v>
      </c>
      <c r="G8" s="21"/>
      <c r="H8" s="21"/>
      <c r="I8" s="21"/>
      <c r="J8" s="21">
        <f>J5</f>
        <v>5788.5064826124453</v>
      </c>
      <c r="K8" s="21"/>
      <c r="L8" s="21">
        <f>L5</f>
        <v>0</v>
      </c>
      <c r="M8" s="21">
        <f>M5</f>
        <v>0</v>
      </c>
      <c r="N8" s="21">
        <f>N5</f>
        <v>12363.451525141078</v>
      </c>
      <c r="O8" s="21">
        <f>O5</f>
        <v>278.27333333333337</v>
      </c>
      <c r="P8" s="21">
        <f>P5</f>
        <v>743.6</v>
      </c>
    </row>
    <row r="9" spans="1:16">
      <c r="B9" s="19"/>
      <c r="C9" s="19"/>
      <c r="D9" s="258"/>
      <c r="E9" s="19"/>
      <c r="F9" s="19"/>
      <c r="G9" s="19"/>
      <c r="H9" s="19"/>
      <c r="I9" s="19"/>
      <c r="J9" s="19"/>
      <c r="K9" s="19"/>
      <c r="L9" s="19"/>
      <c r="M9" s="19"/>
      <c r="N9" s="19"/>
      <c r="O9" s="19"/>
      <c r="P9" s="19"/>
    </row>
    <row r="10" spans="1:16">
      <c r="A10" s="24" t="s">
        <v>214</v>
      </c>
      <c r="B10" s="25">
        <f ca="1">'EF ele_warmte'!B12</f>
        <v>0.21198588140035471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9943.9683471925837</v>
      </c>
      <c r="C12" s="23">
        <f ca="1">C10*C8</f>
        <v>0</v>
      </c>
      <c r="D12" s="23">
        <f>D8*D10</f>
        <v>18645.887423357923</v>
      </c>
      <c r="E12" s="23">
        <f>E10*E8</f>
        <v>1090.40828182164</v>
      </c>
      <c r="F12" s="23">
        <f>F10*F8</f>
        <v>0</v>
      </c>
      <c r="G12" s="23"/>
      <c r="H12" s="23"/>
      <c r="I12" s="23"/>
      <c r="J12" s="23">
        <f>J10*J8</f>
        <v>2049.1312948448053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4298</v>
      </c>
      <c r="C18" s="166" t="s">
        <v>111</v>
      </c>
      <c r="D18" s="228"/>
      <c r="E18" s="15"/>
    </row>
    <row r="19" spans="1:7">
      <c r="A19" s="171" t="s">
        <v>72</v>
      </c>
      <c r="B19" s="37">
        <f>aantalw2001_ander</f>
        <v>2</v>
      </c>
      <c r="C19" s="166" t="s">
        <v>111</v>
      </c>
      <c r="D19" s="229"/>
      <c r="E19" s="15"/>
    </row>
    <row r="20" spans="1:7">
      <c r="A20" s="171" t="s">
        <v>73</v>
      </c>
      <c r="B20" s="37">
        <f>aantalw2001_propaan</f>
        <v>96</v>
      </c>
      <c r="C20" s="167">
        <f>IF(ISERROR(B20/SUM($B$20,$B$21,$B$22)*100),0,B20/SUM($B$20,$B$21,$B$22)*100)</f>
        <v>6.2704114957544093</v>
      </c>
      <c r="D20" s="229"/>
      <c r="E20" s="15"/>
    </row>
    <row r="21" spans="1:7">
      <c r="A21" s="171" t="s">
        <v>74</v>
      </c>
      <c r="B21" s="37">
        <f>aantalw2001_elektriciteit</f>
        <v>1348</v>
      </c>
      <c r="C21" s="167">
        <f>IF(ISERROR(B21/SUM($B$20,$B$21,$B$22)*100),0,B21/SUM($B$20,$B$21,$B$22)*100)</f>
        <v>88.047028086218162</v>
      </c>
      <c r="D21" s="229"/>
      <c r="E21" s="15"/>
    </row>
    <row r="22" spans="1:7">
      <c r="A22" s="171" t="s">
        <v>75</v>
      </c>
      <c r="B22" s="37">
        <f>aantalw2001_hout</f>
        <v>87</v>
      </c>
      <c r="C22" s="167">
        <f>IF(ISERROR(B22/SUM($B$20,$B$21,$B$22)*100),0,B22/SUM($B$20,$B$21,$B$22)*100)</f>
        <v>5.6825604180274336</v>
      </c>
      <c r="D22" s="229"/>
      <c r="E22" s="15"/>
    </row>
    <row r="23" spans="1:7">
      <c r="A23" s="171" t="s">
        <v>76</v>
      </c>
      <c r="B23" s="37">
        <f>aantalw2001_niet_gespec</f>
        <v>169</v>
      </c>
      <c r="C23" s="166" t="s">
        <v>111</v>
      </c>
      <c r="D23" s="228"/>
      <c r="E23" s="15"/>
    </row>
    <row r="24" spans="1:7">
      <c r="A24" s="171" t="s">
        <v>77</v>
      </c>
      <c r="B24" s="37">
        <f>aantalw2001_steenkool</f>
        <v>485</v>
      </c>
      <c r="C24" s="166" t="s">
        <v>111</v>
      </c>
      <c r="D24" s="229"/>
      <c r="E24" s="15"/>
    </row>
    <row r="25" spans="1:7">
      <c r="A25" s="171" t="s">
        <v>78</v>
      </c>
      <c r="B25" s="37">
        <f>aantalw2001_stookolie</f>
        <v>2881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10891</v>
      </c>
      <c r="C28" s="36"/>
      <c r="D28" s="228"/>
    </row>
    <row r="29" spans="1:7" s="15" customFormat="1">
      <c r="A29" s="230" t="s">
        <v>699</v>
      </c>
      <c r="B29" s="37">
        <f>SUM(HH_hh_gas_aantal,HH_rest_gas_aantal)</f>
        <v>7278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7278</v>
      </c>
      <c r="C32" s="167">
        <f>IF(ISERROR(B32/SUM($B$32,$B$34,$B$35,$B$36,$B$38,$B$39)*100),0,B32/SUM($B$32,$B$34,$B$35,$B$36,$B$38,$B$39)*100)</f>
        <v>67.065978621452274</v>
      </c>
      <c r="D32" s="233"/>
      <c r="G32" s="15"/>
    </row>
    <row r="33" spans="1:7">
      <c r="A33" s="171" t="s">
        <v>72</v>
      </c>
      <c r="B33" s="34" t="s">
        <v>111</v>
      </c>
      <c r="C33" s="167"/>
      <c r="D33" s="233"/>
      <c r="G33" s="15"/>
    </row>
    <row r="34" spans="1:7">
      <c r="A34" s="171" t="s">
        <v>73</v>
      </c>
      <c r="B34" s="33">
        <f>IF((($B$28-$B$32-$B$39-$B$77-$B$38)*C20/100)&lt;0,0,($B$28-$B$32-$B$39-$B$77-$B$38)*C20/100)</f>
        <v>212.37883736120185</v>
      </c>
      <c r="C34" s="167">
        <f>IF(ISERROR(B34/SUM($B$32,$B$34,$B$35,$B$36,$B$38,$B$39)*100),0,B34/SUM($B$32,$B$34,$B$35,$B$36,$B$38,$B$39)*100)</f>
        <v>1.9570478931183362</v>
      </c>
      <c r="D34" s="233"/>
      <c r="G34" s="15"/>
    </row>
    <row r="35" spans="1:7">
      <c r="A35" s="171" t="s">
        <v>74</v>
      </c>
      <c r="B35" s="33">
        <f>IF((($B$28-$B$32-$B$39-$B$77-$B$38)*C21/100)&lt;0,0,($B$28-$B$32-$B$39-$B$77-$B$38)*C21/100)</f>
        <v>2982.152841280209</v>
      </c>
      <c r="C35" s="167">
        <f>IF(ISERROR(B35/SUM($B$32,$B$34,$B$35,$B$36,$B$38,$B$39)*100),0,B35/SUM($B$32,$B$34,$B$35,$B$36,$B$38,$B$39)*100)</f>
        <v>27.48021416586997</v>
      </c>
      <c r="D35" s="233"/>
      <c r="G35" s="15"/>
    </row>
    <row r="36" spans="1:7">
      <c r="A36" s="171" t="s">
        <v>75</v>
      </c>
      <c r="B36" s="33">
        <f>IF((($B$28-$B$32-$B$39-$B$77-$B$38)*C22/100)&lt;0,0,($B$28-$B$32-$B$39-$B$77-$B$38)*C22/100)</f>
        <v>192.46832135858915</v>
      </c>
      <c r="C36" s="167">
        <f>IF(ISERROR(B36/SUM($B$32,$B$34,$B$35,$B$36,$B$38,$B$39)*100),0,B36/SUM($B$32,$B$34,$B$35,$B$36,$B$38,$B$39)*100)</f>
        <v>1.7735746531384919</v>
      </c>
      <c r="D36" s="233"/>
      <c r="G36" s="15"/>
    </row>
    <row r="37" spans="1:7">
      <c r="A37" s="171" t="s">
        <v>76</v>
      </c>
      <c r="B37" s="34" t="s">
        <v>111</v>
      </c>
      <c r="C37" s="167"/>
      <c r="D37" s="173"/>
      <c r="G37" s="15"/>
    </row>
    <row r="38" spans="1:7">
      <c r="A38" s="171" t="s">
        <v>77</v>
      </c>
      <c r="B38" s="33">
        <f>IF((B24-(B29-B18)*0.1)&lt;0,0,B24-(B29-B18)*0.1)</f>
        <v>187</v>
      </c>
      <c r="C38" s="167">
        <f>IF(ISERROR(B38/SUM($B$32,$B$34,$B$35,$B$36,$B$38,$B$39)*100),0,B38/SUM($B$32,$B$34,$B$35,$B$36,$B$38,$B$39)*100)</f>
        <v>1.7231846664209363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7278</v>
      </c>
      <c r="C44" s="34" t="s">
        <v>111</v>
      </c>
      <c r="D44" s="174"/>
    </row>
    <row r="45" spans="1:7">
      <c r="A45" s="171" t="s">
        <v>72</v>
      </c>
      <c r="B45" s="33" t="str">
        <f t="shared" si="0"/>
        <v>-</v>
      </c>
      <c r="C45" s="34" t="s">
        <v>111</v>
      </c>
      <c r="D45" s="174"/>
    </row>
    <row r="46" spans="1:7">
      <c r="A46" s="171" t="s">
        <v>73</v>
      </c>
      <c r="B46" s="33">
        <f t="shared" si="0"/>
        <v>212.37883736120185</v>
      </c>
      <c r="C46" s="34" t="s">
        <v>111</v>
      </c>
      <c r="D46" s="174"/>
    </row>
    <row r="47" spans="1:7">
      <c r="A47" s="171" t="s">
        <v>74</v>
      </c>
      <c r="B47" s="33">
        <f t="shared" si="0"/>
        <v>2982.152841280209</v>
      </c>
      <c r="C47" s="34" t="s">
        <v>111</v>
      </c>
      <c r="D47" s="174"/>
    </row>
    <row r="48" spans="1:7">
      <c r="A48" s="171" t="s">
        <v>75</v>
      </c>
      <c r="B48" s="33">
        <f t="shared" si="0"/>
        <v>192.46832135858915</v>
      </c>
      <c r="C48" s="33">
        <f>B48*10</f>
        <v>1924.6832135858915</v>
      </c>
      <c r="D48" s="234"/>
    </row>
    <row r="49" spans="1:6">
      <c r="A49" s="171" t="s">
        <v>76</v>
      </c>
      <c r="B49" s="33" t="str">
        <f t="shared" si="0"/>
        <v>-</v>
      </c>
      <c r="C49" s="34" t="s">
        <v>111</v>
      </c>
      <c r="D49" s="234"/>
    </row>
    <row r="50" spans="1:6">
      <c r="A50" s="171" t="s">
        <v>77</v>
      </c>
      <c r="B50" s="33">
        <f t="shared" si="0"/>
        <v>187</v>
      </c>
      <c r="C50" s="33">
        <f>B50*2</f>
        <v>374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35808.970482329998</v>
      </c>
      <c r="C5" s="17">
        <f>IF(ISERROR('Eigen informatie GS &amp; warmtenet'!B58),0,'Eigen informatie GS &amp; warmtenet'!B58)</f>
        <v>0</v>
      </c>
      <c r="D5" s="30">
        <f>SUM(D6:D12)</f>
        <v>40870.120226108804</v>
      </c>
      <c r="E5" s="17">
        <f>SUM(E6:E12)</f>
        <v>725.76815497352095</v>
      </c>
      <c r="F5" s="17">
        <f>SUM(F6:F12)</f>
        <v>8934.5086164270069</v>
      </c>
      <c r="G5" s="18"/>
      <c r="H5" s="17"/>
      <c r="I5" s="17"/>
      <c r="J5" s="17">
        <f>SUM(J6:J12)</f>
        <v>0</v>
      </c>
      <c r="K5" s="17"/>
      <c r="L5" s="17"/>
      <c r="M5" s="17"/>
      <c r="N5" s="17">
        <f>SUM(N6:N12)</f>
        <v>3134.4247461964123</v>
      </c>
      <c r="O5" s="17">
        <f>B38*B39*B40</f>
        <v>9.3800000000000008</v>
      </c>
      <c r="P5" s="17">
        <f>B46*B47*B48/1000-B46*B47*B48/1000/B49</f>
        <v>19.066666666666666</v>
      </c>
      <c r="R5" s="32"/>
    </row>
    <row r="6" spans="1:18">
      <c r="A6" s="32" t="s">
        <v>54</v>
      </c>
      <c r="B6" s="37">
        <f>B26</f>
        <v>8798.902524000001</v>
      </c>
      <c r="C6" s="33"/>
      <c r="D6" s="37">
        <f>IF(ISERROR(TER_kantoor_gas_kWh/1000),0,TER_kantoor_gas_kWh/1000)*0.902</f>
        <v>7417.4968982949995</v>
      </c>
      <c r="E6" s="33">
        <f>$C$26*'E Balans VL '!I12/100/3.6*1000000</f>
        <v>115.18847271541792</v>
      </c>
      <c r="F6" s="33">
        <f>$C$26*('E Balans VL '!L12+'E Balans VL '!N12)/100/3.6*1000000</f>
        <v>2243.6292191577913</v>
      </c>
      <c r="G6" s="34"/>
      <c r="H6" s="33"/>
      <c r="I6" s="33"/>
      <c r="J6" s="33">
        <f>$C$26*('E Balans VL '!D12+'E Balans VL '!E12)/100/3.6*1000000</f>
        <v>0</v>
      </c>
      <c r="K6" s="33"/>
      <c r="L6" s="33"/>
      <c r="M6" s="33"/>
      <c r="N6" s="33">
        <f>$C$26*'E Balans VL '!Y12/100/3.6*1000000</f>
        <v>8.8285323569556322</v>
      </c>
      <c r="O6" s="33"/>
      <c r="P6" s="33"/>
      <c r="R6" s="32"/>
    </row>
    <row r="7" spans="1:18">
      <c r="A7" s="32" t="s">
        <v>53</v>
      </c>
      <c r="B7" s="37">
        <f t="shared" ref="B7:B12" si="0">B27</f>
        <v>2521.7700034</v>
      </c>
      <c r="C7" s="33"/>
      <c r="D7" s="37">
        <f>IF(ISERROR(TER_horeca_gas_kWh/1000),0,TER_horeca_gas_kWh/1000)*0.902</f>
        <v>3286.5326738772001</v>
      </c>
      <c r="E7" s="33">
        <f>$C$27*'E Balans VL '!I9/100/3.6*1000000</f>
        <v>83.45524770018433</v>
      </c>
      <c r="F7" s="33">
        <f>$C$27*('E Balans VL '!L9+'E Balans VL '!N9)/100/3.6*1000000</f>
        <v>1084.3514368686917</v>
      </c>
      <c r="G7" s="34"/>
      <c r="H7" s="33"/>
      <c r="I7" s="33"/>
      <c r="J7" s="33">
        <f>$C$27*('E Balans VL '!D9+'E Balans VL '!E9)/100/3.6*1000000</f>
        <v>0</v>
      </c>
      <c r="K7" s="33"/>
      <c r="L7" s="33"/>
      <c r="M7" s="33"/>
      <c r="N7" s="33">
        <f>$C$27*'E Balans VL '!Y9/100/3.6*1000000</f>
        <v>0.60702665993755345</v>
      </c>
      <c r="O7" s="33"/>
      <c r="P7" s="33"/>
      <c r="R7" s="32"/>
    </row>
    <row r="8" spans="1:18">
      <c r="A8" s="6" t="s">
        <v>52</v>
      </c>
      <c r="B8" s="37">
        <f t="shared" si="0"/>
        <v>13372.421633</v>
      </c>
      <c r="C8" s="33"/>
      <c r="D8" s="37">
        <f>IF(ISERROR(TER_handel_gas_kWh/1000),0,TER_handel_gas_kWh/1000)*0.902</f>
        <v>6848.5646555546</v>
      </c>
      <c r="E8" s="33">
        <f>$C$28*'E Balans VL '!I13/100/3.6*1000000</f>
        <v>422.0540591895309</v>
      </c>
      <c r="F8" s="33">
        <f>$C$28*('E Balans VL '!L13+'E Balans VL '!N13)/100/3.6*1000000</f>
        <v>2622.5673559567526</v>
      </c>
      <c r="G8" s="34"/>
      <c r="H8" s="33"/>
      <c r="I8" s="33"/>
      <c r="J8" s="33">
        <f>$C$28*('E Balans VL '!D13+'E Balans VL '!E13)/100/3.6*1000000</f>
        <v>0</v>
      </c>
      <c r="K8" s="33"/>
      <c r="L8" s="33"/>
      <c r="M8" s="33"/>
      <c r="N8" s="33">
        <f>$C$28*'E Balans VL '!Y13/100/3.6*1000000</f>
        <v>15.870468254583409</v>
      </c>
      <c r="O8" s="33"/>
      <c r="P8" s="33"/>
      <c r="R8" s="32"/>
    </row>
    <row r="9" spans="1:18">
      <c r="A9" s="32" t="s">
        <v>51</v>
      </c>
      <c r="B9" s="37">
        <f t="shared" si="0"/>
        <v>871.24691512999993</v>
      </c>
      <c r="C9" s="33"/>
      <c r="D9" s="37">
        <f>IF(ISERROR(TER_gezond_gas_kWh/1000),0,TER_gezond_gas_kWh/1000)*0.902</f>
        <v>2581.0304514874001</v>
      </c>
      <c r="E9" s="33">
        <f>$C$29*'E Balans VL '!I10/100/3.6*1000000</f>
        <v>0.11154509289961644</v>
      </c>
      <c r="F9" s="33">
        <f>$C$29*('E Balans VL '!L10+'E Balans VL '!N10)/100/3.6*1000000</f>
        <v>181.5172497263614</v>
      </c>
      <c r="G9" s="34"/>
      <c r="H9" s="33"/>
      <c r="I9" s="33"/>
      <c r="J9" s="33">
        <f>$C$29*('E Balans VL '!D10+'E Balans VL '!E10)/100/3.6*1000000</f>
        <v>0</v>
      </c>
      <c r="K9" s="33"/>
      <c r="L9" s="33"/>
      <c r="M9" s="33"/>
      <c r="N9" s="33">
        <f>$C$29*'E Balans VL '!Y10/100/3.6*1000000</f>
        <v>10.233206823632278</v>
      </c>
      <c r="O9" s="33"/>
      <c r="P9" s="33"/>
      <c r="R9" s="32"/>
    </row>
    <row r="10" spans="1:18">
      <c r="A10" s="32" t="s">
        <v>50</v>
      </c>
      <c r="B10" s="37">
        <f t="shared" si="0"/>
        <v>3308.7361569</v>
      </c>
      <c r="C10" s="33"/>
      <c r="D10" s="37">
        <f>IF(ISERROR(TER_ander_gas_kWh/1000),0,TER_ander_gas_kWh/1000)*0.902</f>
        <v>6698.1731672746009</v>
      </c>
      <c r="E10" s="33">
        <f>$C$30*'E Balans VL '!I14/100/3.6*1000000</f>
        <v>4.975561079093989</v>
      </c>
      <c r="F10" s="33">
        <f>$C$30*('E Balans VL '!L14+'E Balans VL '!N14)/100/3.6*1000000</f>
        <v>730.46228766696436</v>
      </c>
      <c r="G10" s="34"/>
      <c r="H10" s="33"/>
      <c r="I10" s="33"/>
      <c r="J10" s="33">
        <f>$C$30*('E Balans VL '!D14+'E Balans VL '!E14)/100/3.6*1000000</f>
        <v>0</v>
      </c>
      <c r="K10" s="33"/>
      <c r="L10" s="33"/>
      <c r="M10" s="33"/>
      <c r="N10" s="33">
        <f>$C$30*'E Balans VL '!Y14/100/3.6*1000000</f>
        <v>2607.5067611850818</v>
      </c>
      <c r="O10" s="33"/>
      <c r="P10" s="33"/>
      <c r="R10" s="32"/>
    </row>
    <row r="11" spans="1:18">
      <c r="A11" s="32" t="s">
        <v>55</v>
      </c>
      <c r="B11" s="37">
        <f t="shared" si="0"/>
        <v>1396.8455814000001</v>
      </c>
      <c r="C11" s="33"/>
      <c r="D11" s="37">
        <f>IF(ISERROR(TER_onderwijs_gas_kWh/1000),0,TER_onderwijs_gas_kWh/1000)*0.902</f>
        <v>5634.678282690601</v>
      </c>
      <c r="E11" s="33">
        <f>$C$31*'E Balans VL '!I11/100/3.6*1000000</f>
        <v>2.4599621241005036</v>
      </c>
      <c r="F11" s="33">
        <f>$C$31*('E Balans VL '!L11+'E Balans VL '!N11)/100/3.6*1000000</f>
        <v>644.94888081137105</v>
      </c>
      <c r="G11" s="34"/>
      <c r="H11" s="33"/>
      <c r="I11" s="33"/>
      <c r="J11" s="33">
        <f>$C$31*('E Balans VL '!D11+'E Balans VL '!E11)/100/3.6*1000000</f>
        <v>0</v>
      </c>
      <c r="K11" s="33"/>
      <c r="L11" s="33"/>
      <c r="M11" s="33"/>
      <c r="N11" s="33">
        <f>$C$31*'E Balans VL '!Y11/100/3.6*1000000</f>
        <v>2.602342634816639</v>
      </c>
      <c r="O11" s="33"/>
      <c r="P11" s="33"/>
      <c r="R11" s="32"/>
    </row>
    <row r="12" spans="1:18">
      <c r="A12" s="32" t="s">
        <v>260</v>
      </c>
      <c r="B12" s="37">
        <f t="shared" si="0"/>
        <v>5539.0476684999994</v>
      </c>
      <c r="C12" s="33"/>
      <c r="D12" s="37">
        <f>IF(ISERROR(TER_rest_gas_kWh/1000),0,TER_rest_gas_kWh/1000)*0.902</f>
        <v>8403.6440969293999</v>
      </c>
      <c r="E12" s="33">
        <f>$C$32*'E Balans VL '!I8/100/3.6*1000000</f>
        <v>97.523307072293719</v>
      </c>
      <c r="F12" s="33">
        <f>$C$32*('E Balans VL '!L8+'E Balans VL '!N8)/100/3.6*1000000</f>
        <v>1427.0321862390754</v>
      </c>
      <c r="G12" s="34"/>
      <c r="H12" s="33"/>
      <c r="I12" s="33"/>
      <c r="J12" s="33">
        <f>$C$32*('E Balans VL '!D8+'E Balans VL '!E8)/100/3.6*1000000</f>
        <v>0</v>
      </c>
      <c r="K12" s="33"/>
      <c r="L12" s="33"/>
      <c r="M12" s="33"/>
      <c r="N12" s="33">
        <f>$C$32*'E Balans VL '!Y8/100/3.6*1000000</f>
        <v>488.776408281405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35808.970482329998</v>
      </c>
      <c r="C16" s="21">
        <f t="shared" ca="1" si="1"/>
        <v>0</v>
      </c>
      <c r="D16" s="21">
        <f t="shared" ca="1" si="1"/>
        <v>40870.120226108804</v>
      </c>
      <c r="E16" s="21">
        <f t="shared" si="1"/>
        <v>725.76815497352095</v>
      </c>
      <c r="F16" s="21">
        <f t="shared" ca="1" si="1"/>
        <v>8934.5086164270069</v>
      </c>
      <c r="G16" s="21">
        <f t="shared" si="1"/>
        <v>0</v>
      </c>
      <c r="H16" s="21">
        <f t="shared" si="1"/>
        <v>0</v>
      </c>
      <c r="I16" s="21">
        <f t="shared" si="1"/>
        <v>0</v>
      </c>
      <c r="J16" s="21">
        <f t="shared" si="1"/>
        <v>0</v>
      </c>
      <c r="K16" s="21">
        <f t="shared" si="1"/>
        <v>0</v>
      </c>
      <c r="L16" s="21">
        <f t="shared" ca="1" si="1"/>
        <v>0</v>
      </c>
      <c r="M16" s="21">
        <f t="shared" si="1"/>
        <v>0</v>
      </c>
      <c r="N16" s="21">
        <f t="shared" ca="1" si="1"/>
        <v>3134.4247461964123</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0.21198588140035471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7590.9961697360095</v>
      </c>
      <c r="C20" s="23">
        <f t="shared" ref="C20:P20" ca="1" si="2">C16*C18</f>
        <v>0</v>
      </c>
      <c r="D20" s="23">
        <f t="shared" ca="1" si="2"/>
        <v>8255.7642856739785</v>
      </c>
      <c r="E20" s="23">
        <f t="shared" si="2"/>
        <v>164.74937117898926</v>
      </c>
      <c r="F20" s="23">
        <f t="shared" ca="1" si="2"/>
        <v>2385.5138005860108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8798.902524000001</v>
      </c>
      <c r="C26" s="39">
        <f>IF(ISERROR(B26*3.6/1000000/'E Balans VL '!Z12*100),0,B26*3.6/1000000/'E Balans VL '!Z12*100)</f>
        <v>0.18847932766527581</v>
      </c>
      <c r="D26" s="237" t="s">
        <v>660</v>
      </c>
      <c r="F26" s="6"/>
    </row>
    <row r="27" spans="1:18">
      <c r="A27" s="231" t="s">
        <v>53</v>
      </c>
      <c r="B27" s="33">
        <f>IF(ISERROR(TER_horeca_ele_kWh/1000),0,TER_horeca_ele_kWh/1000)</f>
        <v>2521.7700034</v>
      </c>
      <c r="C27" s="39">
        <f>IF(ISERROR(B27*3.6/1000000/'E Balans VL '!Z9*100),0,B27*3.6/1000000/'E Balans VL '!Z9*100)</f>
        <v>0.20236327718978994</v>
      </c>
      <c r="D27" s="237" t="s">
        <v>660</v>
      </c>
      <c r="F27" s="6"/>
    </row>
    <row r="28" spans="1:18">
      <c r="A28" s="171" t="s">
        <v>52</v>
      </c>
      <c r="B28" s="33">
        <f>IF(ISERROR(TER_handel_ele_kWh/1000),0,TER_handel_ele_kWh/1000)</f>
        <v>13372.421633</v>
      </c>
      <c r="C28" s="39">
        <f>IF(ISERROR(B28*3.6/1000000/'E Balans VL '!Z13*100),0,B28*3.6/1000000/'E Balans VL '!Z13*100)</f>
        <v>0.39440973702237353</v>
      </c>
      <c r="D28" s="237" t="s">
        <v>660</v>
      </c>
      <c r="F28" s="6"/>
    </row>
    <row r="29" spans="1:18">
      <c r="A29" s="231" t="s">
        <v>51</v>
      </c>
      <c r="B29" s="33">
        <f>IF(ISERROR(TER_gezond_ele_kWh/1000),0,TER_gezond_ele_kWh/1000)</f>
        <v>871.24691512999993</v>
      </c>
      <c r="C29" s="39">
        <f>IF(ISERROR(B29*3.6/1000000/'E Balans VL '!Z10*100),0,B29*3.6/1000000/'E Balans VL '!Z10*100)</f>
        <v>9.3025811530133853E-2</v>
      </c>
      <c r="D29" s="237" t="s">
        <v>660</v>
      </c>
      <c r="F29" s="6"/>
    </row>
    <row r="30" spans="1:18">
      <c r="A30" s="231" t="s">
        <v>50</v>
      </c>
      <c r="B30" s="33">
        <f>IF(ISERROR(TER_ander_ele_kWh/1000),0,TER_ander_ele_kWh/1000)</f>
        <v>3308.7361569</v>
      </c>
      <c r="C30" s="39">
        <f>IF(ISERROR(B30*3.6/1000000/'E Balans VL '!Z14*100),0,B30*3.6/1000000/'E Balans VL '!Z14*100)</f>
        <v>0.24992183481345548</v>
      </c>
      <c r="D30" s="237" t="s">
        <v>660</v>
      </c>
      <c r="F30" s="6"/>
    </row>
    <row r="31" spans="1:18">
      <c r="A31" s="231" t="s">
        <v>55</v>
      </c>
      <c r="B31" s="33">
        <f>IF(ISERROR(TER_onderwijs_ele_kWh/1000),0,TER_onderwijs_ele_kWh/1000)</f>
        <v>1396.8455814000001</v>
      </c>
      <c r="C31" s="39">
        <f>IF(ISERROR(B31*3.6/1000000/'E Balans VL '!Z11*100),0,B31*3.6/1000000/'E Balans VL '!Z11*100)</f>
        <v>0.28206975319255484</v>
      </c>
      <c r="D31" s="237" t="s">
        <v>660</v>
      </c>
    </row>
    <row r="32" spans="1:18">
      <c r="A32" s="231" t="s">
        <v>260</v>
      </c>
      <c r="B32" s="33">
        <f>IF(ISERROR(TER_rest_ele_kWh/1000),0,TER_rest_ele_kWh/1000)</f>
        <v>5539.0476684999994</v>
      </c>
      <c r="C32" s="39">
        <f>IF(ISERROR(B32*3.6/1000000/'E Balans VL '!Z8*100),0,B32*3.6/1000000/'E Balans VL '!Z8*100)</f>
        <v>4.5926418240100381E-2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91200.388407340011</v>
      </c>
      <c r="C5" s="17">
        <f>IF(ISERROR('Eigen informatie GS &amp; warmtenet'!B59),0,'Eigen informatie GS &amp; warmtenet'!B59)</f>
        <v>0</v>
      </c>
      <c r="D5" s="30">
        <f>SUM(D6:D15)</f>
        <v>64821.268255678224</v>
      </c>
      <c r="E5" s="17">
        <f>SUM(E6:E15)</f>
        <v>4304.1537217264822</v>
      </c>
      <c r="F5" s="17">
        <f>SUM(F6:F15)</f>
        <v>17931.352147469046</v>
      </c>
      <c r="G5" s="18"/>
      <c r="H5" s="17"/>
      <c r="I5" s="17"/>
      <c r="J5" s="17">
        <f>SUM(J6:J15)</f>
        <v>492.1674751894007</v>
      </c>
      <c r="K5" s="17"/>
      <c r="L5" s="17"/>
      <c r="M5" s="17"/>
      <c r="N5" s="17">
        <f>SUM(N6:N15)</f>
        <v>15360.642779369349</v>
      </c>
      <c r="O5" s="17">
        <f>B43*B44*B45</f>
        <v>0</v>
      </c>
      <c r="P5" s="17">
        <f>B51*B52*B53/1000-B51*B52*B53/1000/B54</f>
        <v>0</v>
      </c>
      <c r="R5" s="32"/>
    </row>
    <row r="6" spans="1:18">
      <c r="A6" s="6" t="s">
        <v>35</v>
      </c>
      <c r="B6" s="37">
        <f>IF( ISERROR(IND_ijzer_ele_kWh/1000),0,IND_ijzer_ele_kWh/1000)</f>
        <v>1479.3299170999999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2548.9003253999999</v>
      </c>
      <c r="C8" s="33"/>
      <c r="D8" s="37">
        <f>IF( ISERROR(IND_metaal_Gas_kWH/1000),0,IND_metaal_Gas_kWH/1000)*0.902</f>
        <v>926.92228011460008</v>
      </c>
      <c r="E8" s="33">
        <f>C30*'E Balans VL '!I18/100/3.6*1000000</f>
        <v>91.717144654086013</v>
      </c>
      <c r="F8" s="33">
        <f>C30*'E Balans VL '!L18/100/3.6*1000000+C30*'E Balans VL '!N18/100/3.6*1000000</f>
        <v>1113.0221456434006</v>
      </c>
      <c r="G8" s="34"/>
      <c r="H8" s="33"/>
      <c r="I8" s="33"/>
      <c r="J8" s="40">
        <f>C30*'E Balans VL '!D18/100/3.6*1000000+C30*'E Balans VL '!E18/100/3.6*1000000</f>
        <v>0</v>
      </c>
      <c r="K8" s="33"/>
      <c r="L8" s="33"/>
      <c r="M8" s="33"/>
      <c r="N8" s="33">
        <f>C30*'E Balans VL '!Y18/100/3.6*1000000</f>
        <v>127.74915214773777</v>
      </c>
      <c r="O8" s="33"/>
      <c r="P8" s="33"/>
      <c r="R8" s="32"/>
    </row>
    <row r="9" spans="1:18">
      <c r="A9" s="6" t="s">
        <v>33</v>
      </c>
      <c r="B9" s="37">
        <f t="shared" si="0"/>
        <v>3416.1197393000002</v>
      </c>
      <c r="C9" s="33"/>
      <c r="D9" s="37">
        <f>IF( ISERROR(IND_andere_gas_kWh/1000),0,IND_andere_gas_kWh/1000)*0.902</f>
        <v>2951.4900227054</v>
      </c>
      <c r="E9" s="33">
        <f>C31*'E Balans VL '!I19/100/3.6*1000000</f>
        <v>871.71646559539352</v>
      </c>
      <c r="F9" s="33">
        <f>C31*'E Balans VL '!L19/100/3.6*1000000+C31*'E Balans VL '!N19/100/3.6*1000000</f>
        <v>2941.0223299955082</v>
      </c>
      <c r="G9" s="34"/>
      <c r="H9" s="33"/>
      <c r="I9" s="33"/>
      <c r="J9" s="40">
        <f>C31*'E Balans VL '!D19/100/3.6*1000000+C31*'E Balans VL '!E19/100/3.6*1000000</f>
        <v>0</v>
      </c>
      <c r="K9" s="33"/>
      <c r="L9" s="33"/>
      <c r="M9" s="33"/>
      <c r="N9" s="33">
        <f>C31*'E Balans VL '!Y19/100/3.6*1000000</f>
        <v>1068.3376323619009</v>
      </c>
      <c r="O9" s="33"/>
      <c r="P9" s="33"/>
      <c r="R9" s="32"/>
    </row>
    <row r="10" spans="1:18">
      <c r="A10" s="6" t="s">
        <v>41</v>
      </c>
      <c r="B10" s="37">
        <f t="shared" si="0"/>
        <v>3932.2387985</v>
      </c>
      <c r="C10" s="33"/>
      <c r="D10" s="37">
        <f>IF( ISERROR(IND_voed_gas_kWh/1000),0,IND_voed_gas_kWh/1000)*0.902</f>
        <v>1234.8059198287999</v>
      </c>
      <c r="E10" s="33">
        <f>C32*'E Balans VL '!I20/100/3.6*1000000</f>
        <v>99.962909664212575</v>
      </c>
      <c r="F10" s="33">
        <f>C32*'E Balans VL '!L20/100/3.6*1000000+C32*'E Balans VL '!N20/100/3.6*1000000</f>
        <v>889.80661210560697</v>
      </c>
      <c r="G10" s="34"/>
      <c r="H10" s="33"/>
      <c r="I10" s="33"/>
      <c r="J10" s="40">
        <f>C32*'E Balans VL '!D20/100/3.6*1000000+C32*'E Balans VL '!E20/100/3.6*1000000</f>
        <v>0</v>
      </c>
      <c r="K10" s="33"/>
      <c r="L10" s="33"/>
      <c r="M10" s="33"/>
      <c r="N10" s="33">
        <f>C32*'E Balans VL '!Y20/100/3.6*1000000</f>
        <v>1474.6961369626108</v>
      </c>
      <c r="O10" s="33"/>
      <c r="P10" s="33"/>
      <c r="R10" s="32"/>
    </row>
    <row r="11" spans="1:18">
      <c r="A11" s="6" t="s">
        <v>40</v>
      </c>
      <c r="B11" s="37">
        <f t="shared" si="0"/>
        <v>102.92995042999999</v>
      </c>
      <c r="C11" s="33"/>
      <c r="D11" s="37">
        <f>IF( ISERROR(IND_textiel_gas_kWh/1000),0,IND_textiel_gas_kWh/1000)*0.902</f>
        <v>0</v>
      </c>
      <c r="E11" s="33">
        <f>C33*'E Balans VL '!I21/100/3.6*1000000</f>
        <v>0.28257039414598917</v>
      </c>
      <c r="F11" s="33">
        <f>C33*'E Balans VL '!L21/100/3.6*1000000+C33*'E Balans VL '!N21/100/3.6*1000000</f>
        <v>5.4569170074214064</v>
      </c>
      <c r="G11" s="34"/>
      <c r="H11" s="33"/>
      <c r="I11" s="33"/>
      <c r="J11" s="40">
        <f>C33*'E Balans VL '!D21/100/3.6*1000000+C33*'E Balans VL '!E21/100/3.6*1000000</f>
        <v>0</v>
      </c>
      <c r="K11" s="33"/>
      <c r="L11" s="33"/>
      <c r="M11" s="33"/>
      <c r="N11" s="33">
        <f>C33*'E Balans VL '!Y21/100/3.6*1000000</f>
        <v>0.20687216724784097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234.26880760999998</v>
      </c>
      <c r="C13" s="33"/>
      <c r="D13" s="37">
        <f>IF( ISERROR(IND_papier_gas_kWh/1000),0,IND_papier_gas_kWh/1000)*0.902</f>
        <v>167.84776909141999</v>
      </c>
      <c r="E13" s="33">
        <f>C35*'E Balans VL '!I23/100/3.6*1000000</f>
        <v>1.0047107628770202</v>
      </c>
      <c r="F13" s="33">
        <f>C35*'E Balans VL '!L23/100/3.6*1000000+C35*'E Balans VL '!N23/100/3.6*1000000</f>
        <v>5.8879022593293699</v>
      </c>
      <c r="G13" s="34"/>
      <c r="H13" s="33"/>
      <c r="I13" s="33"/>
      <c r="J13" s="40">
        <f>C35*'E Balans VL '!D23/100/3.6*1000000+C35*'E Balans VL '!E23/100/3.6*1000000</f>
        <v>15.683011757935827</v>
      </c>
      <c r="K13" s="33"/>
      <c r="L13" s="33"/>
      <c r="M13" s="33"/>
      <c r="N13" s="33">
        <f>C35*'E Balans VL '!Y23/100/3.6*1000000</f>
        <v>426.42494109816562</v>
      </c>
      <c r="O13" s="33"/>
      <c r="P13" s="33"/>
      <c r="R13" s="32"/>
    </row>
    <row r="14" spans="1:18">
      <c r="A14" s="6" t="s">
        <v>34</v>
      </c>
      <c r="B14" s="37">
        <f t="shared" si="0"/>
        <v>20712.988918999999</v>
      </c>
      <c r="C14" s="33"/>
      <c r="D14" s="37">
        <f>IF( ISERROR(IND_chemie_gas_kWh/1000),0,IND_chemie_gas_kWh/1000)*0.902</f>
        <v>0</v>
      </c>
      <c r="E14" s="33">
        <f>C36*'E Balans VL '!I24/100/3.6*1000000</f>
        <v>49.656146516560199</v>
      </c>
      <c r="F14" s="33">
        <f>C36*'E Balans VL '!L24/100/3.6*1000000+C36*'E Balans VL '!N24/100/3.6*1000000</f>
        <v>166.2264214406639</v>
      </c>
      <c r="G14" s="34"/>
      <c r="H14" s="33"/>
      <c r="I14" s="33"/>
      <c r="J14" s="40">
        <f>C36*'E Balans VL '!D24/100/3.6*1000000+C36*'E Balans VL '!E24/100/3.6*1000000</f>
        <v>0</v>
      </c>
      <c r="K14" s="33"/>
      <c r="L14" s="33"/>
      <c r="M14" s="33"/>
      <c r="N14" s="33">
        <f>C36*'E Balans VL '!Y24/100/3.6*1000000</f>
        <v>428.121422987833</v>
      </c>
      <c r="O14" s="33"/>
      <c r="P14" s="33"/>
      <c r="R14" s="32"/>
    </row>
    <row r="15" spans="1:18">
      <c r="A15" s="6" t="s">
        <v>270</v>
      </c>
      <c r="B15" s="37">
        <f t="shared" si="0"/>
        <v>58773.611950000006</v>
      </c>
      <c r="C15" s="33"/>
      <c r="D15" s="37">
        <f>IF( ISERROR(IND_rest_gas_kWh/1000),0,IND_rest_gas_kWh/1000)*0.902</f>
        <v>59540.202263938001</v>
      </c>
      <c r="E15" s="33">
        <f>C37*'E Balans VL '!I15/100/3.6*1000000</f>
        <v>3189.8137741392065</v>
      </c>
      <c r="F15" s="33">
        <f>C37*'E Balans VL '!L15/100/3.6*1000000+C37*'E Balans VL '!N15/100/3.6*1000000</f>
        <v>12809.929819017116</v>
      </c>
      <c r="G15" s="34"/>
      <c r="H15" s="33"/>
      <c r="I15" s="33"/>
      <c r="J15" s="40">
        <f>C37*'E Balans VL '!D15/100/3.6*1000000+C37*'E Balans VL '!E15/100/3.6*1000000</f>
        <v>476.48446343146486</v>
      </c>
      <c r="K15" s="33"/>
      <c r="L15" s="33"/>
      <c r="M15" s="33"/>
      <c r="N15" s="33">
        <f>C37*'E Balans VL '!Y15/100/3.6*1000000</f>
        <v>11835.106621643854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91200.388407340011</v>
      </c>
      <c r="C18" s="21">
        <f>C5+C16</f>
        <v>0</v>
      </c>
      <c r="D18" s="21">
        <f>MAX((D5+D16),0)</f>
        <v>64821.268255678224</v>
      </c>
      <c r="E18" s="21">
        <f>MAX((E5+E16),0)</f>
        <v>4304.1537217264822</v>
      </c>
      <c r="F18" s="21">
        <f>MAX((F5+F16),0)</f>
        <v>17931.352147469046</v>
      </c>
      <c r="G18" s="21"/>
      <c r="H18" s="21"/>
      <c r="I18" s="21"/>
      <c r="J18" s="21">
        <f>MAX((J5+J16),0)</f>
        <v>492.1674751894007</v>
      </c>
      <c r="K18" s="21"/>
      <c r="L18" s="21">
        <f>MAX((L5+L16),0)</f>
        <v>0</v>
      </c>
      <c r="M18" s="21"/>
      <c r="N18" s="21">
        <f>MAX((N5+N16),0)</f>
        <v>15360.642779369349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0.21198588140035471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19333.194720584663</v>
      </c>
      <c r="C22" s="23">
        <f ca="1">C18*C20</f>
        <v>0</v>
      </c>
      <c r="D22" s="23">
        <f>D18*D20</f>
        <v>13093.896187647002</v>
      </c>
      <c r="E22" s="23">
        <f>E18*E20</f>
        <v>977.04289483191144</v>
      </c>
      <c r="F22" s="23">
        <f>F18*F20</f>
        <v>4787.6710233742351</v>
      </c>
      <c r="G22" s="23"/>
      <c r="H22" s="23"/>
      <c r="I22" s="23"/>
      <c r="J22" s="23">
        <f>J18*J20</f>
        <v>174.22728621704783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2548.9003253999999</v>
      </c>
      <c r="C30" s="39">
        <f>IF(ISERROR(B30*3.6/1000000/'E Balans VL '!Z18*100),0,B30*3.6/1000000/'E Balans VL '!Z18*100)</f>
        <v>0.54005733196953432</v>
      </c>
      <c r="D30" s="237" t="s">
        <v>660</v>
      </c>
    </row>
    <row r="31" spans="1:18">
      <c r="A31" s="6" t="s">
        <v>33</v>
      </c>
      <c r="B31" s="37">
        <f>IF( ISERROR(IND_ander_ele_kWh/1000),0,IND_ander_ele_kWh/1000)</f>
        <v>3416.1197393000002</v>
      </c>
      <c r="C31" s="39">
        <f>IF(ISERROR(B31*3.6/1000000/'E Balans VL '!Z19*100),0,B31*3.6/1000000/'E Balans VL '!Z19*100)</f>
        <v>0.14379223669113014</v>
      </c>
      <c r="D31" s="237" t="s">
        <v>660</v>
      </c>
    </row>
    <row r="32" spans="1:18">
      <c r="A32" s="171" t="s">
        <v>41</v>
      </c>
      <c r="B32" s="37">
        <f>IF( ISERROR(IND_voed_ele_kWh/1000),0,IND_voed_ele_kWh/1000)</f>
        <v>3932.2387985</v>
      </c>
      <c r="C32" s="39">
        <f>IF(ISERROR(B32*3.6/1000000/'E Balans VL '!Z20*100),0,B32*3.6/1000000/'E Balans VL '!Z20*100)</f>
        <v>0.65692498151154066</v>
      </c>
      <c r="D32" s="237" t="s">
        <v>660</v>
      </c>
    </row>
    <row r="33" spans="1:5">
      <c r="A33" s="171" t="s">
        <v>40</v>
      </c>
      <c r="B33" s="37">
        <f>IF( ISERROR(IND_textiel_ele_kWh/1000),0,IND_textiel_ele_kWh/1000)</f>
        <v>102.92995042999999</v>
      </c>
      <c r="C33" s="39">
        <f>IF(ISERROR(B33*3.6/1000000/'E Balans VL '!Z21*100),0,B33*3.6/1000000/'E Balans VL '!Z21*100)</f>
        <v>6.0093585257179659E-3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234.26880760999998</v>
      </c>
      <c r="C35" s="39">
        <f>IF(ISERROR(B35*3.6/1000000/'E Balans VL '!Z22*100),0,B35*3.6/1000000/'E Balans VL '!Z22*100)</f>
        <v>2.969483477251551E-2</v>
      </c>
      <c r="D35" s="237" t="s">
        <v>660</v>
      </c>
    </row>
    <row r="36" spans="1:5">
      <c r="A36" s="171" t="s">
        <v>34</v>
      </c>
      <c r="B36" s="37">
        <f>IF( ISERROR(IND_chemie_ele_kWh/1000),0,IND_chemie_ele_kWh/1000)</f>
        <v>20712.988918999999</v>
      </c>
      <c r="C36" s="39">
        <f>IF(ISERROR(B36*3.6/1000000/'E Balans VL '!Z24*100),0,B36*3.6/1000000/'E Balans VL '!Z24*100)</f>
        <v>0.67275854803574842</v>
      </c>
      <c r="D36" s="237" t="s">
        <v>660</v>
      </c>
    </row>
    <row r="37" spans="1:5">
      <c r="A37" s="171" t="s">
        <v>270</v>
      </c>
      <c r="B37" s="37">
        <f>IF( ISERROR(IND_rest_ele_kWh/1000),0,IND_rest_ele_kWh/1000)</f>
        <v>58773.611950000006</v>
      </c>
      <c r="C37" s="39">
        <f>IF(ISERROR(B37*3.6/1000000/'E Balans VL '!Z15*100),0,B37*3.6/1000000/'E Balans VL '!Z15*100)</f>
        <v>0.47450212745798998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1523.29664258</v>
      </c>
      <c r="C5" s="17">
        <f>'Eigen informatie GS &amp; warmtenet'!B60</f>
        <v>0</v>
      </c>
      <c r="D5" s="30">
        <f>IF(ISERROR(SUM(LB_lb_gas_kWh,LB_rest_gas_kWh)/1000),0,SUM(LB_lb_gas_kWh,LB_rest_gas_kWh)/1000)*0.902</f>
        <v>416.84898417327003</v>
      </c>
      <c r="E5" s="17">
        <f>B17*'E Balans VL '!I25/3.6*1000000/100</f>
        <v>39.2799716292363</v>
      </c>
      <c r="F5" s="17">
        <f>B17*('E Balans VL '!L25/3.6*1000000+'E Balans VL '!N25/3.6*1000000)/100</f>
        <v>5567.9393263833599</v>
      </c>
      <c r="G5" s="18"/>
      <c r="H5" s="17"/>
      <c r="I5" s="17"/>
      <c r="J5" s="17">
        <f>('E Balans VL '!D25+'E Balans VL '!E25)/3.6*1000000*landbouw!B17/100</f>
        <v>219.29867954030726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1523.29664258</v>
      </c>
      <c r="C8" s="21">
        <f>C5+C6</f>
        <v>0</v>
      </c>
      <c r="D8" s="21">
        <f>MAX((D5+D6),0)</f>
        <v>416.84898417327003</v>
      </c>
      <c r="E8" s="21">
        <f>MAX((E5+E6),0)</f>
        <v>39.2799716292363</v>
      </c>
      <c r="F8" s="21">
        <f>MAX((F5+F6),0)</f>
        <v>5567.9393263833599</v>
      </c>
      <c r="G8" s="21"/>
      <c r="H8" s="21"/>
      <c r="I8" s="21"/>
      <c r="J8" s="21">
        <f>MAX((J5+J6),0)</f>
        <v>219.29867954030726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0.21198588140035471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322.9173814115224</v>
      </c>
      <c r="C12" s="23">
        <f ca="1">C8*C10</f>
        <v>0</v>
      </c>
      <c r="D12" s="23">
        <f>D8*D10</f>
        <v>84.203494803000552</v>
      </c>
      <c r="E12" s="23">
        <f>E8*E10</f>
        <v>8.9165535598366397</v>
      </c>
      <c r="F12" s="23">
        <f>F8*F10</f>
        <v>1486.6398001443572</v>
      </c>
      <c r="G12" s="23"/>
      <c r="H12" s="23"/>
      <c r="I12" s="23"/>
      <c r="J12" s="23">
        <f>J8*J10</f>
        <v>77.631732557268762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0.21479491669449163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224.63278801676577</v>
      </c>
      <c r="C26" s="247">
        <f>B26*'GWP N2O_CH4'!B5</f>
        <v>4717.2885483520813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34.889802185599976</v>
      </c>
      <c r="C27" s="247">
        <f>B27*'GWP N2O_CH4'!B5</f>
        <v>732.68584589759951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3.0131166126881368</v>
      </c>
      <c r="C28" s="247">
        <f>B28*'GWP N2O_CH4'!B4</f>
        <v>934.06614993332244</v>
      </c>
      <c r="D28" s="50"/>
    </row>
    <row r="29" spans="1:4">
      <c r="A29" s="41" t="s">
        <v>277</v>
      </c>
      <c r="B29" s="247">
        <f>B34*'ha_N2O bodem landbouw'!B4</f>
        <v>11.283382802157261</v>
      </c>
      <c r="C29" s="247">
        <f>B29*'GWP N2O_CH4'!B4</f>
        <v>3497.8486686687511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2.5393742873432153E-3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1.9764607638729948E-4</v>
      </c>
      <c r="C5" s="463" t="s">
        <v>211</v>
      </c>
      <c r="D5" s="448">
        <f>SUM(D6:D11)</f>
        <v>4.3207282487245141E-4</v>
      </c>
      <c r="E5" s="448">
        <f>SUM(E6:E11)</f>
        <v>1.9060620732959579E-3</v>
      </c>
      <c r="F5" s="461" t="s">
        <v>211</v>
      </c>
      <c r="G5" s="448">
        <f>SUM(G6:G11)</f>
        <v>0.64790784998969131</v>
      </c>
      <c r="H5" s="448">
        <f>SUM(H6:H11)</f>
        <v>0.11914377187578748</v>
      </c>
      <c r="I5" s="463" t="s">
        <v>211</v>
      </c>
      <c r="J5" s="463" t="s">
        <v>211</v>
      </c>
      <c r="K5" s="463" t="s">
        <v>211</v>
      </c>
      <c r="L5" s="463" t="s">
        <v>211</v>
      </c>
      <c r="M5" s="448">
        <f>SUM(M6:M11)</f>
        <v>2.3981813409321043E-2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6.68677750327639E-5</v>
      </c>
      <c r="C6" s="449"/>
      <c r="D6" s="892">
        <f>vkm_2011_GW_PW*SUMIFS(TableVerdeelsleutelVkm[CNG],TableVerdeelsleutelVkm[Voertuigtype],"Lichte voertuigen")*SUMIFS(TableECFTransport[EnergieConsumptieFactor (PJ per km)],TableECFTransport[Index],CONCATENATE($A6,"_CNG_CNG"))</f>
        <v>1.3286744028178759E-4</v>
      </c>
      <c r="E6" s="892">
        <f>vkm_2011_GW_PW*SUMIFS(TableVerdeelsleutelVkm[LPG],TableVerdeelsleutelVkm[Voertuigtype],"Lichte voertuigen")*SUMIFS(TableECFTransport[EnergieConsumptieFactor (PJ per km)],TableECFTransport[Index],CONCATENATE($A6,"_LPG_LPG"))</f>
        <v>5.2288100691566205E-4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0.12432316235102159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3.597121331285047E-2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4.9949207636769289E-3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5.6952563150596637E-2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1.8398110541392082E-5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1.7944881231215344E-3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1.8894705201286732E-5</v>
      </c>
      <c r="C8" s="449"/>
      <c r="D8" s="451">
        <f>vkm_2011_NGW_PW*SUMIFS(TableVerdeelsleutelVkm[CNG],TableVerdeelsleutelVkm[Voertuigtype],"Lichte voertuigen")*SUMIFS(TableECFTransport[EnergieConsumptieFactor (PJ per km)],TableECFTransport[Index],CONCATENATE($A8,"_CNG_CNG"))</f>
        <v>6.6476923445121401E-5</v>
      </c>
      <c r="E8" s="451">
        <f>vkm_2011_NGW_PW*SUMIFS(TableVerdeelsleutelVkm[LPG],TableVerdeelsleutelVkm[Voertuigtype],"Lichte voertuigen")*SUMIFS(TableECFTransport[EnergieConsumptieFactor (PJ per km)],TableECFTransport[Index],CONCATENATE($A8,"_LPG_LPG"))</f>
        <v>2.4194351728606424E-4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5.3718262117396463E-2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1.7451165847944088E-2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2.2154765215348423E-3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1.6022193353144178E-2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4.8949159232509587E-6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5.0482637117932718E-4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1.1188359615324885E-4</v>
      </c>
      <c r="C10" s="449"/>
      <c r="D10" s="451">
        <f>vkm_2011_SW_PW*SUMIFS(TableVerdeelsleutelVkm[CNG],TableVerdeelsleutelVkm[Voertuigtype],"Lichte voertuigen")*SUMIFS(TableECFTransport[EnergieConsumptieFactor (PJ per km)],TableECFTransport[Index],CONCATENATE($A10,"_CNG_CNG"))</f>
        <v>2.3272846114554238E-4</v>
      </c>
      <c r="E10" s="451">
        <f>vkm_2011_SW_PW*SUMIFS(TableVerdeelsleutelVkm[LPG],TableVerdeelsleutelVkm[Voertuigtype],"Lichte voertuigen")*SUMIFS(TableECFTransport[EnergieConsumptieFactor (PJ per km)],TableECFTransport[Index],CONCATENATE($A10,"_LPG_LPG"))</f>
        <v>1.1412375490942317E-3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0.24307049469693379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6.5644560922868689E-2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9.6253163724473387E-3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0.15382117432059858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5.3538765659584692E-5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4.8467852573610718E-3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54.901687885360971</v>
      </c>
      <c r="C14" s="21"/>
      <c r="D14" s="21">
        <f t="shared" ref="D14:M14" si="0">((D5)*10^9/3600)+D12</f>
        <v>120.0202291312365</v>
      </c>
      <c r="E14" s="21">
        <f t="shared" si="0"/>
        <v>529.461687026655</v>
      </c>
      <c r="F14" s="21"/>
      <c r="G14" s="21">
        <f t="shared" si="0"/>
        <v>179974.40277491423</v>
      </c>
      <c r="H14" s="21">
        <f t="shared" si="0"/>
        <v>33095.492187718744</v>
      </c>
      <c r="I14" s="21"/>
      <c r="J14" s="21"/>
      <c r="K14" s="21"/>
      <c r="L14" s="21"/>
      <c r="M14" s="21">
        <f t="shared" si="0"/>
        <v>6661.6148359225117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0.21198588140035471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11.638382696745422</v>
      </c>
      <c r="C18" s="23"/>
      <c r="D18" s="23">
        <f t="shared" ref="D18:M18" si="1">D14*D16</f>
        <v>24.244086284509777</v>
      </c>
      <c r="E18" s="23">
        <f t="shared" si="1"/>
        <v>120.18780295505069</v>
      </c>
      <c r="F18" s="23"/>
      <c r="G18" s="23">
        <f t="shared" si="1"/>
        <v>48053.165540902104</v>
      </c>
      <c r="H18" s="23">
        <f t="shared" si="1"/>
        <v>8240.7775547419678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5.5623091519960656E-3</v>
      </c>
      <c r="H50" s="321">
        <f t="shared" si="2"/>
        <v>0</v>
      </c>
      <c r="I50" s="321">
        <f t="shared" si="2"/>
        <v>0</v>
      </c>
      <c r="J50" s="321">
        <f t="shared" si="2"/>
        <v>0</v>
      </c>
      <c r="K50" s="321">
        <f t="shared" si="2"/>
        <v>0</v>
      </c>
      <c r="L50" s="321">
        <f t="shared" si="2"/>
        <v>0</v>
      </c>
      <c r="M50" s="321">
        <f t="shared" si="2"/>
        <v>1.7253038599651443E-4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5.5623091519960656E-3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1.7253038599651443E-4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1545.0858755544627</v>
      </c>
      <c r="H54" s="21">
        <f t="shared" si="3"/>
        <v>0</v>
      </c>
      <c r="I54" s="21">
        <f t="shared" si="3"/>
        <v>0</v>
      </c>
      <c r="J54" s="21">
        <f t="shared" si="3"/>
        <v>0</v>
      </c>
      <c r="K54" s="21">
        <f t="shared" si="3"/>
        <v>0</v>
      </c>
      <c r="L54" s="21">
        <f t="shared" si="3"/>
        <v>0</v>
      </c>
      <c r="M54" s="21">
        <f t="shared" si="3"/>
        <v>47.925107221254009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0.21198588140035471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412.53792877304159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7302.270524597141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7302.270524597141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2019-08-12T08:25:19Z</dcterms:modified>
</cp:coreProperties>
</file>