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<sst xmlns="http://schemas.openxmlformats.org/spreadsheetml/2006/main" count="2392" uniqueCount="890">
  <si>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</si>
  <si>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</si>
  <si>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</si>
  <si>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</si>
  <si>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</si>
  <si>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</si>
  <si>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</si>
  <si>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</si>
  <si>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</si>
  <si>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</si>
  <si>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</si>
  <si>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</si>
  <si>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</si>
  <si>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</si>
  <si>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</si>
  <si>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</si>
  <si>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</si>
  <si>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</si>
  <si>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</si>
  <si>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</si>
  <si>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</si>
  <si>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</si>
  <si>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</si>
  <si>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</si>
  <si>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</si>
  <si>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</si>
  <si>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</si>
  <si>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</si>
  <si>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</si>
  <si>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</si>
  <si>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</si>
  <si>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</si>
  <si>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</si>
  <si>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</si>
  <si>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</si>
  <si>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</si>
  <si>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</si>
  <si>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</si>
  <si>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</si>
  <si>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</si>
  <si>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</si>
  <si>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</si>
  <si>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</si>
  <si>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</si>
  <si>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</si>
  <si>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</si>
  <si>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</si>
  <si>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</si>
  <si>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</si>
  <si>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</si>
  <si>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</si>
  <si>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</si>
  <si>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</si>
  <si>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</si>
  <si>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</si>
  <si>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</si>
  <si>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</si>
  <si>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</si>
  <si>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</si>
  <si>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</si>
  <si>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</si>
  <si>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</si>
  <si>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</si>
  <si>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</si>
  <si>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</si>
  <si>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</si>
  <si>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</si>
  <si>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</si>
  <si>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</si>
  <si>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</si>
  <si>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</si>
  <si>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</si>
  <si>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</si>
  <si>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</si>
  <si>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</si>
  <si>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</si>
  <si>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</si>
  <si>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</si>
  <si>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</si>
  <si>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</si>
  <si>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</si>
  <si>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</si>
  <si>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</si>
  <si>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</si>
  <si>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</si>
  <si>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</si>
  <si>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</si>
  <si>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</si>
  <si>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</si>
  <si>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</si>
  <si>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</si>
  <si>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</si>
  <si>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</si>
  <si>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</si>
  <si>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</si>
  <si>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</si>
  <si>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</si>
  <si>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</si>
  <si>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</si>
  <si>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</si>
  <si>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</si>
  <si>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</si>
  <si>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</si>
  <si>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</si>
  <si>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</si>
  <si>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</si>
  <si>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</si>
  <si>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</si>
  <si>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</si>
  <si>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</si>
  <si>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</si>
  <si>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</si>
  <si>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</si>
  <si>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</si>
  <si>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</si>
  <si>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</si>
  <si>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</si>
  <si>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</si>
  <si>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</si>
  <si>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</si>
  <si>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</si>
  <si>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</si>
  <si>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</si>
  <si>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</si>
  <si>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</si>
  <si>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</si>
  <si>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</si>
  <si>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</si>
  <si>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</si>
  <si>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</si>
  <si>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</si>
  <si>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</si>
  <si>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</si>
  <si>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</si>
  <si>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</si>
  <si>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</si>
  <si>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</si>
  <si>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</si>
  <si>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</si>
  <si>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</si>
  <si>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</si>
  <si>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</si>
  <si>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</si>
  <si>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</si>
  <si>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</si>
  <si>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</si>
  <si>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</si>
  <si>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</si>
  <si>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</si>
  <si>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</si>
  <si>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</si>
  <si>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</si>
  <si>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</si>
  <si>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</si>
  <si>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</si>
  <si>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</si>
  <si>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</si>
  <si>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</si>
  <si>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</si>
  <si>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</si>
  <si>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</si>
  <si>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</si>
  <si>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</si>
  <si>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</si>
  <si>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</si>
  <si>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</si>
  <si>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</si>
  <si>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</si>
  <si>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</si>
  <si>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</si>
  <si>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</si>
  <si>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</si>
  <si>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</si>
  <si>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</si>
  <si>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</si>
  <si>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</si>
  <si>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</si>
  <si>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</si>
  <si>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</si>
  <si>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</si>
  <si>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</si>
  <si>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</si>
  <si>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</si>
  <si>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</si>
  <si>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</si>
  <si>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</si>
  <si>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</si>
  <si>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</si>
  <si>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</si>
  <si>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</si>
  <si>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</si>
  <si>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</si>
  <si>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</si>
  <si>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</si>
  <si>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</si>
  <si>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</si>
  <si>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</si>
  <si>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</si>
  <si>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</si>
  <si>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</si>
  <si>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</si>
  <si>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</si>
  <si>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</si>
  <si>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</si>
  <si>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</si>
  <si>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</si>
  <si>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</si>
  <si>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</si>
  <si>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</si>
  <si>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</si>
  <si>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</si>
  <si>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</si>
  <si>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</si>
  <si>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</si>
  <si>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</si>
  <si>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</si>
  <si>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</si>
  <si>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</si>
  <si>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</si>
  <si>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</si>
  <si>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</si>
  <si>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</si>
  <si>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</si>
  <si>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</si>
  <si>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</si>
  <si>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</si>
  <si>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</si>
  <si>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</si>
  <si>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</si>
  <si>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</si>
  <si>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</si>
  <si>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</si>
  <si>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</si>
  <si>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</si>
  <si>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</si>
  <si>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</si>
  <si>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</si>
  <si>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</si>
  <si>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</si>
  <si>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</si>
  <si>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</si>
  <si>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</si>
  <si>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</si>
  <si>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</si>
  <si>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</si>
  <si>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</si>
  <si>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</si>
  <si>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</si>
  <si>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</si>
  <si>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</si>
  <si>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</si>
  <si>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</si>
  <si>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</si>
  <si>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</si>
  <si>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</si>
  <si>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</si>
  <si>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</si>
  <si>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</si>
  <si>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</si>
  <si>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</si>
  <si>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</si>
  <si>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</si>
  <si>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</si>
  <si>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</si>
  <si>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</si>
  <si>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</si>
  <si>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</si>
  <si>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</si>
  <si>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</si>
  <si>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</si>
  <si>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</si>
  <si>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</si>
  <si>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</si>
  <si>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</si>
  <si>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</si>
  <si>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</si>
  <si>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</si>
  <si>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</si>
  <si>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</si>
  <si>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</si>
  <si>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</si>
  <si>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</si>
  <si>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</si>
  <si>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</si>
  <si>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</si>
  <si>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</si>
  <si>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</si>
  <si>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</si>
  <si>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</si>
  <si>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</si>
  <si>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</si>
  <si>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</si>
  <si>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</si>
  <si>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</si>
  <si>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</si>
  <si>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</si>
  <si>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</si>
  <si>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</si>
  <si>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</si>
  <si>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</si>
  <si>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</si>
  <si>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</si>
  <si>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</si>
  <si>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</si>
  <si>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</si>
  <si>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</si>
  <si>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</si>
  <si>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</si>
  <si>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</si>
  <si>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</si>
  <si>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</si>
  <si>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</si>
  <si>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</si>
  <si>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</si>
  <si>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</si>
  <si>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</si>
  <si>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</si>
  <si>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</si>
  <si>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</si>
  <si>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</si>
  <si>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</si>
  <si>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</si>
  <si>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</si>
  <si>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</si>
  <si>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</si>
  <si>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</si>
  <si>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</si>
  <si>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</si>
  <si>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</si>
  <si>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</si>
  <si>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</si>
  <si>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</si>
  <si>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</si>
  <si>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</si>
  <si>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</si>
  <si>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</si>
  <si>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</si>
  <si>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</si>
  <si>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</si>
  <si>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</si>
  <si>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</si>
  <si>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</si>
  <si>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</si>
  <si>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</si>
  <si>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</si>
  <si>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</si>
  <si>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</si>
  <si>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</si>
  <si>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</si>
  <si>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</si>
  <si>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</si>
  <si>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</si>
  <si>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</si>
  <si>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</si>
  <si>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</si>
  <si>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</si>
  <si>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</si>
  <si>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</si>
  <si>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</si>
  <si>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</si>
  <si>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</si>
  <si>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</si>
  <si>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</si>
  <si>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</si>
  <si>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</si>
  <si>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</si>
  <si>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</si>
  <si>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</si>
  <si>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</si>
  <si>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</si>
  <si>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</si>
  <si>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</si>
  <si>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</si>
  <si>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</si>
  <si>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</si>
  <si>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</si>
  <si>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</si>
  <si>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</si>
  <si>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</si>
  <si>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</si>
  <si>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</si>
  <si>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</si>
  <si>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</si>
  <si>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</si>
  <si>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</si>
  <si>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</si>
  <si>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</si>
  <si>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</si>
  <si>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</si>
  <si>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</si>
  <si>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</si>
  <si>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</si>
  <si>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</si>
  <si>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</si>
  <si>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</si>
  <si>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</si>
  <si>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</si>
  <si>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</si>
  <si>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</si>
  <si>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</si>
  <si>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</si>
  <si>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</si>
  <si>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</si>
  <si>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</si>
  <si>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</si>
  <si>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</si>
  <si>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</si>
  <si>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</si>
  <si>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</si>
  <si>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</si>
  <si>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</si>
  <si>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</si>
  <si>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</si>
  <si>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</si>
  <si>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</si>
  <si>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</si>
  <si>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</si>
  <si>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</si>
  <si>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</si>
  <si>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</si>
  <si>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</si>
  <si>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</si>
  <si>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</si>
  <si>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</si>
  <si>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</si>
  <si>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</si>
  <si>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</si>
  <si>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</si>
  <si>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</si>
  <si>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</si>
  <si>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</si>
  <si>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</si>
  <si>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</si>
  <si>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</si>
  <si>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</si>
  <si>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</si>
  <si>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</si>
  <si>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</si>
  <si>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</si>
  <si>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</si>
  <si>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</si>
  <si>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</si>
  <si>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</si>
  <si>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</si>
  <si>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</si>
  <si>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</si>
  <si>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</si>
  <si>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</si>
  <si>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</si>
  <si>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</si>
  <si>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</si>
  <si>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</si>
  <si>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</si>
  <si>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</si>
  <si>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</si>
  <si>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</si>
  <si>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</si>
  <si>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</si>
  <si>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</si>
  <si>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</si>
  <si>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</si>
  <si>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</si>
  <si>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</si>
  <si>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</si>
  <si>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</si>
  <si>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</si>
  <si>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</si>
  <si>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</si>
  <si>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</si>
  <si>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</si>
  <si>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</si>
  <si>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</si>
  <si>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</si>
  <si>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</si>
  <si>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</si>
  <si>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</si>
  <si>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</si>
  <si>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</si>
  <si>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</si>
  <si>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</si>
  <si>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</si>
  <si>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</si>
  <si>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</si>
  <si>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</si>
  <si>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</si>
  <si>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</si>
  <si>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</si>
  <si>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</si>
  <si>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</si>
  <si>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</si>
  <si>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</si>
  <si>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</si>
  <si>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</si>
  <si>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</si>
  <si>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</si>
  <si>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</si>
  <si>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</si>
  <si>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</si>
  <si>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</si>
  <si>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</si>
  <si>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</si>
  <si>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</si>
  <si>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</si>
  <si>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</si>
  <si>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</si>
  <si>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</si>
  <si>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</si>
  <si>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</si>
  <si>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</si>
  <si>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</si>
  <si>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</si>
  <si>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</si>
  <si>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</si>
  <si>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</si>
  <si>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</si>
  <si>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</si>
  <si>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</si>
  <si>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</si>
  <si>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</si>
  <si>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</si>
  <si>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</si>
  <si>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</si>
  <si>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</si>
  <si>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</si>
  <si>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</si>
  <si>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</si>
  <si>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</si>
  <si>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</si>
  <si>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</si>
  <si>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</si>
  <si>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</si>
  <si>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</si>
  <si>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</si>
  <si>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</si>
  <si>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</si>
  <si>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</si>
  <si>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</si>
  <si>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</si>
  <si>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</si>
  <si>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</si>
  <si>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</si>
  <si>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</si>
  <si>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</si>
  <si>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</si>
  <si>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</si>
  <si>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</si>
  <si>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</si>
  <si>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</si>
  <si>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</si>
  <si>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</si>
  <si>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</si>
  <si>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</si>
  <si>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</si>
  <si>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</si>
  <si>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</si>
  <si>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</si>
  <si>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</si>
  <si>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</si>
  <si>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</si>
  <si>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</si>
  <si>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</si>
  <si>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</si>
  <si>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</si>
  <si>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</si>
  <si>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</si>
  <si>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</si>
  <si>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</si>
  <si>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</si>
  <si>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</si>
  <si>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</si>
  <si>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</si>
  <si>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</si>
  <si>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</si>
  <si>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</si>
  <si>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</si>
  <si>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</si>
  <si>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</si>
  <si>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</si>
  <si>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</si>
  <si>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</si>
  <si>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</si>
  <si>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</si>
  <si>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</si>
  <si>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</si>
  <si>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</si>
  <si>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</si>
  <si>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</si>
  <si>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</si>
  <si>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</si>
  <si>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</si>
  <si>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</si>
  <si>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</si>
  <si>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</si>
  <si>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</si>
  <si>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</si>
  <si>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</si>
  <si>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</si>
  <si>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</si>
  <si>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</si>
  <si>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</si>
  <si>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</si>
  <si>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</si>
  <si>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</si>
  <si>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</si>
  <si>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</si>
  <si>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</si>
  <si>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</si>
  <si>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</si>
  <si>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</si>
  <si>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</si>
  <si>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</si>
  <si>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</si>
  <si>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</si>
  <si>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</si>
  <si>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</si>
  <si>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</si>
  <si>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</si>
  <si>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</si>
  <si>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</si>
  <si>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</si>
  <si>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</si>
  <si>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</si>
  <si>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</si>
  <si>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</si>
  <si>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</si>
  <si>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</si>
  <si>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</si>
  <si>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</si>
  <si>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</si>
  <si>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</si>
  <si>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</si>
  <si>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</si>
  <si>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</si>
  <si>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</si>
  <si>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</si>
  <si>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</si>
  <si>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</si>
  <si>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</si>
  <si>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</si>
  <si>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</si>
  <si>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</si>
  <si>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</si>
  <si>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</si>
  <si>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</si>
  <si>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</si>
  <si>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</si>
  <si>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</si>
  <si>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</si>
  <si>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</si>
  <si>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</si>
  <si>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</si>
  <si>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</si>
  <si>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</si>
  <si>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</si>
  <si>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</si>
  <si>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</si>
  <si>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</si>
  <si>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</si>
  <si>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</si>
  <si>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</si>
  <si>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</si>
  <si>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</si>
  <si>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</si>
  <si>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</si>
  <si>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</si>
  <si>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</si>
  <si>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</si>
  <si>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</si>
  <si>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</si>
  <si>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</si>
  <si>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</si>
  <si>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</si>
  <si>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</si>
  <si>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</si>
  <si>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</si>
  <si>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</si>
  <si>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</si>
  <si>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</si>
  <si>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</si>
  <si>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</si>
  <si>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</si>
  <si>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</si>
  <si>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</si>
  <si>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</si>
  <si>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</si>
  <si>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</si>
  <si>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</si>
  <si>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</si>
  <si>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</si>
  <si>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</si>
  <si>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</si>
  <si>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</si>
  <si>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</si>
  <si>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</si>
  <si>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</si>
  <si>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</si>
  <si>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</si>
  <si>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</si>
  <si>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</si>
  <si>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</si>
  <si>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</si>
  <si>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</si>
  <si>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</si>
  <si>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</si>
  <si>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</si>
  <si>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</si>
  <si>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</si>
  <si>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</si>
  <si>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</si>
  <si>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</si>
  <si>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</si>
  <si>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</si>
  <si>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</si>
  <si>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</si>
  <si>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</si>
  <si>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</si>
  <si>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</si>
  <si>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</si>
  <si>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</si>
  <si>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</si>
  <si>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</si>
  <si>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</si>
  <si>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</si>
  <si>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</si>
  <si>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</si>
  <si>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</si>
  <si>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</si>
  <si>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</si>
  <si>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</si>
  <si>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</si>
  <si>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</si>
  <si>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</si>
  <si>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</si>
  <si>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</si>
  <si>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</si>
  <si>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</si>
  <si>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</si>
  <si>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</si>
  <si>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</si>
  <si>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</si>
  <si>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</si>
  <si>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</si>
  <si>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</si>
  <si>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</si>
  <si>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</si>
  <si>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</si>
  <si>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</si>
  <si>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</si>
  <si>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</si>
  <si>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</si>
  <si>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</si>
  <si>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</si>
  <si>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</si>
  <si>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</si>
  <si>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</si>
  <si>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</si>
  <si>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</si>
  <si>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</si>
  <si>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</si>
  <si>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</si>
  <si>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</si>
  <si>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</si>
  <si>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</si>
  <si>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</si>
  <si>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</si>
  <si>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</si>
  <si>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</si>
  <si>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</si>
  <si>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</si>
  <si>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</si>
  <si>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</si>
  <si>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</si>
  <si>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</si>
  <si>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</si>
  <si>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</si>
  <si>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</si>
  <si>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</si>
  <si>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</si>
  <si>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</si>
  <si>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</si>
  <si>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</si>
  <si>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</si>
  <si>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</si>
  <si>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</si>
  <si>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</si>
  <si>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</si>
  <si>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</si>
  <si>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</si>
  <si>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</si>
  <si>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</si>
  <si>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</si>
  <si>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</si>
  <si>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</si>
  <si>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</si>
  <si>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</si>
  <si>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</si>
  <si>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</si>
  <si>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</si>
  <si>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</si>
  <si>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</si>
  <si>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</si>
  <si>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</si>
  <si>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</si>
  <si>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</si>
  <si>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</si>
  <si>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</si>
  <si>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</si>
  <si>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</si>
  <si>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</si>
  <si>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</si>
  <si>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</si>
  <si>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</si>
  <si>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</si>
  <si>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</si>
  <si>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</si>
  <si>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</si>
  <si>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</si>
  <si>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</si>
  <si>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</si>
  <si>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</si>
  <si>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</si>
  <si>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</si>
  <si>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</si>
  <si>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</si>
  <si>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</si>
  <si>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</si>
  <si>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</si>
  <si>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</si>
  <si>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</si>
  <si>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</si>
  <si>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</si>
  <si>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</si>
  <si>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</si>
  <si>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</si>
  <si>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</si>
  <si>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</si>
  <si>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</si>
  <si>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</si>
  <si>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</si>
  <si>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</si>
  <si>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</si>
  <si>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</si>
  <si>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</si>
  <si>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</si>
  <si>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</si>
  <si>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</si>
  <si>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</si>
  <si>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</si>
  <si>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</si>
  <si>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</si>
  <si>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</si>
  <si>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</si>
  <si>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</si>
  <si>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</si>
  <si>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</si>
  <si>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</si>
  <si>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</si>
  <si>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</si>
  <si>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</si>
  <si>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</si>
  <si>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</si>
  <si>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</si>
  <si>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</si>
  <si>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</si>
  <si>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</si>
  <si>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</si>
  <si>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</si>
  <si>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</si>
  <si>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</si>
  <si>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</si>
  <si>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</si>
  <si>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</si>
  <si>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</si>
  <si>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</si>
  <si>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</si>
  <si>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</si>
  <si>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</si>
  <si>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</si>
  <si>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</si>
  <si>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</si>
  <si>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</si>
  <si>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</si>
  <si>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42023</t>
  </si>
  <si>
    <t>WAASMUNSTER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</si>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</sst>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92801.507963740412</c:v>
                </c:pt>
                <c:pt idx="1">
                  <c:v>28527.822235593463</c:v>
                </c:pt>
                <c:pt idx="2">
                  <c:v>827.86599999999999</c:v>
                </c:pt>
                <c:pt idx="3">
                  <c:v>5153.2566720972163</c:v>
                </c:pt>
                <c:pt idx="4">
                  <c:v>4357.9534144300806</c:v>
                </c:pt>
                <c:pt idx="5">
                  <c:v>412802.64430171507</c:v>
                </c:pt>
                <c:pt idx="6">
                  <c:v>658.01312688629434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908992"/>
        <c:axId val="179910528"/>
      </c:barChart>
      <c:catAx>
        <c:axId val="179908992"/>
        <c:scaling>
          <c:orientation val="minMax"/>
        </c:scaling>
        <c:axPos val="b"/>
        <c:numFmt formatCode="General" sourceLinked="0"/>
        <c:tickLblPos val="nextTo"/>
        <c:crossAx val="179910528"/>
        <c:crosses val="autoZero"/>
        <c:auto val="1"/>
        <c:lblAlgn val="ctr"/>
        <c:lblOffset val="100"/>
      </c:catAx>
      <c:valAx>
        <c:axId val="179910528"/>
        <c:scaling>
          <c:orientation val="minMax"/>
        </c:scaling>
        <c:axPos val="l"/>
        <c:majorGridlines/>
        <c:numFmt formatCode="#,##0" sourceLinked="1"/>
        <c:tickLblPos val="nextTo"/>
        <c:crossAx val="179908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92801.507963740412</c:v>
                </c:pt>
                <c:pt idx="1">
                  <c:v>28527.822235593463</c:v>
                </c:pt>
                <c:pt idx="2">
                  <c:v>827.86599999999999</c:v>
                </c:pt>
                <c:pt idx="3">
                  <c:v>5153.2566720972163</c:v>
                </c:pt>
                <c:pt idx="4">
                  <c:v>4357.9534144300806</c:v>
                </c:pt>
                <c:pt idx="5">
                  <c:v>412802.64430171507</c:v>
                </c:pt>
                <c:pt idx="6">
                  <c:v>658.01312688629434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17996.022884646311</c:v>
                </c:pt>
                <c:pt idx="2">
                  <c:v>5758.1300388944492</c:v>
                </c:pt>
                <c:pt idx="3">
                  <c:v>169.65126981282208</c:v>
                </c:pt>
                <c:pt idx="4">
                  <c:v>1319.078788774827</c:v>
                </c:pt>
                <c:pt idx="5">
                  <c:v>859.46076959454706</c:v>
                </c:pt>
                <c:pt idx="6">
                  <c:v>105969.99504262533</c:v>
                </c:pt>
                <c:pt idx="7">
                  <c:v>170.4039554066045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524928"/>
        <c:axId val="182620928"/>
      </c:barChart>
      <c:catAx>
        <c:axId val="182524928"/>
        <c:scaling>
          <c:orientation val="minMax"/>
        </c:scaling>
        <c:axPos val="b"/>
        <c:numFmt formatCode="General" sourceLinked="0"/>
        <c:tickLblPos val="nextTo"/>
        <c:crossAx val="182620928"/>
        <c:crosses val="autoZero"/>
        <c:auto val="1"/>
        <c:lblAlgn val="ctr"/>
        <c:lblOffset val="100"/>
      </c:catAx>
      <c:valAx>
        <c:axId val="182620928"/>
        <c:scaling>
          <c:orientation val="minMax"/>
        </c:scaling>
        <c:axPos val="l"/>
        <c:majorGridlines/>
        <c:numFmt formatCode="#,##0" sourceLinked="1"/>
        <c:tickLblPos val="nextTo"/>
        <c:crossAx val="182524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17996.022884646311</c:v>
                </c:pt>
                <c:pt idx="2">
                  <c:v>5758.1300388944492</c:v>
                </c:pt>
                <c:pt idx="3">
                  <c:v>169.65126981282208</c:v>
                </c:pt>
                <c:pt idx="4">
                  <c:v>1319.078788774827</c:v>
                </c:pt>
                <c:pt idx="5">
                  <c:v>859.46076959454706</c:v>
                </c:pt>
                <c:pt idx="6">
                  <c:v>105969.99504262533</c:v>
                </c:pt>
                <c:pt idx="7">
                  <c:v>170.4039554066045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42023</v>
      </c>
      <c r="B6" s="415"/>
      <c r="C6" s="416"/>
    </row>
    <row r="7" spans="1:7" s="413" customFormat="1" ht="15.75" customHeight="1">
      <c r="A7" s="417" t="str">
        <f>txtMunicipality</f>
        <v>WAASMUNSTER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10790.701800999999</v>
      </c>
      <c r="D10" s="1012">
        <f ca="1">tertiair!C16</f>
        <v>0</v>
      </c>
      <c r="E10" s="1012">
        <f ca="1">tertiair!D16</f>
        <v>14677.955409316757</v>
      </c>
      <c r="F10" s="1012">
        <f>tertiair!E16</f>
        <v>188.40920195898278</v>
      </c>
      <c r="G10" s="1012">
        <f ca="1">tertiair!F16</f>
        <v>2654.5694576217734</v>
      </c>
      <c r="H10" s="1012">
        <f>tertiair!G16</f>
        <v>0</v>
      </c>
      <c r="I10" s="1012">
        <f>tertiair!H16</f>
        <v>0</v>
      </c>
      <c r="J10" s="1012">
        <f>tertiair!I16</f>
        <v>0</v>
      </c>
      <c r="K10" s="1012">
        <f>tertiair!J16</f>
        <v>0</v>
      </c>
      <c r="L10" s="1012">
        <f>tertiair!K16</f>
        <v>0</v>
      </c>
      <c r="M10" s="1012">
        <f ca="1">tertiair!L16</f>
        <v>0</v>
      </c>
      <c r="N10" s="1012">
        <f>tertiair!M16</f>
        <v>0</v>
      </c>
      <c r="O10" s="1012">
        <f ca="1">tertiair!N16</f>
        <v>1002.792365695949</v>
      </c>
      <c r="P10" s="1012">
        <f>tertiair!O16</f>
        <v>3.1266666666666669</v>
      </c>
      <c r="Q10" s="1013">
        <f>tertiair!P16</f>
        <v>38.133333333333333</v>
      </c>
      <c r="R10" s="700">
        <f ca="1">SUM(C10:Q10)</f>
        <v>29355.688235593465</v>
      </c>
      <c r="S10" s="67"/>
    </row>
    <row r="11" spans="1:19" s="473" customFormat="1">
      <c r="A11" s="809" t="s">
        <v>225</v>
      </c>
      <c r="B11" s="814"/>
      <c r="C11" s="1012">
        <f>huishoudens!B8</f>
        <v>22145.201961529161</v>
      </c>
      <c r="D11" s="1012">
        <f>huishoudens!C8</f>
        <v>0</v>
      </c>
      <c r="E11" s="1012">
        <f>huishoudens!D8</f>
        <v>35841.727245236005</v>
      </c>
      <c r="F11" s="1012">
        <f>huishoudens!E8</f>
        <v>3380.1586055554085</v>
      </c>
      <c r="G11" s="1012">
        <f>huishoudens!F8</f>
        <v>18222.536587887145</v>
      </c>
      <c r="H11" s="1012">
        <f>huishoudens!G8</f>
        <v>0</v>
      </c>
      <c r="I11" s="1012">
        <f>huishoudens!H8</f>
        <v>0</v>
      </c>
      <c r="J11" s="1012">
        <f>huishoudens!I8</f>
        <v>0</v>
      </c>
      <c r="K11" s="1012">
        <f>huishoudens!J8</f>
        <v>1652.9745784572433</v>
      </c>
      <c r="L11" s="1012">
        <f>huishoudens!K8</f>
        <v>0</v>
      </c>
      <c r="M11" s="1012">
        <f>huishoudens!L8</f>
        <v>0</v>
      </c>
      <c r="N11" s="1012">
        <f>huishoudens!M8</f>
        <v>0</v>
      </c>
      <c r="O11" s="1012">
        <f>huishoudens!N8</f>
        <v>10439.862318408799</v>
      </c>
      <c r="P11" s="1012">
        <f>huishoudens!O8</f>
        <v>165.71333333333337</v>
      </c>
      <c r="Q11" s="1013">
        <f>huishoudens!P8</f>
        <v>953.33333333333326</v>
      </c>
      <c r="R11" s="700">
        <f>SUM(C11:Q11)</f>
        <v>92801.507963740412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1669.6342737589998</v>
      </c>
      <c r="D13" s="1012">
        <f>industrie!C18</f>
        <v>0</v>
      </c>
      <c r="E13" s="1012">
        <f>industrie!D18</f>
        <v>1219.6333455552399</v>
      </c>
      <c r="F13" s="1012">
        <f>industrie!E18</f>
        <v>225.77653421394157</v>
      </c>
      <c r="G13" s="1012">
        <f>industrie!F18</f>
        <v>813.48558845182515</v>
      </c>
      <c r="H13" s="1012">
        <f>industrie!G18</f>
        <v>0</v>
      </c>
      <c r="I13" s="1012">
        <f>industrie!H18</f>
        <v>0</v>
      </c>
      <c r="J13" s="1012">
        <f>industrie!I18</f>
        <v>0</v>
      </c>
      <c r="K13" s="1012">
        <f>industrie!J18</f>
        <v>7.0379418060804815</v>
      </c>
      <c r="L13" s="1012">
        <f>industrie!K18</f>
        <v>0</v>
      </c>
      <c r="M13" s="1012">
        <f>industrie!L18</f>
        <v>0</v>
      </c>
      <c r="N13" s="1012">
        <f>industrie!M18</f>
        <v>0</v>
      </c>
      <c r="O13" s="1012">
        <f>industrie!N18</f>
        <v>422.38573064399384</v>
      </c>
      <c r="P13" s="1012">
        <f>industrie!O18</f>
        <v>0</v>
      </c>
      <c r="Q13" s="1013">
        <f>industrie!P18</f>
        <v>0</v>
      </c>
      <c r="R13" s="700">
        <f>SUM(C13:Q13)</f>
        <v>4357.9534144300806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34605.538036288162</v>
      </c>
      <c r="D16" s="732">
        <f t="shared" ref="D16:R16" ca="1" si="0">SUM(D9:D15)</f>
        <v>0</v>
      </c>
      <c r="E16" s="732">
        <f t="shared" ca="1" si="0"/>
        <v>51739.316000107996</v>
      </c>
      <c r="F16" s="732">
        <f t="shared" si="0"/>
        <v>3794.3443417283329</v>
      </c>
      <c r="G16" s="732">
        <f t="shared" ca="1" si="0"/>
        <v>21690.591633960743</v>
      </c>
      <c r="H16" s="732">
        <f t="shared" si="0"/>
        <v>0</v>
      </c>
      <c r="I16" s="732">
        <f t="shared" si="0"/>
        <v>0</v>
      </c>
      <c r="J16" s="732">
        <f t="shared" si="0"/>
        <v>0</v>
      </c>
      <c r="K16" s="732">
        <f t="shared" si="0"/>
        <v>1660.0125202633237</v>
      </c>
      <c r="L16" s="732">
        <f t="shared" si="0"/>
        <v>0</v>
      </c>
      <c r="M16" s="732">
        <f t="shared" ca="1" si="0"/>
        <v>0</v>
      </c>
      <c r="N16" s="732">
        <f t="shared" si="0"/>
        <v>0</v>
      </c>
      <c r="O16" s="732">
        <f t="shared" ca="1" si="0"/>
        <v>11865.040414748741</v>
      </c>
      <c r="P16" s="732">
        <f t="shared" si="0"/>
        <v>168.84000000000003</v>
      </c>
      <c r="Q16" s="732">
        <f t="shared" si="0"/>
        <v>991.46666666666658</v>
      </c>
      <c r="R16" s="732">
        <f t="shared" ca="1" si="0"/>
        <v>126515.14961376396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638.21706144795689</v>
      </c>
      <c r="I19" s="1012">
        <f>transport!H54</f>
        <v>0</v>
      </c>
      <c r="J19" s="1012">
        <f>transport!I54</f>
        <v>0</v>
      </c>
      <c r="K19" s="1012">
        <f>transport!J54</f>
        <v>0</v>
      </c>
      <c r="L19" s="1012">
        <f>transport!K54</f>
        <v>0</v>
      </c>
      <c r="M19" s="1012">
        <f>transport!L54</f>
        <v>0</v>
      </c>
      <c r="N19" s="1012">
        <f>transport!M54</f>
        <v>19.796065438337411</v>
      </c>
      <c r="O19" s="1012">
        <f>transport!N54</f>
        <v>0</v>
      </c>
      <c r="P19" s="1012">
        <f>transport!O54</f>
        <v>0</v>
      </c>
      <c r="Q19" s="1013">
        <f>transport!P54</f>
        <v>0</v>
      </c>
      <c r="R19" s="700">
        <f>SUM(C19:Q19)</f>
        <v>658.01312688629434</v>
      </c>
      <c r="S19" s="67"/>
    </row>
    <row r="20" spans="1:19" s="473" customFormat="1">
      <c r="A20" s="809" t="s">
        <v>307</v>
      </c>
      <c r="B20" s="814"/>
      <c r="C20" s="1012">
        <f>transport!B14</f>
        <v>78.883669807934879</v>
      </c>
      <c r="D20" s="1012">
        <f>transport!C14</f>
        <v>0</v>
      </c>
      <c r="E20" s="1012">
        <f>transport!D14</f>
        <v>171.77721342452637</v>
      </c>
      <c r="F20" s="1012">
        <f>transport!E14</f>
        <v>796.76217912749792</v>
      </c>
      <c r="G20" s="1012">
        <f>transport!F14</f>
        <v>0</v>
      </c>
      <c r="H20" s="1012">
        <f>transport!G14</f>
        <v>351370.71902258461</v>
      </c>
      <c r="I20" s="1012">
        <f>transport!H14</f>
        <v>47880.65757719575</v>
      </c>
      <c r="J20" s="1012">
        <f>transport!I14</f>
        <v>0</v>
      </c>
      <c r="K20" s="1012">
        <f>transport!J14</f>
        <v>0</v>
      </c>
      <c r="L20" s="1012">
        <f>transport!K14</f>
        <v>0</v>
      </c>
      <c r="M20" s="1012">
        <f>transport!L14</f>
        <v>0</v>
      </c>
      <c r="N20" s="1012">
        <f>transport!M14</f>
        <v>12503.844639574772</v>
      </c>
      <c r="O20" s="1012">
        <f>transport!N14</f>
        <v>0</v>
      </c>
      <c r="P20" s="1012">
        <f>transport!O14</f>
        <v>0</v>
      </c>
      <c r="Q20" s="1013">
        <f>transport!P14</f>
        <v>0</v>
      </c>
      <c r="R20" s="700">
        <f>SUM(C20:Q20)</f>
        <v>412802.64430171507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78.883669807934879</v>
      </c>
      <c r="D22" s="812">
        <f t="shared" ref="D22:R22" si="1">SUM(D18:D21)</f>
        <v>0</v>
      </c>
      <c r="E22" s="812">
        <f t="shared" si="1"/>
        <v>171.77721342452637</v>
      </c>
      <c r="F22" s="812">
        <f t="shared" si="1"/>
        <v>796.76217912749792</v>
      </c>
      <c r="G22" s="812">
        <f t="shared" si="1"/>
        <v>0</v>
      </c>
      <c r="H22" s="812">
        <f t="shared" si="1"/>
        <v>352008.93608403258</v>
      </c>
      <c r="I22" s="812">
        <f t="shared" si="1"/>
        <v>47880.65757719575</v>
      </c>
      <c r="J22" s="812">
        <f t="shared" si="1"/>
        <v>0</v>
      </c>
      <c r="K22" s="812">
        <f t="shared" si="1"/>
        <v>0</v>
      </c>
      <c r="L22" s="812">
        <f t="shared" si="1"/>
        <v>0</v>
      </c>
      <c r="M22" s="812">
        <f t="shared" si="1"/>
        <v>0</v>
      </c>
      <c r="N22" s="812">
        <f t="shared" si="1"/>
        <v>12523.640705013109</v>
      </c>
      <c r="O22" s="812">
        <f t="shared" si="1"/>
        <v>0</v>
      </c>
      <c r="P22" s="812">
        <f t="shared" si="1"/>
        <v>0</v>
      </c>
      <c r="Q22" s="812">
        <f t="shared" si="1"/>
        <v>0</v>
      </c>
      <c r="R22" s="812">
        <f t="shared" si="1"/>
        <v>413460.65742860135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1057.33147891</v>
      </c>
      <c r="D24" s="1012">
        <f>+landbouw!C8</f>
        <v>0</v>
      </c>
      <c r="E24" s="1012">
        <f>+landbouw!D8</f>
        <v>51.695922342372</v>
      </c>
      <c r="F24" s="1012">
        <f>+landbouw!E8</f>
        <v>27.264519157569207</v>
      </c>
      <c r="G24" s="1012">
        <f>+landbouw!F8</f>
        <v>3864.7479144147637</v>
      </c>
      <c r="H24" s="1012">
        <f>+landbouw!G8</f>
        <v>0</v>
      </c>
      <c r="I24" s="1012">
        <f>+landbouw!H8</f>
        <v>0</v>
      </c>
      <c r="J24" s="1012">
        <f>+landbouw!I8</f>
        <v>0</v>
      </c>
      <c r="K24" s="1012">
        <f>+landbouw!J8</f>
        <v>152.2168372725117</v>
      </c>
      <c r="L24" s="1012">
        <f>+landbouw!K8</f>
        <v>0</v>
      </c>
      <c r="M24" s="1012">
        <f>+landbouw!L8</f>
        <v>0</v>
      </c>
      <c r="N24" s="1012">
        <f>+landbouw!M8</f>
        <v>0</v>
      </c>
      <c r="O24" s="1012">
        <f>+landbouw!N8</f>
        <v>0</v>
      </c>
      <c r="P24" s="1012">
        <f>+landbouw!O8</f>
        <v>0</v>
      </c>
      <c r="Q24" s="1013">
        <f>+landbouw!P8</f>
        <v>0</v>
      </c>
      <c r="R24" s="700">
        <f>SUM(C24:Q24)</f>
        <v>5153.2566720972163</v>
      </c>
      <c r="S24" s="67"/>
    </row>
    <row r="25" spans="1:19" s="473" customFormat="1" ht="15" thickBot="1">
      <c r="A25" s="831" t="s">
        <v>848</v>
      </c>
      <c r="B25" s="1015"/>
      <c r="C25" s="1016">
        <f>IF(Onbekend_ele_kWh="---",0,Onbekend_ele_kWh)/1000+IF(REST_rest_ele_kWh="---",0,REST_rest_ele_kWh)/1000</f>
        <v>871.9013607899999</v>
      </c>
      <c r="D25" s="1016"/>
      <c r="E25" s="1016">
        <f>IF(onbekend_gas_kWh="---",0,onbekend_gas_kWh)/1000+IF(REST_rest_gas_kWh="---",0,REST_rest_gas_kWh)/1000</f>
        <v>1568.3674299000002</v>
      </c>
      <c r="F25" s="1016"/>
      <c r="G25" s="1016"/>
      <c r="H25" s="1016"/>
      <c r="I25" s="1016"/>
      <c r="J25" s="1016"/>
      <c r="K25" s="1016"/>
      <c r="L25" s="1016"/>
      <c r="M25" s="1016"/>
      <c r="N25" s="1016"/>
      <c r="O25" s="1016"/>
      <c r="P25" s="1016"/>
      <c r="Q25" s="1017"/>
      <c r="R25" s="700">
        <f>SUM(C25:Q25)</f>
        <v>2440.2687906900001</v>
      </c>
      <c r="S25" s="67"/>
    </row>
    <row r="26" spans="1:19" s="473" customFormat="1" ht="15.75" thickBot="1">
      <c r="A26" s="705" t="s">
        <v>849</v>
      </c>
      <c r="B26" s="817"/>
      <c r="C26" s="812">
        <f>SUM(C24:C25)</f>
        <v>1929.2328396999999</v>
      </c>
      <c r="D26" s="812">
        <f t="shared" ref="D26:R26" si="2">SUM(D24:D25)</f>
        <v>0</v>
      </c>
      <c r="E26" s="812">
        <f t="shared" si="2"/>
        <v>1620.0633522423723</v>
      </c>
      <c r="F26" s="812">
        <f t="shared" si="2"/>
        <v>27.264519157569207</v>
      </c>
      <c r="G26" s="812">
        <f t="shared" si="2"/>
        <v>3864.7479144147637</v>
      </c>
      <c r="H26" s="812">
        <f t="shared" si="2"/>
        <v>0</v>
      </c>
      <c r="I26" s="812">
        <f t="shared" si="2"/>
        <v>0</v>
      </c>
      <c r="J26" s="812">
        <f t="shared" si="2"/>
        <v>0</v>
      </c>
      <c r="K26" s="812">
        <f t="shared" si="2"/>
        <v>152.2168372725117</v>
      </c>
      <c r="L26" s="812">
        <f t="shared" si="2"/>
        <v>0</v>
      </c>
      <c r="M26" s="812">
        <f t="shared" si="2"/>
        <v>0</v>
      </c>
      <c r="N26" s="812">
        <f t="shared" si="2"/>
        <v>0</v>
      </c>
      <c r="O26" s="812">
        <f t="shared" si="2"/>
        <v>0</v>
      </c>
      <c r="P26" s="812">
        <f t="shared" si="2"/>
        <v>0</v>
      </c>
      <c r="Q26" s="812">
        <f t="shared" si="2"/>
        <v>0</v>
      </c>
      <c r="R26" s="812">
        <f t="shared" si="2"/>
        <v>7593.5254627872164</v>
      </c>
      <c r="S26" s="67"/>
    </row>
    <row r="27" spans="1:19" s="473" customFormat="1" ht="17.25" thickTop="1" thickBot="1">
      <c r="A27" s="706" t="s">
        <v>116</v>
      </c>
      <c r="B27" s="805"/>
      <c r="C27" s="707">
        <f ca="1">C22+C16+C26</f>
        <v>36613.654545796096</v>
      </c>
      <c r="D27" s="707">
        <f t="shared" ref="D27:R27" ca="1" si="3">D22+D16+D26</f>
        <v>0</v>
      </c>
      <c r="E27" s="707">
        <f t="shared" ca="1" si="3"/>
        <v>53531.156565774894</v>
      </c>
      <c r="F27" s="707">
        <f t="shared" si="3"/>
        <v>4618.3710400134005</v>
      </c>
      <c r="G27" s="707">
        <f t="shared" ca="1" si="3"/>
        <v>25555.339548375508</v>
      </c>
      <c r="H27" s="707">
        <f t="shared" si="3"/>
        <v>352008.93608403258</v>
      </c>
      <c r="I27" s="707">
        <f t="shared" si="3"/>
        <v>47880.65757719575</v>
      </c>
      <c r="J27" s="707">
        <f t="shared" si="3"/>
        <v>0</v>
      </c>
      <c r="K27" s="707">
        <f t="shared" si="3"/>
        <v>1812.2293575358353</v>
      </c>
      <c r="L27" s="707">
        <f t="shared" si="3"/>
        <v>0</v>
      </c>
      <c r="M27" s="707">
        <f t="shared" ca="1" si="3"/>
        <v>0</v>
      </c>
      <c r="N27" s="707">
        <f t="shared" si="3"/>
        <v>12523.640705013109</v>
      </c>
      <c r="O27" s="707">
        <f t="shared" ca="1" si="3"/>
        <v>11865.040414748741</v>
      </c>
      <c r="P27" s="707">
        <f t="shared" si="3"/>
        <v>168.84000000000003</v>
      </c>
      <c r="Q27" s="707">
        <f t="shared" si="3"/>
        <v>991.46666666666658</v>
      </c>
      <c r="R27" s="707">
        <f t="shared" ca="1" si="3"/>
        <v>547569.33250515256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2211.2953819955837</v>
      </c>
      <c r="D40" s="1012">
        <f ca="1">tertiair!C20</f>
        <v>0</v>
      </c>
      <c r="E40" s="1012">
        <f ca="1">tertiair!D20</f>
        <v>2964.9469926819852</v>
      </c>
      <c r="F40" s="1012">
        <f>tertiair!E20</f>
        <v>42.768888844689094</v>
      </c>
      <c r="G40" s="1012">
        <f ca="1">tertiair!F20</f>
        <v>708.77004518501349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5927.7813087072718</v>
      </c>
    </row>
    <row r="41" spans="1:18">
      <c r="A41" s="822" t="s">
        <v>225</v>
      </c>
      <c r="B41" s="829"/>
      <c r="C41" s="1012">
        <f ca="1">huishoudens!B12</f>
        <v>4538.1277079078263</v>
      </c>
      <c r="D41" s="1012">
        <f ca="1">huishoudens!C12</f>
        <v>0</v>
      </c>
      <c r="E41" s="1012">
        <f>huishoudens!D12</f>
        <v>7240.0289035376736</v>
      </c>
      <c r="F41" s="1012">
        <f>huishoudens!E12</f>
        <v>767.2960034610777</v>
      </c>
      <c r="G41" s="1012">
        <f>huishoudens!F12</f>
        <v>4865.4172689658681</v>
      </c>
      <c r="H41" s="1012">
        <f>huishoudens!G12</f>
        <v>0</v>
      </c>
      <c r="I41" s="1012">
        <f>huishoudens!H12</f>
        <v>0</v>
      </c>
      <c r="J41" s="1012">
        <f>huishoudens!I12</f>
        <v>0</v>
      </c>
      <c r="K41" s="1012">
        <f>huishoudens!J12</f>
        <v>585.15300077386405</v>
      </c>
      <c r="L41" s="1012">
        <f>huishoudens!K12</f>
        <v>0</v>
      </c>
      <c r="M41" s="1012">
        <f>huishoudens!L12</f>
        <v>0</v>
      </c>
      <c r="N41" s="1012">
        <f>huishoudens!M12</f>
        <v>0</v>
      </c>
      <c r="O41" s="1012">
        <f>huishoudens!N12</f>
        <v>0</v>
      </c>
      <c r="P41" s="1012">
        <f>huishoudens!O12</f>
        <v>0</v>
      </c>
      <c r="Q41" s="774">
        <f>huishoudens!P12</f>
        <v>0</v>
      </c>
      <c r="R41" s="850">
        <f t="shared" ca="1" si="4"/>
        <v>17996.022884646311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342.15147700983408</v>
      </c>
      <c r="D43" s="1012">
        <f ca="1">industrie!C22</f>
        <v>0</v>
      </c>
      <c r="E43" s="1012">
        <f>industrie!D22</f>
        <v>246.36593580215848</v>
      </c>
      <c r="F43" s="1012">
        <f>industrie!E22</f>
        <v>51.251273266564738</v>
      </c>
      <c r="G43" s="1012">
        <f>industrie!F22</f>
        <v>217.20065211663731</v>
      </c>
      <c r="H43" s="1012">
        <f>industrie!G22</f>
        <v>0</v>
      </c>
      <c r="I43" s="1012">
        <f>industrie!H22</f>
        <v>0</v>
      </c>
      <c r="J43" s="1012">
        <f>industrie!I22</f>
        <v>0</v>
      </c>
      <c r="K43" s="1012">
        <f>industrie!J22</f>
        <v>2.4914313993524901</v>
      </c>
      <c r="L43" s="1012">
        <f>industrie!K22</f>
        <v>0</v>
      </c>
      <c r="M43" s="1012">
        <f>industrie!L22</f>
        <v>0</v>
      </c>
      <c r="N43" s="1012">
        <f>industrie!M22</f>
        <v>0</v>
      </c>
      <c r="O43" s="1012">
        <f>industrie!N22</f>
        <v>0</v>
      </c>
      <c r="P43" s="1012">
        <f>industrie!O22</f>
        <v>0</v>
      </c>
      <c r="Q43" s="774">
        <f>industrie!P22</f>
        <v>0</v>
      </c>
      <c r="R43" s="849">
        <f t="shared" ca="1" si="4"/>
        <v>859.46076959454706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7091.5745669132439</v>
      </c>
      <c r="D46" s="732">
        <f t="shared" ref="D46:Q46" ca="1" si="5">SUM(D39:D45)</f>
        <v>0</v>
      </c>
      <c r="E46" s="732">
        <f t="shared" ca="1" si="5"/>
        <v>10451.341832021817</v>
      </c>
      <c r="F46" s="732">
        <f t="shared" si="5"/>
        <v>861.31616557233156</v>
      </c>
      <c r="G46" s="732">
        <f t="shared" ca="1" si="5"/>
        <v>5791.387966267519</v>
      </c>
      <c r="H46" s="732">
        <f t="shared" si="5"/>
        <v>0</v>
      </c>
      <c r="I46" s="732">
        <f t="shared" si="5"/>
        <v>0</v>
      </c>
      <c r="J46" s="732">
        <f t="shared" si="5"/>
        <v>0</v>
      </c>
      <c r="K46" s="732">
        <f t="shared" si="5"/>
        <v>587.6444321732165</v>
      </c>
      <c r="L46" s="732">
        <f t="shared" si="5"/>
        <v>0</v>
      </c>
      <c r="M46" s="732">
        <f t="shared" ca="1" si="5"/>
        <v>0</v>
      </c>
      <c r="N46" s="732">
        <f t="shared" si="5"/>
        <v>0</v>
      </c>
      <c r="O46" s="732">
        <f t="shared" ca="1" si="5"/>
        <v>0</v>
      </c>
      <c r="P46" s="732">
        <f t="shared" si="5"/>
        <v>0</v>
      </c>
      <c r="Q46" s="732">
        <f t="shared" si="5"/>
        <v>0</v>
      </c>
      <c r="R46" s="732">
        <f ca="1">SUM(R39:R45)</f>
        <v>24783.264962948131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170.4039554066045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170.4039554066045</v>
      </c>
    </row>
    <row r="50" spans="1:18">
      <c r="A50" s="825" t="s">
        <v>307</v>
      </c>
      <c r="B50" s="835"/>
      <c r="C50" s="703">
        <f ca="1">transport!B18</f>
        <v>16.165315099800605</v>
      </c>
      <c r="D50" s="703">
        <f>transport!C18</f>
        <v>0</v>
      </c>
      <c r="E50" s="703">
        <f>transport!D18</f>
        <v>34.698997111754331</v>
      </c>
      <c r="F50" s="703">
        <f>transport!E18</f>
        <v>180.86501466194204</v>
      </c>
      <c r="G50" s="703">
        <f>transport!F18</f>
        <v>0</v>
      </c>
      <c r="H50" s="703">
        <f>transport!G18</f>
        <v>93815.981979030097</v>
      </c>
      <c r="I50" s="703">
        <f>transport!H18</f>
        <v>11922.283736721742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105969.99504262533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16.165315099800605</v>
      </c>
      <c r="D52" s="732">
        <f t="shared" ref="D52:Q52" ca="1" si="6">SUM(D48:D51)</f>
        <v>0</v>
      </c>
      <c r="E52" s="732">
        <f t="shared" si="6"/>
        <v>34.698997111754331</v>
      </c>
      <c r="F52" s="732">
        <f t="shared" si="6"/>
        <v>180.86501466194204</v>
      </c>
      <c r="G52" s="732">
        <f t="shared" si="6"/>
        <v>0</v>
      </c>
      <c r="H52" s="732">
        <f t="shared" si="6"/>
        <v>93986.385934436708</v>
      </c>
      <c r="I52" s="732">
        <f t="shared" si="6"/>
        <v>11922.283736721742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106140.39899803195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216.67471306968832</v>
      </c>
      <c r="D54" s="703">
        <f ca="1">+landbouw!C12</f>
        <v>0</v>
      </c>
      <c r="E54" s="703">
        <f>+landbouw!D12</f>
        <v>10.442576313159146</v>
      </c>
      <c r="F54" s="703">
        <f>+landbouw!E12</f>
        <v>6.1890458487682105</v>
      </c>
      <c r="G54" s="703">
        <f>+landbouw!F12</f>
        <v>1031.8876931487421</v>
      </c>
      <c r="H54" s="703">
        <f>+landbouw!G12</f>
        <v>0</v>
      </c>
      <c r="I54" s="703">
        <f>+landbouw!H12</f>
        <v>0</v>
      </c>
      <c r="J54" s="703">
        <f>+landbouw!I12</f>
        <v>0</v>
      </c>
      <c r="K54" s="703">
        <f>+landbouw!J12</f>
        <v>53.88476039446914</v>
      </c>
      <c r="L54" s="703">
        <f>+landbouw!K12</f>
        <v>0</v>
      </c>
      <c r="M54" s="703">
        <f>+landbouw!L12</f>
        <v>0</v>
      </c>
      <c r="N54" s="703">
        <f>+landbouw!M12</f>
        <v>0</v>
      </c>
      <c r="O54" s="703">
        <f>+landbouw!N12</f>
        <v>0</v>
      </c>
      <c r="P54" s="703">
        <f>+landbouw!O12</f>
        <v>0</v>
      </c>
      <c r="Q54" s="704">
        <f>+landbouw!P12</f>
        <v>0</v>
      </c>
      <c r="R54" s="731">
        <f ca="1">SUM(C54:Q54)</f>
        <v>1319.078788774827</v>
      </c>
    </row>
    <row r="55" spans="1:18" ht="15" thickBot="1">
      <c r="A55" s="825" t="s">
        <v>848</v>
      </c>
      <c r="B55" s="835"/>
      <c r="C55" s="703">
        <f ca="1">C25*'EF ele_warmte'!B12</f>
        <v>178.67526025896822</v>
      </c>
      <c r="D55" s="703"/>
      <c r="E55" s="703">
        <f>E25*EF_CO2_aardgas</f>
        <v>316.81022083980002</v>
      </c>
      <c r="F55" s="703"/>
      <c r="G55" s="703"/>
      <c r="H55" s="703"/>
      <c r="I55" s="703"/>
      <c r="J55" s="703"/>
      <c r="K55" s="703"/>
      <c r="L55" s="703"/>
      <c r="M55" s="703"/>
      <c r="N55" s="703"/>
      <c r="O55" s="703"/>
      <c r="P55" s="703"/>
      <c r="Q55" s="704"/>
      <c r="R55" s="731">
        <f ca="1">SUM(C55:Q55)</f>
        <v>495.48548109876822</v>
      </c>
    </row>
    <row r="56" spans="1:18" ht="15.75" thickBot="1">
      <c r="A56" s="823" t="s">
        <v>849</v>
      </c>
      <c r="B56" s="836"/>
      <c r="C56" s="732">
        <f ca="1">SUM(C54:C55)</f>
        <v>395.34997332865657</v>
      </c>
      <c r="D56" s="732">
        <f t="shared" ref="D56:Q56" ca="1" si="7">SUM(D54:D55)</f>
        <v>0</v>
      </c>
      <c r="E56" s="732">
        <f t="shared" si="7"/>
        <v>327.25279715295915</v>
      </c>
      <c r="F56" s="732">
        <f t="shared" si="7"/>
        <v>6.1890458487682105</v>
      </c>
      <c r="G56" s="732">
        <f t="shared" si="7"/>
        <v>1031.8876931487421</v>
      </c>
      <c r="H56" s="732">
        <f t="shared" si="7"/>
        <v>0</v>
      </c>
      <c r="I56" s="732">
        <f t="shared" si="7"/>
        <v>0</v>
      </c>
      <c r="J56" s="732">
        <f t="shared" si="7"/>
        <v>0</v>
      </c>
      <c r="K56" s="732">
        <f t="shared" si="7"/>
        <v>53.88476039446914</v>
      </c>
      <c r="L56" s="732">
        <f t="shared" si="7"/>
        <v>0</v>
      </c>
      <c r="M56" s="732">
        <f t="shared" si="7"/>
        <v>0</v>
      </c>
      <c r="N56" s="732">
        <f t="shared" si="7"/>
        <v>0</v>
      </c>
      <c r="O56" s="732">
        <f t="shared" si="7"/>
        <v>0</v>
      </c>
      <c r="P56" s="732">
        <f t="shared" si="7"/>
        <v>0</v>
      </c>
      <c r="Q56" s="733">
        <f t="shared" si="7"/>
        <v>0</v>
      </c>
      <c r="R56" s="734">
        <f ca="1">SUM(R54:R55)</f>
        <v>1814.5642698735951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7503.089855341701</v>
      </c>
      <c r="D61" s="740">
        <f t="shared" ref="D61:Q61" ca="1" si="8">D46+D52+D56</f>
        <v>0</v>
      </c>
      <c r="E61" s="740">
        <f t="shared" ca="1" si="8"/>
        <v>10813.293626286531</v>
      </c>
      <c r="F61" s="740">
        <f t="shared" si="8"/>
        <v>1048.3702260830419</v>
      </c>
      <c r="G61" s="740">
        <f t="shared" ca="1" si="8"/>
        <v>6823.2756594162611</v>
      </c>
      <c r="H61" s="740">
        <f t="shared" si="8"/>
        <v>93986.385934436708</v>
      </c>
      <c r="I61" s="740">
        <f t="shared" si="8"/>
        <v>11922.283736721742</v>
      </c>
      <c r="J61" s="740">
        <f t="shared" si="8"/>
        <v>0</v>
      </c>
      <c r="K61" s="740">
        <f t="shared" si="8"/>
        <v>641.52919256768564</v>
      </c>
      <c r="L61" s="740">
        <f t="shared" si="8"/>
        <v>0</v>
      </c>
      <c r="M61" s="740">
        <f t="shared" ca="1" si="8"/>
        <v>0</v>
      </c>
      <c r="N61" s="740">
        <f t="shared" si="8"/>
        <v>0</v>
      </c>
      <c r="O61" s="740">
        <f t="shared" ca="1" si="8"/>
        <v>0</v>
      </c>
      <c r="P61" s="740">
        <f t="shared" si="8"/>
        <v>0</v>
      </c>
      <c r="Q61" s="740">
        <f t="shared" si="8"/>
        <v>0</v>
      </c>
      <c r="R61" s="740">
        <f ca="1">R46+R52+R56</f>
        <v>132738.22823085368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0.20492600229121871</v>
      </c>
      <c r="D63" s="781">
        <f t="shared" ca="1" si="9"/>
        <v>0</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2663.0217161956407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2663.0217161956407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22145.201961529161</v>
      </c>
      <c r="C4" s="477">
        <f>huishoudens!C8</f>
        <v>0</v>
      </c>
      <c r="D4" s="477">
        <f>huishoudens!D8</f>
        <v>35841.727245236005</v>
      </c>
      <c r="E4" s="477">
        <f>huishoudens!E8</f>
        <v>3380.1586055554085</v>
      </c>
      <c r="F4" s="477">
        <f>huishoudens!F8</f>
        <v>18222.536587887145</v>
      </c>
      <c r="G4" s="477">
        <f>huishoudens!G8</f>
        <v>0</v>
      </c>
      <c r="H4" s="477">
        <f>huishoudens!H8</f>
        <v>0</v>
      </c>
      <c r="I4" s="477">
        <f>huishoudens!I8</f>
        <v>0</v>
      </c>
      <c r="J4" s="477">
        <f>huishoudens!J8</f>
        <v>1652.9745784572433</v>
      </c>
      <c r="K4" s="477">
        <f>huishoudens!K8</f>
        <v>0</v>
      </c>
      <c r="L4" s="477">
        <f>huishoudens!L8</f>
        <v>0</v>
      </c>
      <c r="M4" s="477">
        <f>huishoudens!M8</f>
        <v>0</v>
      </c>
      <c r="N4" s="477">
        <f>huishoudens!N8</f>
        <v>10439.862318408799</v>
      </c>
      <c r="O4" s="477">
        <f>huishoudens!O8</f>
        <v>165.71333333333337</v>
      </c>
      <c r="P4" s="478">
        <f>huishoudens!P8</f>
        <v>953.33333333333326</v>
      </c>
      <c r="Q4" s="479">
        <f>SUM(B4:P4)</f>
        <v>92801.507963740412</v>
      </c>
    </row>
    <row r="5" spans="1:17">
      <c r="A5" s="476" t="s">
        <v>156</v>
      </c>
      <c r="B5" s="477">
        <f ca="1">tertiair!B16</f>
        <v>9962.8358009999993</v>
      </c>
      <c r="C5" s="477">
        <f ca="1">tertiair!C16</f>
        <v>0</v>
      </c>
      <c r="D5" s="477">
        <f ca="1">tertiair!D16</f>
        <v>14677.955409316757</v>
      </c>
      <c r="E5" s="477">
        <f>tertiair!E16</f>
        <v>188.40920195898278</v>
      </c>
      <c r="F5" s="477">
        <f ca="1">tertiair!F16</f>
        <v>2654.5694576217734</v>
      </c>
      <c r="G5" s="477">
        <f>tertiair!G16</f>
        <v>0</v>
      </c>
      <c r="H5" s="477">
        <f>tertiair!H16</f>
        <v>0</v>
      </c>
      <c r="I5" s="477">
        <f>tertiair!I16</f>
        <v>0</v>
      </c>
      <c r="J5" s="477">
        <f>tertiair!J16</f>
        <v>0</v>
      </c>
      <c r="K5" s="477">
        <f>tertiair!K16</f>
        <v>0</v>
      </c>
      <c r="L5" s="477">
        <f ca="1">tertiair!L16</f>
        <v>0</v>
      </c>
      <c r="M5" s="477">
        <f>tertiair!M16</f>
        <v>0</v>
      </c>
      <c r="N5" s="477">
        <f ca="1">tertiair!N16</f>
        <v>1002.792365695949</v>
      </c>
      <c r="O5" s="477">
        <f>tertiair!O16</f>
        <v>3.1266666666666669</v>
      </c>
      <c r="P5" s="478">
        <f>tertiair!P16</f>
        <v>38.133333333333333</v>
      </c>
      <c r="Q5" s="476">
        <f t="shared" ref="Q5:Q14" ca="1" si="0">SUM(B5:P5)</f>
        <v>28527.822235593463</v>
      </c>
    </row>
    <row r="6" spans="1:17">
      <c r="A6" s="476" t="s">
        <v>194</v>
      </c>
      <c r="B6" s="477">
        <f>'openbare verlichting'!B8</f>
        <v>827.86599999999999</v>
      </c>
      <c r="C6" s="477"/>
      <c r="D6" s="477"/>
      <c r="E6" s="477"/>
      <c r="F6" s="477"/>
      <c r="G6" s="477"/>
      <c r="H6" s="477"/>
      <c r="I6" s="477"/>
      <c r="J6" s="477"/>
      <c r="K6" s="477"/>
      <c r="L6" s="477"/>
      <c r="M6" s="477"/>
      <c r="N6" s="477"/>
      <c r="O6" s="477"/>
      <c r="P6" s="478"/>
      <c r="Q6" s="476">
        <f t="shared" si="0"/>
        <v>827.86599999999999</v>
      </c>
    </row>
    <row r="7" spans="1:17">
      <c r="A7" s="476" t="s">
        <v>112</v>
      </c>
      <c r="B7" s="477">
        <f>landbouw!B8</f>
        <v>1057.33147891</v>
      </c>
      <c r="C7" s="477">
        <f>landbouw!C8</f>
        <v>0</v>
      </c>
      <c r="D7" s="477">
        <f>landbouw!D8</f>
        <v>51.695922342372</v>
      </c>
      <c r="E7" s="477">
        <f>landbouw!E8</f>
        <v>27.264519157569207</v>
      </c>
      <c r="F7" s="477">
        <f>landbouw!F8</f>
        <v>3864.7479144147637</v>
      </c>
      <c r="G7" s="477">
        <f>landbouw!G8</f>
        <v>0</v>
      </c>
      <c r="H7" s="477">
        <f>landbouw!H8</f>
        <v>0</v>
      </c>
      <c r="I7" s="477">
        <f>landbouw!I8</f>
        <v>0</v>
      </c>
      <c r="J7" s="477">
        <f>landbouw!J8</f>
        <v>152.2168372725117</v>
      </c>
      <c r="K7" s="477">
        <f>landbouw!K8</f>
        <v>0</v>
      </c>
      <c r="L7" s="477">
        <f>landbouw!L8</f>
        <v>0</v>
      </c>
      <c r="M7" s="477">
        <f>landbouw!M8</f>
        <v>0</v>
      </c>
      <c r="N7" s="477">
        <f>landbouw!N8</f>
        <v>0</v>
      </c>
      <c r="O7" s="477">
        <f>landbouw!O8</f>
        <v>0</v>
      </c>
      <c r="P7" s="478">
        <f>landbouw!P8</f>
        <v>0</v>
      </c>
      <c r="Q7" s="476">
        <f t="shared" si="0"/>
        <v>5153.2566720972163</v>
      </c>
    </row>
    <row r="8" spans="1:17">
      <c r="A8" s="476" t="s">
        <v>638</v>
      </c>
      <c r="B8" s="477">
        <f>industrie!B18</f>
        <v>1669.6342737589998</v>
      </c>
      <c r="C8" s="477">
        <f>industrie!C18</f>
        <v>0</v>
      </c>
      <c r="D8" s="477">
        <f>industrie!D18</f>
        <v>1219.6333455552399</v>
      </c>
      <c r="E8" s="477">
        <f>industrie!E18</f>
        <v>225.77653421394157</v>
      </c>
      <c r="F8" s="477">
        <f>industrie!F18</f>
        <v>813.48558845182515</v>
      </c>
      <c r="G8" s="477">
        <f>industrie!G18</f>
        <v>0</v>
      </c>
      <c r="H8" s="477">
        <f>industrie!H18</f>
        <v>0</v>
      </c>
      <c r="I8" s="477">
        <f>industrie!I18</f>
        <v>0</v>
      </c>
      <c r="J8" s="477">
        <f>industrie!J18</f>
        <v>7.0379418060804815</v>
      </c>
      <c r="K8" s="477">
        <f>industrie!K18</f>
        <v>0</v>
      </c>
      <c r="L8" s="477">
        <f>industrie!L18</f>
        <v>0</v>
      </c>
      <c r="M8" s="477">
        <f>industrie!M18</f>
        <v>0</v>
      </c>
      <c r="N8" s="477">
        <f>industrie!N18</f>
        <v>422.38573064399384</v>
      </c>
      <c r="O8" s="477">
        <f>industrie!O18</f>
        <v>0</v>
      </c>
      <c r="P8" s="478">
        <f>industrie!P18</f>
        <v>0</v>
      </c>
      <c r="Q8" s="476">
        <f t="shared" si="0"/>
        <v>4357.9534144300806</v>
      </c>
    </row>
    <row r="9" spans="1:17" s="482" customFormat="1">
      <c r="A9" s="480" t="s">
        <v>564</v>
      </c>
      <c r="B9" s="481">
        <f>transport!B14</f>
        <v>78.883669807934879</v>
      </c>
      <c r="C9" s="481">
        <f>transport!C14</f>
        <v>0</v>
      </c>
      <c r="D9" s="481">
        <f>transport!D14</f>
        <v>171.77721342452637</v>
      </c>
      <c r="E9" s="481">
        <f>transport!E14</f>
        <v>796.76217912749792</v>
      </c>
      <c r="F9" s="481">
        <f>transport!F14</f>
        <v>0</v>
      </c>
      <c r="G9" s="481">
        <f>transport!G14</f>
        <v>351370.71902258461</v>
      </c>
      <c r="H9" s="481">
        <f>transport!H14</f>
        <v>47880.65757719575</v>
      </c>
      <c r="I9" s="481">
        <f>transport!I14</f>
        <v>0</v>
      </c>
      <c r="J9" s="481">
        <f>transport!J14</f>
        <v>0</v>
      </c>
      <c r="K9" s="481">
        <f>transport!K14</f>
        <v>0</v>
      </c>
      <c r="L9" s="481">
        <f>transport!L14</f>
        <v>0</v>
      </c>
      <c r="M9" s="481">
        <f>transport!M14</f>
        <v>12503.844639574772</v>
      </c>
      <c r="N9" s="481">
        <f>transport!N14</f>
        <v>0</v>
      </c>
      <c r="O9" s="481">
        <f>transport!O14</f>
        <v>0</v>
      </c>
      <c r="P9" s="481">
        <f>transport!P14</f>
        <v>0</v>
      </c>
      <c r="Q9" s="480">
        <f>SUM(B9:P9)</f>
        <v>412802.64430171507</v>
      </c>
    </row>
    <row r="10" spans="1:17">
      <c r="A10" s="476" t="s">
        <v>554</v>
      </c>
      <c r="B10" s="477">
        <f>transport!B54</f>
        <v>0</v>
      </c>
      <c r="C10" s="477">
        <f>transport!C54</f>
        <v>0</v>
      </c>
      <c r="D10" s="477">
        <f>transport!D54</f>
        <v>0</v>
      </c>
      <c r="E10" s="477">
        <f>transport!E54</f>
        <v>0</v>
      </c>
      <c r="F10" s="477">
        <f>transport!F54</f>
        <v>0</v>
      </c>
      <c r="G10" s="477">
        <f>transport!G54</f>
        <v>638.21706144795689</v>
      </c>
      <c r="H10" s="477">
        <f>transport!H54</f>
        <v>0</v>
      </c>
      <c r="I10" s="477">
        <f>transport!I54</f>
        <v>0</v>
      </c>
      <c r="J10" s="477">
        <f>transport!J54</f>
        <v>0</v>
      </c>
      <c r="K10" s="477">
        <f>transport!K54</f>
        <v>0</v>
      </c>
      <c r="L10" s="477">
        <f>transport!L54</f>
        <v>0</v>
      </c>
      <c r="M10" s="477">
        <f>transport!M54</f>
        <v>19.796065438337411</v>
      </c>
      <c r="N10" s="477">
        <f>transport!N54</f>
        <v>0</v>
      </c>
      <c r="O10" s="477">
        <f>transport!O54</f>
        <v>0</v>
      </c>
      <c r="P10" s="478">
        <f>transport!P54</f>
        <v>0</v>
      </c>
      <c r="Q10" s="476">
        <f t="shared" si="0"/>
        <v>658.01312688629434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871.9013607899999</v>
      </c>
      <c r="C14" s="484"/>
      <c r="D14" s="484">
        <f>'SEAP template'!E25</f>
        <v>1568.3674299000002</v>
      </c>
      <c r="E14" s="484"/>
      <c r="F14" s="484"/>
      <c r="G14" s="484"/>
      <c r="H14" s="484"/>
      <c r="I14" s="484"/>
      <c r="J14" s="484"/>
      <c r="K14" s="484"/>
      <c r="L14" s="484"/>
      <c r="M14" s="484"/>
      <c r="N14" s="484"/>
      <c r="O14" s="484"/>
      <c r="P14" s="485"/>
      <c r="Q14" s="476">
        <f t="shared" si="0"/>
        <v>2440.2687906900001</v>
      </c>
    </row>
    <row r="15" spans="1:17" s="486" customFormat="1">
      <c r="A15" s="1038" t="s">
        <v>558</v>
      </c>
      <c r="B15" s="978">
        <f ca="1">SUM(B4:B14)</f>
        <v>36613.654545796089</v>
      </c>
      <c r="C15" s="978">
        <f t="shared" ref="C15:Q15" ca="1" si="1">SUM(C4:C14)</f>
        <v>0</v>
      </c>
      <c r="D15" s="978">
        <f t="shared" ca="1" si="1"/>
        <v>53531.156565774887</v>
      </c>
      <c r="E15" s="978">
        <f t="shared" si="1"/>
        <v>4618.3710400134005</v>
      </c>
      <c r="F15" s="978">
        <f t="shared" ca="1" si="1"/>
        <v>25555.339548375508</v>
      </c>
      <c r="G15" s="978">
        <f t="shared" si="1"/>
        <v>352008.93608403258</v>
      </c>
      <c r="H15" s="978">
        <f t="shared" si="1"/>
        <v>47880.65757719575</v>
      </c>
      <c r="I15" s="978">
        <f t="shared" si="1"/>
        <v>0</v>
      </c>
      <c r="J15" s="978">
        <f t="shared" si="1"/>
        <v>1812.2293575358353</v>
      </c>
      <c r="K15" s="978">
        <f t="shared" si="1"/>
        <v>0</v>
      </c>
      <c r="L15" s="978">
        <f t="shared" ca="1" si="1"/>
        <v>0</v>
      </c>
      <c r="M15" s="978">
        <f t="shared" si="1"/>
        <v>12523.640705013109</v>
      </c>
      <c r="N15" s="978">
        <f t="shared" ca="1" si="1"/>
        <v>11865.040414748741</v>
      </c>
      <c r="O15" s="978">
        <f t="shared" si="1"/>
        <v>168.84000000000003</v>
      </c>
      <c r="P15" s="978">
        <f t="shared" si="1"/>
        <v>991.46666666666658</v>
      </c>
      <c r="Q15" s="978">
        <f t="shared" ca="1" si="1"/>
        <v>547569.33250515256</v>
      </c>
    </row>
    <row r="17" spans="1:17">
      <c r="A17" s="487" t="s">
        <v>559</v>
      </c>
      <c r="B17" s="786">
        <f ca="1">huishoudens!B10</f>
        <v>0.20492600229121871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4538.1277079078263</v>
      </c>
      <c r="C22" s="477">
        <f t="shared" ref="C22:C32" ca="1" si="3">C4*$C$17</f>
        <v>0</v>
      </c>
      <c r="D22" s="477">
        <f t="shared" ref="D22:D32" si="4">D4*$D$17</f>
        <v>7240.0289035376736</v>
      </c>
      <c r="E22" s="477">
        <f t="shared" ref="E22:E32" si="5">E4*$E$17</f>
        <v>767.2960034610777</v>
      </c>
      <c r="F22" s="477">
        <f t="shared" ref="F22:F32" si="6">F4*$F$17</f>
        <v>4865.4172689658681</v>
      </c>
      <c r="G22" s="477">
        <f t="shared" ref="G22:G32" si="7">G4*$G$17</f>
        <v>0</v>
      </c>
      <c r="H22" s="477">
        <f t="shared" ref="H22:H32" si="8">H4*$H$17</f>
        <v>0</v>
      </c>
      <c r="I22" s="477">
        <f t="shared" ref="I22:I32" si="9">I4*$I$17</f>
        <v>0</v>
      </c>
      <c r="J22" s="477">
        <f t="shared" ref="J22:J32" si="10">J4*$J$17</f>
        <v>585.15300077386405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17996.022884646311</v>
      </c>
    </row>
    <row r="23" spans="1:17">
      <c r="A23" s="476" t="s">
        <v>156</v>
      </c>
      <c r="B23" s="477">
        <f t="shared" ca="1" si="2"/>
        <v>2041.6441121827615</v>
      </c>
      <c r="C23" s="477">
        <f t="shared" ca="1" si="3"/>
        <v>0</v>
      </c>
      <c r="D23" s="477">
        <f t="shared" ca="1" si="4"/>
        <v>2964.9469926819852</v>
      </c>
      <c r="E23" s="477">
        <f t="shared" si="5"/>
        <v>42.768888844689094</v>
      </c>
      <c r="F23" s="477">
        <f t="shared" ca="1" si="6"/>
        <v>708.77004518501349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5758.1300388944492</v>
      </c>
    </row>
    <row r="24" spans="1:17">
      <c r="A24" s="476" t="s">
        <v>194</v>
      </c>
      <c r="B24" s="477">
        <f t="shared" ca="1" si="2"/>
        <v>169.65126981282208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169.65126981282208</v>
      </c>
    </row>
    <row r="25" spans="1:17">
      <c r="A25" s="476" t="s">
        <v>112</v>
      </c>
      <c r="B25" s="477">
        <f t="shared" ca="1" si="2"/>
        <v>216.67471306968832</v>
      </c>
      <c r="C25" s="477">
        <f t="shared" ca="1" si="3"/>
        <v>0</v>
      </c>
      <c r="D25" s="477">
        <f t="shared" si="4"/>
        <v>10.442576313159146</v>
      </c>
      <c r="E25" s="477">
        <f t="shared" si="5"/>
        <v>6.1890458487682105</v>
      </c>
      <c r="F25" s="477">
        <f t="shared" si="6"/>
        <v>1031.8876931487421</v>
      </c>
      <c r="G25" s="477">
        <f t="shared" si="7"/>
        <v>0</v>
      </c>
      <c r="H25" s="477">
        <f t="shared" si="8"/>
        <v>0</v>
      </c>
      <c r="I25" s="477">
        <f t="shared" si="9"/>
        <v>0</v>
      </c>
      <c r="J25" s="477">
        <f t="shared" si="10"/>
        <v>53.88476039446914</v>
      </c>
      <c r="K25" s="477">
        <f t="shared" si="11"/>
        <v>0</v>
      </c>
      <c r="L25" s="477">
        <f t="shared" si="12"/>
        <v>0</v>
      </c>
      <c r="M25" s="477">
        <f t="shared" si="13"/>
        <v>0</v>
      </c>
      <c r="N25" s="477">
        <f t="shared" si="14"/>
        <v>0</v>
      </c>
      <c r="O25" s="477">
        <f t="shared" si="15"/>
        <v>0</v>
      </c>
      <c r="P25" s="478">
        <f t="shared" si="16"/>
        <v>0</v>
      </c>
      <c r="Q25" s="476">
        <f t="shared" ca="1" si="17"/>
        <v>1319.078788774827</v>
      </c>
    </row>
    <row r="26" spans="1:17">
      <c r="A26" s="476" t="s">
        <v>638</v>
      </c>
      <c r="B26" s="477">
        <f t="shared" ca="1" si="2"/>
        <v>342.15147700983408</v>
      </c>
      <c r="C26" s="477">
        <f t="shared" ca="1" si="3"/>
        <v>0</v>
      </c>
      <c r="D26" s="477">
        <f t="shared" si="4"/>
        <v>246.36593580215848</v>
      </c>
      <c r="E26" s="477">
        <f t="shared" si="5"/>
        <v>51.251273266564738</v>
      </c>
      <c r="F26" s="477">
        <f t="shared" si="6"/>
        <v>217.20065211663731</v>
      </c>
      <c r="G26" s="477">
        <f t="shared" si="7"/>
        <v>0</v>
      </c>
      <c r="H26" s="477">
        <f t="shared" si="8"/>
        <v>0</v>
      </c>
      <c r="I26" s="477">
        <f t="shared" si="9"/>
        <v>0</v>
      </c>
      <c r="J26" s="477">
        <f t="shared" si="10"/>
        <v>2.4914313993524901</v>
      </c>
      <c r="K26" s="477">
        <f t="shared" si="11"/>
        <v>0</v>
      </c>
      <c r="L26" s="477">
        <f t="shared" si="12"/>
        <v>0</v>
      </c>
      <c r="M26" s="477">
        <f t="shared" si="13"/>
        <v>0</v>
      </c>
      <c r="N26" s="477">
        <f t="shared" si="14"/>
        <v>0</v>
      </c>
      <c r="O26" s="477">
        <f t="shared" si="15"/>
        <v>0</v>
      </c>
      <c r="P26" s="478">
        <f t="shared" si="16"/>
        <v>0</v>
      </c>
      <c r="Q26" s="476">
        <f t="shared" ca="1" si="17"/>
        <v>859.46076959454706</v>
      </c>
    </row>
    <row r="27" spans="1:17" s="482" customFormat="1">
      <c r="A27" s="480" t="s">
        <v>564</v>
      </c>
      <c r="B27" s="780">
        <f t="shared" ca="1" si="2"/>
        <v>16.165315099800605</v>
      </c>
      <c r="C27" s="481">
        <f t="shared" ca="1" si="3"/>
        <v>0</v>
      </c>
      <c r="D27" s="481">
        <f t="shared" si="4"/>
        <v>34.698997111754331</v>
      </c>
      <c r="E27" s="481">
        <f t="shared" si="5"/>
        <v>180.86501466194204</v>
      </c>
      <c r="F27" s="481">
        <f t="shared" si="6"/>
        <v>0</v>
      </c>
      <c r="G27" s="481">
        <f t="shared" si="7"/>
        <v>93815.981979030097</v>
      </c>
      <c r="H27" s="481">
        <f t="shared" si="8"/>
        <v>11922.283736721742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105969.99504262533</v>
      </c>
    </row>
    <row r="28" spans="1:17">
      <c r="A28" s="476" t="s">
        <v>554</v>
      </c>
      <c r="B28" s="477">
        <f t="shared" ca="1" si="2"/>
        <v>0</v>
      </c>
      <c r="C28" s="477">
        <f t="shared" ca="1" si="3"/>
        <v>0</v>
      </c>
      <c r="D28" s="477">
        <f t="shared" si="4"/>
        <v>0</v>
      </c>
      <c r="E28" s="477">
        <f t="shared" si="5"/>
        <v>0</v>
      </c>
      <c r="F28" s="477">
        <f t="shared" si="6"/>
        <v>0</v>
      </c>
      <c r="G28" s="477">
        <f t="shared" si="7"/>
        <v>170.4039554066045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170.4039554066045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178.67526025896822</v>
      </c>
      <c r="C32" s="477">
        <f t="shared" ca="1" si="3"/>
        <v>0</v>
      </c>
      <c r="D32" s="477">
        <f t="shared" si="4"/>
        <v>316.81022083980002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495.48548109876822</v>
      </c>
    </row>
    <row r="33" spans="1:17" s="486" customFormat="1">
      <c r="A33" s="1038" t="s">
        <v>558</v>
      </c>
      <c r="B33" s="978">
        <f ca="1">SUM(B22:B32)</f>
        <v>7503.089855341701</v>
      </c>
      <c r="C33" s="978">
        <f t="shared" ref="C33:Q33" ca="1" si="18">SUM(C22:C32)</f>
        <v>0</v>
      </c>
      <c r="D33" s="978">
        <f t="shared" ca="1" si="18"/>
        <v>10813.29362628653</v>
      </c>
      <c r="E33" s="978">
        <f t="shared" si="18"/>
        <v>1048.3702260830416</v>
      </c>
      <c r="F33" s="978">
        <f t="shared" ca="1" si="18"/>
        <v>6823.2756594162611</v>
      </c>
      <c r="G33" s="978">
        <f t="shared" si="18"/>
        <v>93986.385934436708</v>
      </c>
      <c r="H33" s="978">
        <f t="shared" si="18"/>
        <v>11922.283736721742</v>
      </c>
      <c r="I33" s="978">
        <f t="shared" si="18"/>
        <v>0</v>
      </c>
      <c r="J33" s="978">
        <f t="shared" si="18"/>
        <v>641.52919256768564</v>
      </c>
      <c r="K33" s="978">
        <f t="shared" si="18"/>
        <v>0</v>
      </c>
      <c r="L33" s="978">
        <f t="shared" ca="1" si="18"/>
        <v>0</v>
      </c>
      <c r="M33" s="978">
        <f t="shared" si="18"/>
        <v>0</v>
      </c>
      <c r="N33" s="978">
        <f t="shared" ca="1" si="18"/>
        <v>0</v>
      </c>
      <c r="O33" s="978">
        <f t="shared" si="18"/>
        <v>0</v>
      </c>
      <c r="P33" s="978">
        <f t="shared" si="18"/>
        <v>0</v>
      </c>
      <c r="Q33" s="978">
        <f t="shared" ca="1" si="18"/>
        <v>132738.22823085365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2663.0217161956407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2663.0217161956407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0.20492600229121871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0.20492600229121871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0.20492600229121871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0.20492600229121871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4350</v>
      </c>
      <c r="C9" s="342">
        <v>4196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1371.17</v>
      </c>
    </row>
    <row r="15" spans="1:6">
      <c r="A15" s="348" t="s">
        <v>184</v>
      </c>
      <c r="B15" s="334">
        <v>11</v>
      </c>
    </row>
    <row r="16" spans="1:6">
      <c r="A16" s="348" t="s">
        <v>6</v>
      </c>
      <c r="B16" s="334">
        <v>399</v>
      </c>
    </row>
    <row r="17" spans="1:6">
      <c r="A17" s="348" t="s">
        <v>7</v>
      </c>
      <c r="B17" s="334">
        <v>449</v>
      </c>
    </row>
    <row r="18" spans="1:6">
      <c r="A18" s="348" t="s">
        <v>8</v>
      </c>
      <c r="B18" s="334">
        <v>554</v>
      </c>
    </row>
    <row r="19" spans="1:6">
      <c r="A19" s="348" t="s">
        <v>9</v>
      </c>
      <c r="B19" s="334">
        <v>428</v>
      </c>
    </row>
    <row r="20" spans="1:6">
      <c r="A20" s="348" t="s">
        <v>10</v>
      </c>
      <c r="B20" s="334">
        <v>371</v>
      </c>
    </row>
    <row r="21" spans="1:6">
      <c r="A21" s="348" t="s">
        <v>11</v>
      </c>
      <c r="B21" s="334">
        <v>4993</v>
      </c>
    </row>
    <row r="22" spans="1:6">
      <c r="A22" s="348" t="s">
        <v>12</v>
      </c>
      <c r="B22" s="334">
        <v>9549</v>
      </c>
    </row>
    <row r="23" spans="1:6">
      <c r="A23" s="348" t="s">
        <v>13</v>
      </c>
      <c r="B23" s="334">
        <v>222</v>
      </c>
    </row>
    <row r="24" spans="1:6">
      <c r="A24" s="348" t="s">
        <v>14</v>
      </c>
      <c r="B24" s="334">
        <v>7</v>
      </c>
    </row>
    <row r="25" spans="1:6">
      <c r="A25" s="348" t="s">
        <v>15</v>
      </c>
      <c r="B25" s="334">
        <v>1020</v>
      </c>
    </row>
    <row r="26" spans="1:6">
      <c r="A26" s="348" t="s">
        <v>16</v>
      </c>
      <c r="B26" s="334">
        <v>31</v>
      </c>
    </row>
    <row r="27" spans="1:6">
      <c r="A27" s="348" t="s">
        <v>17</v>
      </c>
      <c r="B27" s="334">
        <v>0</v>
      </c>
    </row>
    <row r="28" spans="1:6" s="356" customFormat="1">
      <c r="A28" s="355" t="s">
        <v>18</v>
      </c>
      <c r="B28" s="355">
        <v>9250</v>
      </c>
    </row>
    <row r="29" spans="1:6">
      <c r="A29" s="355" t="s">
        <v>884</v>
      </c>
      <c r="B29" s="355">
        <v>192</v>
      </c>
      <c r="C29" s="356"/>
      <c r="D29" s="356"/>
      <c r="E29" s="356"/>
      <c r="F29" s="356"/>
    </row>
    <row r="30" spans="1:6">
      <c r="A30" s="355" t="s">
        <v>885</v>
      </c>
      <c r="B30" s="341">
        <v>60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2351</v>
      </c>
      <c r="D39" s="334">
        <v>39735839.517999999</v>
      </c>
      <c r="E39" s="334">
        <v>4073</v>
      </c>
      <c r="F39" s="334">
        <v>19958784.116</v>
      </c>
    </row>
    <row r="40" spans="1:6">
      <c r="A40" s="348" t="s">
        <v>30</v>
      </c>
      <c r="B40" s="348" t="s">
        <v>29</v>
      </c>
      <c r="C40" s="334">
        <v>0</v>
      </c>
      <c r="D40" s="334">
        <v>0</v>
      </c>
      <c r="E40" s="334">
        <v>0</v>
      </c>
      <c r="F40" s="334">
        <v>0</v>
      </c>
    </row>
    <row r="41" spans="1:6">
      <c r="A41" s="348" t="s">
        <v>32</v>
      </c>
      <c r="B41" s="348" t="s">
        <v>33</v>
      </c>
      <c r="C41" s="334">
        <v>38</v>
      </c>
      <c r="D41" s="334">
        <v>912510.43833000003</v>
      </c>
      <c r="E41" s="334">
        <v>85</v>
      </c>
      <c r="F41" s="334">
        <v>687487.37734000001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31362.042657000002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317750.52016999997</v>
      </c>
      <c r="E48" s="334">
        <v>34</v>
      </c>
      <c r="F48" s="334">
        <v>868119.09386999998</v>
      </c>
    </row>
    <row r="49" spans="1:6">
      <c r="A49" s="348" t="s">
        <v>32</v>
      </c>
      <c r="B49" s="348" t="s">
        <v>40</v>
      </c>
      <c r="C49" s="334">
        <v>0</v>
      </c>
      <c r="D49" s="334">
        <v>0</v>
      </c>
      <c r="E49" s="334">
        <v>0</v>
      </c>
      <c r="F49" s="334">
        <v>0</v>
      </c>
    </row>
    <row r="50" spans="1:6">
      <c r="A50" s="348" t="s">
        <v>32</v>
      </c>
      <c r="B50" s="348" t="s">
        <v>41</v>
      </c>
      <c r="C50" s="334">
        <v>4</v>
      </c>
      <c r="D50" s="334">
        <v>121882.44012</v>
      </c>
      <c r="E50" s="334">
        <v>6</v>
      </c>
      <c r="F50" s="334">
        <v>82665.759892000002</v>
      </c>
    </row>
    <row r="51" spans="1:6">
      <c r="A51" s="348" t="s">
        <v>42</v>
      </c>
      <c r="B51" s="348" t="s">
        <v>43</v>
      </c>
      <c r="C51" s="334">
        <v>0</v>
      </c>
      <c r="D51" s="334">
        <v>0</v>
      </c>
      <c r="E51" s="334">
        <v>36</v>
      </c>
      <c r="F51" s="334">
        <v>808293.50451999996</v>
      </c>
    </row>
    <row r="52" spans="1:6">
      <c r="A52" s="348" t="s">
        <v>42</v>
      </c>
      <c r="B52" s="348" t="s">
        <v>29</v>
      </c>
      <c r="C52" s="334">
        <v>4</v>
      </c>
      <c r="D52" s="334">
        <v>57312.552486</v>
      </c>
      <c r="E52" s="334">
        <v>5</v>
      </c>
      <c r="F52" s="334">
        <v>249037.97438999999</v>
      </c>
    </row>
    <row r="53" spans="1:6">
      <c r="A53" s="348" t="s">
        <v>44</v>
      </c>
      <c r="B53" s="348" t="s">
        <v>45</v>
      </c>
      <c r="C53" s="334">
        <v>68</v>
      </c>
      <c r="D53" s="334">
        <v>1568367.4299000001</v>
      </c>
      <c r="E53" s="334">
        <v>157</v>
      </c>
      <c r="F53" s="334">
        <v>871901.36078999995</v>
      </c>
    </row>
    <row r="54" spans="1:6">
      <c r="A54" s="348" t="s">
        <v>46</v>
      </c>
      <c r="B54" s="348" t="s">
        <v>47</v>
      </c>
      <c r="C54" s="334">
        <v>0</v>
      </c>
      <c r="D54" s="334">
        <v>0</v>
      </c>
      <c r="E54" s="334">
        <v>1</v>
      </c>
      <c r="F54" s="334">
        <v>827866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3111575.4338000002</v>
      </c>
      <c r="E57" s="334">
        <v>84</v>
      </c>
      <c r="F57" s="334">
        <v>1132669.1825999999</v>
      </c>
    </row>
    <row r="58" spans="1:6">
      <c r="A58" s="348" t="s">
        <v>49</v>
      </c>
      <c r="B58" s="348" t="s">
        <v>51</v>
      </c>
      <c r="C58" s="334">
        <v>20</v>
      </c>
      <c r="D58" s="334">
        <v>809009.44391000003</v>
      </c>
      <c r="E58" s="334">
        <v>36</v>
      </c>
      <c r="F58" s="334">
        <v>437810.30615000002</v>
      </c>
    </row>
    <row r="59" spans="1:6">
      <c r="A59" s="348" t="s">
        <v>49</v>
      </c>
      <c r="B59" s="348" t="s">
        <v>52</v>
      </c>
      <c r="C59" s="334">
        <v>44</v>
      </c>
      <c r="D59" s="334">
        <v>1201569.2779999999</v>
      </c>
      <c r="E59" s="334">
        <v>123</v>
      </c>
      <c r="F59" s="334">
        <v>2232707.6886</v>
      </c>
    </row>
    <row r="60" spans="1:6">
      <c r="A60" s="348" t="s">
        <v>49</v>
      </c>
      <c r="B60" s="348" t="s">
        <v>53</v>
      </c>
      <c r="C60" s="334">
        <v>32</v>
      </c>
      <c r="D60" s="334">
        <v>1635331.8581000001</v>
      </c>
      <c r="E60" s="334">
        <v>52</v>
      </c>
      <c r="F60" s="334">
        <v>1589852.1518000001</v>
      </c>
    </row>
    <row r="61" spans="1:6">
      <c r="A61" s="348" t="s">
        <v>49</v>
      </c>
      <c r="B61" s="348" t="s">
        <v>54</v>
      </c>
      <c r="C61" s="334">
        <v>129</v>
      </c>
      <c r="D61" s="334">
        <v>5722199.0663999999</v>
      </c>
      <c r="E61" s="334">
        <v>257</v>
      </c>
      <c r="F61" s="334">
        <v>3340150.0639999998</v>
      </c>
    </row>
    <row r="62" spans="1:6">
      <c r="A62" s="348" t="s">
        <v>49</v>
      </c>
      <c r="B62" s="348" t="s">
        <v>55</v>
      </c>
      <c r="C62" s="334">
        <v>4</v>
      </c>
      <c r="D62" s="334">
        <v>156704.15927</v>
      </c>
      <c r="E62" s="334">
        <v>10</v>
      </c>
      <c r="F62" s="334">
        <v>114145.40785</v>
      </c>
    </row>
    <row r="63" spans="1:6">
      <c r="A63" s="348" t="s">
        <v>49</v>
      </c>
      <c r="B63" s="348" t="s">
        <v>29</v>
      </c>
      <c r="C63" s="334">
        <v>83</v>
      </c>
      <c r="D63" s="334">
        <v>3636288.5978999999</v>
      </c>
      <c r="E63" s="334">
        <v>91</v>
      </c>
      <c r="F63" s="334">
        <v>1115501</v>
      </c>
    </row>
    <row r="64" spans="1:6">
      <c r="A64" s="348" t="s">
        <v>56</v>
      </c>
      <c r="B64" s="348" t="s">
        <v>57</v>
      </c>
      <c r="C64" s="334">
        <v>0</v>
      </c>
      <c r="D64" s="334">
        <v>0</v>
      </c>
      <c r="E64" s="334">
        <v>0</v>
      </c>
      <c r="F64" s="334">
        <v>0</v>
      </c>
    </row>
    <row r="65" spans="1:6">
      <c r="A65" s="348" t="s">
        <v>56</v>
      </c>
      <c r="B65" s="348" t="s">
        <v>29</v>
      </c>
      <c r="C65" s="334">
        <v>1</v>
      </c>
      <c r="D65" s="334">
        <v>7259.5712279999998</v>
      </c>
      <c r="E65" s="334">
        <v>1</v>
      </c>
      <c r="F65" s="334">
        <v>16411.838833999998</v>
      </c>
    </row>
    <row r="66" spans="1:6">
      <c r="A66" s="348" t="s">
        <v>56</v>
      </c>
      <c r="B66" s="348" t="s">
        <v>58</v>
      </c>
      <c r="C66" s="334">
        <v>0</v>
      </c>
      <c r="D66" s="334">
        <v>0</v>
      </c>
      <c r="E66" s="334">
        <v>9</v>
      </c>
      <c r="F66" s="334">
        <v>404684.29226999998</v>
      </c>
    </row>
    <row r="67" spans="1:6">
      <c r="A67" s="355" t="s">
        <v>56</v>
      </c>
      <c r="B67" s="355" t="s">
        <v>59</v>
      </c>
      <c r="C67" s="334">
        <v>0</v>
      </c>
      <c r="D67" s="334">
        <v>0</v>
      </c>
      <c r="E67" s="334">
        <v>0</v>
      </c>
      <c r="F67" s="334">
        <v>0</v>
      </c>
    </row>
    <row r="68" spans="1:6">
      <c r="A68" s="341" t="s">
        <v>56</v>
      </c>
      <c r="B68" s="341" t="s">
        <v>60</v>
      </c>
      <c r="C68" s="334">
        <v>0</v>
      </c>
      <c r="D68" s="334">
        <v>0</v>
      </c>
      <c r="E68" s="334">
        <v>5</v>
      </c>
      <c r="F68" s="334">
        <v>36973.949699999997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42053588</v>
      </c>
      <c r="E73" s="475">
        <v>44943609.244729981</v>
      </c>
    </row>
    <row r="74" spans="1:6">
      <c r="A74" s="348" t="s">
        <v>64</v>
      </c>
      <c r="B74" s="348" t="s">
        <v>667</v>
      </c>
      <c r="C74" s="1294" t="s">
        <v>669</v>
      </c>
      <c r="D74" s="475">
        <v>3464928.3224345776</v>
      </c>
      <c r="E74" s="475">
        <v>3610264.3322202535</v>
      </c>
    </row>
    <row r="75" spans="1:6">
      <c r="A75" s="348" t="s">
        <v>65</v>
      </c>
      <c r="B75" s="348" t="s">
        <v>666</v>
      </c>
      <c r="C75" s="1294" t="s">
        <v>670</v>
      </c>
      <c r="D75" s="475">
        <v>25544492</v>
      </c>
      <c r="E75" s="475">
        <v>26698144.968098987</v>
      </c>
    </row>
    <row r="76" spans="1:6">
      <c r="A76" s="348" t="s">
        <v>65</v>
      </c>
      <c r="B76" s="348" t="s">
        <v>667</v>
      </c>
      <c r="C76" s="1294" t="s">
        <v>671</v>
      </c>
      <c r="D76" s="475">
        <v>631649.32243457763</v>
      </c>
      <c r="E76" s="475">
        <v>645682.53483414184</v>
      </c>
    </row>
    <row r="77" spans="1:6">
      <c r="A77" s="348" t="s">
        <v>66</v>
      </c>
      <c r="B77" s="348" t="s">
        <v>666</v>
      </c>
      <c r="C77" s="1294" t="s">
        <v>672</v>
      </c>
      <c r="D77" s="475">
        <v>269029347</v>
      </c>
      <c r="E77" s="475">
        <v>284330821.51376706</v>
      </c>
    </row>
    <row r="78" spans="1:6">
      <c r="A78" s="341" t="s">
        <v>66</v>
      </c>
      <c r="B78" s="341" t="s">
        <v>667</v>
      </c>
      <c r="C78" s="341" t="s">
        <v>673</v>
      </c>
      <c r="D78" s="1295">
        <v>65957957</v>
      </c>
      <c r="E78" s="1295">
        <v>68943959.143070653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176733.35513084475</v>
      </c>
      <c r="C83" s="475">
        <v>176733.35513084475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2186.4178455291631</v>
      </c>
    </row>
    <row r="92" spans="1:6">
      <c r="A92" s="341" t="s">
        <v>69</v>
      </c>
      <c r="B92" s="342">
        <v>476.6038706664778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1195</v>
      </c>
    </row>
    <row r="98" spans="1:6">
      <c r="A98" s="348" t="s">
        <v>72</v>
      </c>
      <c r="B98" s="334">
        <v>0</v>
      </c>
    </row>
    <row r="99" spans="1:6">
      <c r="A99" s="348" t="s">
        <v>73</v>
      </c>
      <c r="B99" s="334">
        <v>80</v>
      </c>
    </row>
    <row r="100" spans="1:6">
      <c r="A100" s="348" t="s">
        <v>74</v>
      </c>
      <c r="B100" s="334">
        <v>447</v>
      </c>
    </row>
    <row r="101" spans="1:6">
      <c r="A101" s="348" t="s">
        <v>75</v>
      </c>
      <c r="B101" s="334">
        <v>87</v>
      </c>
    </row>
    <row r="102" spans="1:6">
      <c r="A102" s="348" t="s">
        <v>76</v>
      </c>
      <c r="B102" s="334">
        <v>66</v>
      </c>
    </row>
    <row r="103" spans="1:6">
      <c r="A103" s="348" t="s">
        <v>77</v>
      </c>
      <c r="B103" s="334">
        <v>169</v>
      </c>
    </row>
    <row r="104" spans="1:6">
      <c r="A104" s="348" t="s">
        <v>78</v>
      </c>
      <c r="B104" s="334">
        <v>1789</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86</v>
      </c>
    </row>
    <row r="130" spans="1:6">
      <c r="A130" s="348" t="s">
        <v>295</v>
      </c>
      <c r="B130" s="334">
        <v>2</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36613.654545796096</v>
      </c>
      <c r="C3" s="43" t="s">
        <v>170</v>
      </c>
      <c r="D3" s="43"/>
      <c r="E3" s="154"/>
      <c r="F3" s="43"/>
      <c r="G3" s="43"/>
      <c r="H3" s="43"/>
      <c r="I3" s="43"/>
      <c r="J3" s="43"/>
      <c r="K3" s="96"/>
    </row>
    <row r="4" spans="1:11">
      <c r="A4" s="383" t="s">
        <v>171</v>
      </c>
      <c r="B4" s="49">
        <f>IF(ISERROR('SEAP template'!B78+'SEAP template'!C78),0,'SEAP template'!B78+'SEAP template'!C78)</f>
        <v>2663.0217161956407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0.20492600229121871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827.86599999999999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827.86599999999999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0.20492600229121871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169.65126981282208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19958.784115999999</v>
      </c>
      <c r="C5" s="17">
        <f>IF(ISERROR('Eigen informatie GS &amp; warmtenet'!B57),0,'Eigen informatie GS &amp; warmtenet'!B57)</f>
        <v>0</v>
      </c>
      <c r="D5" s="30">
        <f>(SUM(HH_hh_gas_kWh,HH_rest_gas_kWh)/1000)*0.902</f>
        <v>35841.727245236005</v>
      </c>
      <c r="E5" s="17">
        <f>B46*B57</f>
        <v>3380.1586055554085</v>
      </c>
      <c r="F5" s="17">
        <f>B51*B62</f>
        <v>18222.536587887145</v>
      </c>
      <c r="G5" s="18"/>
      <c r="H5" s="17"/>
      <c r="I5" s="17"/>
      <c r="J5" s="17">
        <f>B50*B61+C50*C61</f>
        <v>1652.9745784572433</v>
      </c>
      <c r="K5" s="17"/>
      <c r="L5" s="17"/>
      <c r="M5" s="17"/>
      <c r="N5" s="17">
        <f>B48*B59+C48*C59</f>
        <v>10439.862318408799</v>
      </c>
      <c r="O5" s="17">
        <f>B69*B70*B71</f>
        <v>165.71333333333337</v>
      </c>
      <c r="P5" s="17">
        <f>B77*B78*B79/1000-B77*B78*B79/1000/B80</f>
        <v>953.33333333333326</v>
      </c>
    </row>
    <row r="6" spans="1:16">
      <c r="A6" s="16" t="s">
        <v>624</v>
      </c>
      <c r="B6" s="788">
        <f>kWh_PV_kleiner_dan_10kW</f>
        <v>2186.4178455291631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22145.201961529161</v>
      </c>
      <c r="C8" s="21">
        <f>C5</f>
        <v>0</v>
      </c>
      <c r="D8" s="21">
        <f>D5</f>
        <v>35841.727245236005</v>
      </c>
      <c r="E8" s="21">
        <f>E5</f>
        <v>3380.1586055554085</v>
      </c>
      <c r="F8" s="21">
        <f>F5</f>
        <v>18222.536587887145</v>
      </c>
      <c r="G8" s="21"/>
      <c r="H8" s="21"/>
      <c r="I8" s="21"/>
      <c r="J8" s="21">
        <f>J5</f>
        <v>1652.9745784572433</v>
      </c>
      <c r="K8" s="21"/>
      <c r="L8" s="21">
        <f>L5</f>
        <v>0</v>
      </c>
      <c r="M8" s="21">
        <f>M5</f>
        <v>0</v>
      </c>
      <c r="N8" s="21">
        <f>N5</f>
        <v>10439.862318408799</v>
      </c>
      <c r="O8" s="21">
        <f>O5</f>
        <v>165.71333333333337</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0.20492600229121871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4538.1277079078263</v>
      </c>
      <c r="C12" s="23">
        <f ca="1">C10*C8</f>
        <v>0</v>
      </c>
      <c r="D12" s="23">
        <f>D8*D10</f>
        <v>7240.0289035376736</v>
      </c>
      <c r="E12" s="23">
        <f>E10*E8</f>
        <v>767.2960034610777</v>
      </c>
      <c r="F12" s="23">
        <f>F10*F8</f>
        <v>4865.4172689658681</v>
      </c>
      <c r="G12" s="23"/>
      <c r="H12" s="23"/>
      <c r="I12" s="23"/>
      <c r="J12" s="23">
        <f>J10*J8</f>
        <v>585.15300077386405</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1195</v>
      </c>
      <c r="C18" s="166" t="s">
        <v>111</v>
      </c>
      <c r="D18" s="228"/>
      <c r="E18" s="15"/>
    </row>
    <row r="19" spans="1:7">
      <c r="A19" s="171" t="s">
        <v>72</v>
      </c>
      <c r="B19" s="37">
        <f>aantalw2001_ander</f>
        <v>0</v>
      </c>
      <c r="C19" s="166" t="s">
        <v>111</v>
      </c>
      <c r="D19" s="229"/>
      <c r="E19" s="15"/>
    </row>
    <row r="20" spans="1:7">
      <c r="A20" s="171" t="s">
        <v>73</v>
      </c>
      <c r="B20" s="37">
        <f>aantalw2001_propaan</f>
        <v>80</v>
      </c>
      <c r="C20" s="167">
        <f>IF(ISERROR(B20/SUM($B$20,$B$21,$B$22)*100),0,B20/SUM($B$20,$B$21,$B$22)*100)</f>
        <v>13.029315960912053</v>
      </c>
      <c r="D20" s="229"/>
      <c r="E20" s="15"/>
    </row>
    <row r="21" spans="1:7">
      <c r="A21" s="171" t="s">
        <v>74</v>
      </c>
      <c r="B21" s="37">
        <f>aantalw2001_elektriciteit</f>
        <v>447</v>
      </c>
      <c r="C21" s="167">
        <f>IF(ISERROR(B21/SUM($B$20,$B$21,$B$22)*100),0,B21/SUM($B$20,$B$21,$B$22)*100)</f>
        <v>72.801302931596084</v>
      </c>
      <c r="D21" s="229"/>
      <c r="E21" s="15"/>
    </row>
    <row r="22" spans="1:7">
      <c r="A22" s="171" t="s">
        <v>75</v>
      </c>
      <c r="B22" s="37">
        <f>aantalw2001_hout</f>
        <v>87</v>
      </c>
      <c r="C22" s="167">
        <f>IF(ISERROR(B22/SUM($B$20,$B$21,$B$22)*100),0,B22/SUM($B$20,$B$21,$B$22)*100)</f>
        <v>14.169381107491857</v>
      </c>
      <c r="D22" s="229"/>
      <c r="E22" s="15"/>
    </row>
    <row r="23" spans="1:7">
      <c r="A23" s="171" t="s">
        <v>76</v>
      </c>
      <c r="B23" s="37">
        <f>aantalw2001_niet_gespec</f>
        <v>66</v>
      </c>
      <c r="C23" s="166" t="s">
        <v>111</v>
      </c>
      <c r="D23" s="228"/>
      <c r="E23" s="15"/>
    </row>
    <row r="24" spans="1:7">
      <c r="A24" s="171" t="s">
        <v>77</v>
      </c>
      <c r="B24" s="37">
        <f>aantalw2001_steenkool</f>
        <v>169</v>
      </c>
      <c r="C24" s="166" t="s">
        <v>111</v>
      </c>
      <c r="D24" s="229"/>
      <c r="E24" s="15"/>
    </row>
    <row r="25" spans="1:7">
      <c r="A25" s="171" t="s">
        <v>78</v>
      </c>
      <c r="B25" s="37">
        <f>aantalw2001_stookolie</f>
        <v>1789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4350</v>
      </c>
      <c r="C28" s="36"/>
      <c r="D28" s="228"/>
    </row>
    <row r="29" spans="1:7" s="15" customFormat="1">
      <c r="A29" s="230" t="s">
        <v>699</v>
      </c>
      <c r="B29" s="37">
        <f>SUM(HH_hh_gas_aantal,HH_rest_gas_aantal)</f>
        <v>2351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2351</v>
      </c>
      <c r="C32" s="167">
        <f>IF(ISERROR(B32/SUM($B$32,$B$34,$B$35,$B$36,$B$38,$B$39)*100),0,B32/SUM($B$32,$B$34,$B$35,$B$36,$B$38,$B$39)*100)</f>
        <v>54.674418604651166</v>
      </c>
      <c r="D32" s="233"/>
      <c r="G32" s="15"/>
    </row>
    <row r="33" spans="1:7">
      <c r="A33" s="171" t="s">
        <v>72</v>
      </c>
      <c r="B33" s="34" t="s">
        <v>111</v>
      </c>
      <c r="C33" s="167"/>
      <c r="D33" s="233"/>
      <c r="G33" s="15"/>
    </row>
    <row r="34" spans="1:7">
      <c r="A34" s="171" t="s">
        <v>73</v>
      </c>
      <c r="B34" s="33">
        <f>IF((($B$28-$B$32-$B$39-$B$77-$B$38)*C20/100)&lt;0,0,($B$28-$B$32-$B$39-$B$77-$B$38)*C20/100)</f>
        <v>149.44625407166123</v>
      </c>
      <c r="C34" s="167">
        <f>IF(ISERROR(B34/SUM($B$32,$B$34,$B$35,$B$36,$B$38,$B$39)*100),0,B34/SUM($B$32,$B$34,$B$35,$B$36,$B$38,$B$39)*100)</f>
        <v>3.4754942807363074</v>
      </c>
      <c r="D34" s="233"/>
      <c r="G34" s="15"/>
    </row>
    <row r="35" spans="1:7">
      <c r="A35" s="171" t="s">
        <v>74</v>
      </c>
      <c r="B35" s="33">
        <f>IF((($B$28-$B$32-$B$39-$B$77-$B$38)*C21/100)&lt;0,0,($B$28-$B$32-$B$39-$B$77-$B$38)*C21/100)</f>
        <v>835.03094462540719</v>
      </c>
      <c r="C35" s="167">
        <f>IF(ISERROR(B35/SUM($B$32,$B$34,$B$35,$B$36,$B$38,$B$39)*100),0,B35/SUM($B$32,$B$34,$B$35,$B$36,$B$38,$B$39)*100)</f>
        <v>19.419324293614121</v>
      </c>
      <c r="D35" s="233"/>
      <c r="G35" s="15"/>
    </row>
    <row r="36" spans="1:7">
      <c r="A36" s="171" t="s">
        <v>75</v>
      </c>
      <c r="B36" s="33">
        <f>IF((($B$28-$B$32-$B$39-$B$77-$B$38)*C22/100)&lt;0,0,($B$28-$B$32-$B$39-$B$77-$B$38)*C22/100)</f>
        <v>162.52280130293161</v>
      </c>
      <c r="C36" s="167">
        <f>IF(ISERROR(B36/SUM($B$32,$B$34,$B$35,$B$36,$B$38,$B$39)*100),0,B36/SUM($B$32,$B$34,$B$35,$B$36,$B$38,$B$39)*100)</f>
        <v>3.7796000303007351</v>
      </c>
      <c r="D36" s="233"/>
      <c r="G36" s="15"/>
    </row>
    <row r="37" spans="1:7">
      <c r="A37" s="171" t="s">
        <v>76</v>
      </c>
      <c r="B37" s="34" t="s">
        <v>111</v>
      </c>
      <c r="C37" s="167"/>
      <c r="D37" s="173"/>
      <c r="G37" s="15"/>
    </row>
    <row r="38" spans="1:7">
      <c r="A38" s="171" t="s">
        <v>77</v>
      </c>
      <c r="B38" s="33">
        <f>IF((B24-(B29-B18)*0.1)&lt;0,0,B24-(B29-B18)*0.1)</f>
        <v>53.399999999999991</v>
      </c>
      <c r="C38" s="167">
        <f>IF(ISERROR(B38/SUM($B$32,$B$34,$B$35,$B$36,$B$38,$B$39)*100),0,B38/SUM($B$32,$B$34,$B$35,$B$36,$B$38,$B$39)*100)</f>
        <v>1.2418604651162788</v>
      </c>
      <c r="D38" s="234"/>
      <c r="G38" s="15"/>
    </row>
    <row r="39" spans="1:7">
      <c r="A39" s="171" t="s">
        <v>78</v>
      </c>
      <c r="B39" s="33">
        <f>IF((B25-(B29-B18))&lt;0,0,B25-(B29-B18)*0.9)</f>
        <v>748.59999999999991</v>
      </c>
      <c r="C39" s="167">
        <f>IF(ISERROR(B39/SUM($B$32,$B$34,$B$35,$B$36,$B$38,$B$39)*100),0,B39/SUM($B$32,$B$34,$B$35,$B$36,$B$38,$B$39)*100)</f>
        <v>17.409302325581393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2351</v>
      </c>
      <c r="C44" s="34" t="s">
        <v>111</v>
      </c>
      <c r="D44" s="174"/>
    </row>
    <row r="45" spans="1:7">
      <c r="A45" s="171" t="s">
        <v>72</v>
      </c>
      <c r="B45" s="33" t="str">
        <f t="shared" si="0"/>
        <v>-</v>
      </c>
      <c r="C45" s="34" t="s">
        <v>111</v>
      </c>
      <c r="D45" s="174"/>
    </row>
    <row r="46" spans="1:7">
      <c r="A46" s="171" t="s">
        <v>73</v>
      </c>
      <c r="B46" s="33">
        <f t="shared" si="0"/>
        <v>149.44625407166123</v>
      </c>
      <c r="C46" s="34" t="s">
        <v>111</v>
      </c>
      <c r="D46" s="174"/>
    </row>
    <row r="47" spans="1:7">
      <c r="A47" s="171" t="s">
        <v>74</v>
      </c>
      <c r="B47" s="33">
        <f t="shared" si="0"/>
        <v>835.03094462540719</v>
      </c>
      <c r="C47" s="34" t="s">
        <v>111</v>
      </c>
      <c r="D47" s="174"/>
    </row>
    <row r="48" spans="1:7">
      <c r="A48" s="171" t="s">
        <v>75</v>
      </c>
      <c r="B48" s="33">
        <f t="shared" si="0"/>
        <v>162.52280130293161</v>
      </c>
      <c r="C48" s="33">
        <f>B48*10</f>
        <v>1625.2280130293161</v>
      </c>
      <c r="D48" s="234"/>
    </row>
    <row r="49" spans="1:6">
      <c r="A49" s="171" t="s">
        <v>76</v>
      </c>
      <c r="B49" s="33" t="str">
        <f t="shared" si="0"/>
        <v>-</v>
      </c>
      <c r="C49" s="34" t="s">
        <v>111</v>
      </c>
      <c r="D49" s="234"/>
    </row>
    <row r="50" spans="1:6">
      <c r="A50" s="171" t="s">
        <v>77</v>
      </c>
      <c r="B50" s="33">
        <f t="shared" si="0"/>
        <v>53.399999999999991</v>
      </c>
      <c r="C50" s="33">
        <f>B50*2</f>
        <v>106.79999999999998</v>
      </c>
      <c r="D50" s="234"/>
    </row>
    <row r="51" spans="1:6">
      <c r="A51" s="171" t="s">
        <v>78</v>
      </c>
      <c r="B51" s="33">
        <f t="shared" si="0"/>
        <v>748.59999999999991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9962.8358009999993</v>
      </c>
      <c r="C5" s="17">
        <f>IF(ISERROR('Eigen informatie GS &amp; warmtenet'!B58),0,'Eigen informatie GS &amp; warmtenet'!B58)</f>
        <v>0</v>
      </c>
      <c r="D5" s="30">
        <f>SUM(D6:D12)</f>
        <v>14677.955409316757</v>
      </c>
      <c r="E5" s="17">
        <f>SUM(E6:E12)</f>
        <v>188.40920195898278</v>
      </c>
      <c r="F5" s="17">
        <f>SUM(F6:F12)</f>
        <v>2654.5694576217734</v>
      </c>
      <c r="G5" s="18"/>
      <c r="H5" s="17"/>
      <c r="I5" s="17"/>
      <c r="J5" s="17">
        <f>SUM(J6:J12)</f>
        <v>0</v>
      </c>
      <c r="K5" s="17"/>
      <c r="L5" s="17"/>
      <c r="M5" s="17"/>
      <c r="N5" s="17">
        <f>SUM(N6:N12)</f>
        <v>1002.792365695949</v>
      </c>
      <c r="O5" s="17">
        <f>B38*B39*B40</f>
        <v>3.1266666666666669</v>
      </c>
      <c r="P5" s="17">
        <f>B46*B47*B48/1000-B46*B47*B48/1000/B49</f>
        <v>38.133333333333333</v>
      </c>
      <c r="R5" s="32"/>
    </row>
    <row r="6" spans="1:18">
      <c r="A6" s="32" t="s">
        <v>54</v>
      </c>
      <c r="B6" s="37">
        <f>B26</f>
        <v>3340.1500639999999</v>
      </c>
      <c r="C6" s="33"/>
      <c r="D6" s="37">
        <f>IF(ISERROR(TER_kantoor_gas_kWh/1000),0,TER_kantoor_gas_kWh/1000)*0.902</f>
        <v>5161.4235578928001</v>
      </c>
      <c r="E6" s="33">
        <f>$C$26*'E Balans VL '!I12/100/3.6*1000000</f>
        <v>43.726678806024388</v>
      </c>
      <c r="F6" s="33">
        <f>$C$26*('E Balans VL '!L12+'E Balans VL '!N12)/100/3.6*1000000</f>
        <v>851.70375049857353</v>
      </c>
      <c r="G6" s="34"/>
      <c r="H6" s="33"/>
      <c r="I6" s="33"/>
      <c r="J6" s="33">
        <f>$C$26*('E Balans VL '!D12+'E Balans VL '!E12)/100/3.6*1000000</f>
        <v>0</v>
      </c>
      <c r="K6" s="33"/>
      <c r="L6" s="33"/>
      <c r="M6" s="33"/>
      <c r="N6" s="33">
        <f>$C$26*'E Balans VL '!Y12/100/3.6*1000000</f>
        <v>3.3513978404326989</v>
      </c>
      <c r="O6" s="33"/>
      <c r="P6" s="33"/>
      <c r="R6" s="32"/>
    </row>
    <row r="7" spans="1:18">
      <c r="A7" s="32" t="s">
        <v>53</v>
      </c>
      <c r="B7" s="37">
        <f t="shared" ref="B7:B12" si="0">B27</f>
        <v>1589.8521518</v>
      </c>
      <c r="C7" s="33"/>
      <c r="D7" s="37">
        <f>IF(ISERROR(TER_horeca_gas_kWh/1000),0,TER_horeca_gas_kWh/1000)*0.902</f>
        <v>1475.0693360062</v>
      </c>
      <c r="E7" s="33">
        <f>$C$27*'E Balans VL '!I9/100/3.6*1000000</f>
        <v>52.614435478354878</v>
      </c>
      <c r="F7" s="33">
        <f>$C$27*('E Balans VL '!L9+'E Balans VL '!N9)/100/3.6*1000000</f>
        <v>683.63033222251363</v>
      </c>
      <c r="G7" s="34"/>
      <c r="H7" s="33"/>
      <c r="I7" s="33"/>
      <c r="J7" s="33">
        <f>$C$27*('E Balans VL '!D9+'E Balans VL '!E9)/100/3.6*1000000</f>
        <v>0</v>
      </c>
      <c r="K7" s="33"/>
      <c r="L7" s="33"/>
      <c r="M7" s="33"/>
      <c r="N7" s="33">
        <f>$C$27*'E Balans VL '!Y9/100/3.6*1000000</f>
        <v>0.38270050012511231</v>
      </c>
      <c r="O7" s="33"/>
      <c r="P7" s="33"/>
      <c r="R7" s="32"/>
    </row>
    <row r="8" spans="1:18">
      <c r="A8" s="6" t="s">
        <v>52</v>
      </c>
      <c r="B8" s="37">
        <f t="shared" si="0"/>
        <v>2232.7076886</v>
      </c>
      <c r="C8" s="33"/>
      <c r="D8" s="37">
        <f>IF(ISERROR(TER_handel_gas_kWh/1000),0,TER_handel_gas_kWh/1000)*0.902</f>
        <v>1083.8154887559999</v>
      </c>
      <c r="E8" s="33">
        <f>$C$28*'E Balans VL '!I13/100/3.6*1000000</f>
        <v>70.467666128016191</v>
      </c>
      <c r="F8" s="33">
        <f>$C$28*('E Balans VL '!L13+'E Balans VL '!N13)/100/3.6*1000000</f>
        <v>437.87329327593102</v>
      </c>
      <c r="G8" s="34"/>
      <c r="H8" s="33"/>
      <c r="I8" s="33"/>
      <c r="J8" s="33">
        <f>$C$28*('E Balans VL '!D13+'E Balans VL '!E13)/100/3.6*1000000</f>
        <v>0</v>
      </c>
      <c r="K8" s="33"/>
      <c r="L8" s="33"/>
      <c r="M8" s="33"/>
      <c r="N8" s="33">
        <f>$C$28*'E Balans VL '!Y13/100/3.6*1000000</f>
        <v>2.6497905514919982</v>
      </c>
      <c r="O8" s="33"/>
      <c r="P8" s="33"/>
      <c r="R8" s="32"/>
    </row>
    <row r="9" spans="1:18">
      <c r="A9" s="32" t="s">
        <v>51</v>
      </c>
      <c r="B9" s="37">
        <f t="shared" si="0"/>
        <v>437.81030615000003</v>
      </c>
      <c r="C9" s="33"/>
      <c r="D9" s="37">
        <f>IF(ISERROR(TER_gezond_gas_kWh/1000),0,TER_gezond_gas_kWh/1000)*0.902</f>
        <v>729.72651840682011</v>
      </c>
      <c r="E9" s="33">
        <f>$C$29*'E Balans VL '!I10/100/3.6*1000000</f>
        <v>5.6052527043524099E-2</v>
      </c>
      <c r="F9" s="33">
        <f>$C$29*('E Balans VL '!L10+'E Balans VL '!N10)/100/3.6*1000000</f>
        <v>91.214237082660361</v>
      </c>
      <c r="G9" s="34"/>
      <c r="H9" s="33"/>
      <c r="I9" s="33"/>
      <c r="J9" s="33">
        <f>$C$29*('E Balans VL '!D10+'E Balans VL '!E10)/100/3.6*1000000</f>
        <v>0</v>
      </c>
      <c r="K9" s="33"/>
      <c r="L9" s="33"/>
      <c r="M9" s="33"/>
      <c r="N9" s="33">
        <f>$C$29*'E Balans VL '!Y10/100/3.6*1000000</f>
        <v>5.1422889820874946</v>
      </c>
      <c r="O9" s="33"/>
      <c r="P9" s="33"/>
      <c r="R9" s="32"/>
    </row>
    <row r="10" spans="1:18">
      <c r="A10" s="32" t="s">
        <v>50</v>
      </c>
      <c r="B10" s="37">
        <f t="shared" si="0"/>
        <v>1132.6691825999999</v>
      </c>
      <c r="C10" s="33"/>
      <c r="D10" s="37">
        <f>IF(ISERROR(TER_ander_gas_kWh/1000),0,TER_ander_gas_kWh/1000)*0.902</f>
        <v>2806.6410412876003</v>
      </c>
      <c r="E10" s="33">
        <f>$C$30*'E Balans VL '!I14/100/3.6*1000000</f>
        <v>1.7032680858161542</v>
      </c>
      <c r="F10" s="33">
        <f>$C$30*('E Balans VL '!L14+'E Balans VL '!N14)/100/3.6*1000000</f>
        <v>250.05684438345867</v>
      </c>
      <c r="G10" s="34"/>
      <c r="H10" s="33"/>
      <c r="I10" s="33"/>
      <c r="J10" s="33">
        <f>$C$30*('E Balans VL '!D14+'E Balans VL '!E14)/100/3.6*1000000</f>
        <v>0</v>
      </c>
      <c r="K10" s="33"/>
      <c r="L10" s="33"/>
      <c r="M10" s="33"/>
      <c r="N10" s="33">
        <f>$C$30*'E Balans VL '!Y14/100/3.6*1000000</f>
        <v>892.61954165079169</v>
      </c>
      <c r="O10" s="33"/>
      <c r="P10" s="33"/>
      <c r="R10" s="32"/>
    </row>
    <row r="11" spans="1:18">
      <c r="A11" s="32" t="s">
        <v>55</v>
      </c>
      <c r="B11" s="37">
        <f t="shared" si="0"/>
        <v>114.14540785</v>
      </c>
      <c r="C11" s="33"/>
      <c r="D11" s="37">
        <f>IF(ISERROR(TER_onderwijs_gas_kWh/1000),0,TER_onderwijs_gas_kWh/1000)*0.902</f>
        <v>141.34715166153998</v>
      </c>
      <c r="E11" s="33">
        <f>$C$31*'E Balans VL '!I11/100/3.6*1000000</f>
        <v>0.20101962857596384</v>
      </c>
      <c r="F11" s="33">
        <f>$C$31*('E Balans VL '!L11+'E Balans VL '!N11)/100/3.6*1000000</f>
        <v>52.703000262083933</v>
      </c>
      <c r="G11" s="34"/>
      <c r="H11" s="33"/>
      <c r="I11" s="33"/>
      <c r="J11" s="33">
        <f>$C$31*('E Balans VL '!D11+'E Balans VL '!E11)/100/3.6*1000000</f>
        <v>0</v>
      </c>
      <c r="K11" s="33"/>
      <c r="L11" s="33"/>
      <c r="M11" s="33"/>
      <c r="N11" s="33">
        <f>$C$31*'E Balans VL '!Y11/100/3.6*1000000</f>
        <v>0.21265447331613599</v>
      </c>
      <c r="O11" s="33"/>
      <c r="P11" s="33"/>
      <c r="R11" s="32"/>
    </row>
    <row r="12" spans="1:18">
      <c r="A12" s="32" t="s">
        <v>260</v>
      </c>
      <c r="B12" s="37">
        <f t="shared" si="0"/>
        <v>1115.501</v>
      </c>
      <c r="C12" s="33"/>
      <c r="D12" s="37">
        <f>IF(ISERROR(TER_rest_gas_kWh/1000),0,TER_rest_gas_kWh/1000)*0.902</f>
        <v>3279.9323153057999</v>
      </c>
      <c r="E12" s="33">
        <f>$C$32*'E Balans VL '!I8/100/3.6*1000000</f>
        <v>19.640081305151664</v>
      </c>
      <c r="F12" s="33">
        <f>$C$32*('E Balans VL '!L8+'E Balans VL '!N8)/100/3.6*1000000</f>
        <v>287.387999896552</v>
      </c>
      <c r="G12" s="34"/>
      <c r="H12" s="33"/>
      <c r="I12" s="33"/>
      <c r="J12" s="33">
        <f>$C$32*('E Balans VL '!D8+'E Balans VL '!E8)/100/3.6*1000000</f>
        <v>0</v>
      </c>
      <c r="K12" s="33"/>
      <c r="L12" s="33"/>
      <c r="M12" s="33"/>
      <c r="N12" s="33">
        <f>$C$32*'E Balans VL '!Y8/100/3.6*1000000</f>
        <v>98.433991697703974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9962.8358009999993</v>
      </c>
      <c r="C16" s="21">
        <f t="shared" ca="1" si="1"/>
        <v>0</v>
      </c>
      <c r="D16" s="21">
        <f t="shared" ca="1" si="1"/>
        <v>14677.955409316757</v>
      </c>
      <c r="E16" s="21">
        <f t="shared" si="1"/>
        <v>188.40920195898278</v>
      </c>
      <c r="F16" s="21">
        <f t="shared" ca="1" si="1"/>
        <v>2654.5694576217734</v>
      </c>
      <c r="G16" s="21">
        <f t="shared" si="1"/>
        <v>0</v>
      </c>
      <c r="H16" s="21">
        <f t="shared" si="1"/>
        <v>0</v>
      </c>
      <c r="I16" s="21">
        <f t="shared" si="1"/>
        <v>0</v>
      </c>
      <c r="J16" s="21">
        <f t="shared" si="1"/>
        <v>0</v>
      </c>
      <c r="K16" s="21">
        <f t="shared" si="1"/>
        <v>0</v>
      </c>
      <c r="L16" s="21">
        <f t="shared" ca="1" si="1"/>
        <v>0</v>
      </c>
      <c r="M16" s="21">
        <f t="shared" si="1"/>
        <v>0</v>
      </c>
      <c r="N16" s="21">
        <f t="shared" ca="1" si="1"/>
        <v>1002.792365695949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0.20492600229121871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2041.6441121827615</v>
      </c>
      <c r="C20" s="23">
        <f t="shared" ref="C20:P20" ca="1" si="2">C16*C18</f>
        <v>0</v>
      </c>
      <c r="D20" s="23">
        <f t="shared" ca="1" si="2"/>
        <v>2964.9469926819852</v>
      </c>
      <c r="E20" s="23">
        <f t="shared" si="2"/>
        <v>42.768888844689094</v>
      </c>
      <c r="F20" s="23">
        <f t="shared" ca="1" si="2"/>
        <v>708.77004518501349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3340.1500639999999</v>
      </c>
      <c r="C26" s="39">
        <f>IF(ISERROR(B26*3.6/1000000/'E Balans VL '!Z12*100),0,B26*3.6/1000000/'E Balans VL '!Z12*100)</f>
        <v>7.1548609232422025E-2</v>
      </c>
      <c r="D26" s="237" t="s">
        <v>660</v>
      </c>
      <c r="F26" s="6"/>
    </row>
    <row r="27" spans="1:18">
      <c r="A27" s="231" t="s">
        <v>53</v>
      </c>
      <c r="B27" s="33">
        <f>IF(ISERROR(TER_horeca_ele_kWh/1000),0,TER_horeca_ele_kWh/1000)</f>
        <v>1589.8521518</v>
      </c>
      <c r="C27" s="39">
        <f>IF(ISERROR(B27*3.6/1000000/'E Balans VL '!Z9*100),0,B27*3.6/1000000/'E Balans VL '!Z9*100)</f>
        <v>0.12758010891227789</v>
      </c>
      <c r="D27" s="237" t="s">
        <v>660</v>
      </c>
      <c r="F27" s="6"/>
    </row>
    <row r="28" spans="1:18">
      <c r="A28" s="171" t="s">
        <v>52</v>
      </c>
      <c r="B28" s="33">
        <f>IF(ISERROR(TER_handel_ele_kWh/1000),0,TER_handel_ele_kWh/1000)</f>
        <v>2232.7076886</v>
      </c>
      <c r="C28" s="39">
        <f>IF(ISERROR(B28*3.6/1000000/'E Balans VL '!Z13*100),0,B28*3.6/1000000/'E Balans VL '!Z13*100)</f>
        <v>6.5852070513200023E-2</v>
      </c>
      <c r="D28" s="237" t="s">
        <v>660</v>
      </c>
      <c r="F28" s="6"/>
    </row>
    <row r="29" spans="1:18">
      <c r="A29" s="231" t="s">
        <v>51</v>
      </c>
      <c r="B29" s="33">
        <f>IF(ISERROR(TER_gezond_ele_kWh/1000),0,TER_gezond_ele_kWh/1000)</f>
        <v>437.81030615000003</v>
      </c>
      <c r="C29" s="39">
        <f>IF(ISERROR(B29*3.6/1000000/'E Balans VL '!Z10*100),0,B29*3.6/1000000/'E Balans VL '!Z10*100)</f>
        <v>4.6746402562335698E-2</v>
      </c>
      <c r="D29" s="237" t="s">
        <v>660</v>
      </c>
      <c r="F29" s="6"/>
    </row>
    <row r="30" spans="1:18">
      <c r="A30" s="231" t="s">
        <v>50</v>
      </c>
      <c r="B30" s="33">
        <f>IF(ISERROR(TER_ander_ele_kWh/1000),0,TER_ander_ele_kWh/1000)</f>
        <v>1132.6691825999999</v>
      </c>
      <c r="C30" s="39">
        <f>IF(ISERROR(B30*3.6/1000000/'E Balans VL '!Z14*100),0,B30*3.6/1000000/'E Balans VL '!Z14*100)</f>
        <v>8.5554951174248106E-2</v>
      </c>
      <c r="D30" s="237" t="s">
        <v>660</v>
      </c>
      <c r="F30" s="6"/>
    </row>
    <row r="31" spans="1:18">
      <c r="A31" s="231" t="s">
        <v>55</v>
      </c>
      <c r="B31" s="33">
        <f>IF(ISERROR(TER_onderwijs_ele_kWh/1000),0,TER_onderwijs_ele_kWh/1000)</f>
        <v>114.14540785</v>
      </c>
      <c r="C31" s="39">
        <f>IF(ISERROR(B31*3.6/1000000/'E Balans VL '!Z11*100),0,B31*3.6/1000000/'E Balans VL '!Z11*100)</f>
        <v>2.3049768313003739E-2</v>
      </c>
      <c r="D31" s="237" t="s">
        <v>660</v>
      </c>
    </row>
    <row r="32" spans="1:18">
      <c r="A32" s="231" t="s">
        <v>260</v>
      </c>
      <c r="B32" s="33">
        <f>IF(ISERROR(TER_rest_ele_kWh/1000),0,TER_rest_ele_kWh/1000)</f>
        <v>1115.501</v>
      </c>
      <c r="C32" s="39">
        <f>IF(ISERROR(B32*3.6/1000000/'E Balans VL '!Z8*100),0,B32*3.6/1000000/'E Balans VL '!Z8*100)</f>
        <v>9.2490566139366345E-3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1669.6342737589998</v>
      </c>
      <c r="C5" s="17">
        <f>IF(ISERROR('Eigen informatie GS &amp; warmtenet'!B59),0,'Eigen informatie GS &amp; warmtenet'!B59)</f>
        <v>0</v>
      </c>
      <c r="D5" s="30">
        <f>SUM(D6:D15)</f>
        <v>1219.6333455552399</v>
      </c>
      <c r="E5" s="17">
        <f>SUM(E6:E15)</f>
        <v>225.77653421394157</v>
      </c>
      <c r="F5" s="17">
        <f>SUM(F6:F15)</f>
        <v>813.48558845182515</v>
      </c>
      <c r="G5" s="18"/>
      <c r="H5" s="17"/>
      <c r="I5" s="17"/>
      <c r="J5" s="17">
        <f>SUM(J6:J15)</f>
        <v>7.0379418060804815</v>
      </c>
      <c r="K5" s="17"/>
      <c r="L5" s="17"/>
      <c r="M5" s="17"/>
      <c r="N5" s="17">
        <f>SUM(N6:N15)</f>
        <v>422.38573064399384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31.362042657000003</v>
      </c>
      <c r="C8" s="33"/>
      <c r="D8" s="37">
        <f>IF( ISERROR(IND_metaal_Gas_kWH/1000),0,IND_metaal_Gas_kWH/1000)*0.902</f>
        <v>0</v>
      </c>
      <c r="E8" s="33">
        <f>C30*'E Balans VL '!I18/100/3.6*1000000</f>
        <v>1.1285011714093938</v>
      </c>
      <c r="F8" s="33">
        <f>C30*'E Balans VL '!L18/100/3.6*1000000+C30*'E Balans VL '!N18/100/3.6*1000000</f>
        <v>13.694787380269991</v>
      </c>
      <c r="G8" s="34"/>
      <c r="H8" s="33"/>
      <c r="I8" s="33"/>
      <c r="J8" s="40">
        <f>C30*'E Balans VL '!D18/100/3.6*1000000+C30*'E Balans VL '!E18/100/3.6*1000000</f>
        <v>0</v>
      </c>
      <c r="K8" s="33"/>
      <c r="L8" s="33"/>
      <c r="M8" s="33"/>
      <c r="N8" s="33">
        <f>C30*'E Balans VL '!Y18/100/3.6*1000000</f>
        <v>1.5718442652025628</v>
      </c>
      <c r="O8" s="33"/>
      <c r="P8" s="33"/>
      <c r="R8" s="32"/>
    </row>
    <row r="9" spans="1:18">
      <c r="A9" s="6" t="s">
        <v>33</v>
      </c>
      <c r="B9" s="37">
        <f t="shared" si="0"/>
        <v>687.48737733999997</v>
      </c>
      <c r="C9" s="33"/>
      <c r="D9" s="37">
        <f>IF( ISERROR(IND_andere_gas_kWh/1000),0,IND_andere_gas_kWh/1000)*0.902</f>
        <v>823.08441537366002</v>
      </c>
      <c r="E9" s="33">
        <f>C31*'E Balans VL '!I19/100/3.6*1000000</f>
        <v>175.43122385958083</v>
      </c>
      <c r="F9" s="33">
        <f>C31*'E Balans VL '!L19/100/3.6*1000000+C31*'E Balans VL '!N19/100/3.6*1000000</f>
        <v>591.87495832956358</v>
      </c>
      <c r="G9" s="34"/>
      <c r="H9" s="33"/>
      <c r="I9" s="33"/>
      <c r="J9" s="40">
        <f>C31*'E Balans VL '!D19/100/3.6*1000000+C31*'E Balans VL '!E19/100/3.6*1000000</f>
        <v>0</v>
      </c>
      <c r="K9" s="33"/>
      <c r="L9" s="33"/>
      <c r="M9" s="33"/>
      <c r="N9" s="33">
        <f>C31*'E Balans VL '!Y19/100/3.6*1000000</f>
        <v>215.00084687798699</v>
      </c>
      <c r="O9" s="33"/>
      <c r="P9" s="33"/>
      <c r="R9" s="32"/>
    </row>
    <row r="10" spans="1:18">
      <c r="A10" s="6" t="s">
        <v>41</v>
      </c>
      <c r="B10" s="37">
        <f t="shared" si="0"/>
        <v>82.665759891999997</v>
      </c>
      <c r="C10" s="33"/>
      <c r="D10" s="37">
        <f>IF( ISERROR(IND_voed_gas_kWh/1000),0,IND_voed_gas_kWh/1000)*0.902</f>
        <v>109.93796098824001</v>
      </c>
      <c r="E10" s="33">
        <f>C32*'E Balans VL '!I20/100/3.6*1000000</f>
        <v>2.1014771258448741</v>
      </c>
      <c r="F10" s="33">
        <f>C32*'E Balans VL '!L20/100/3.6*1000000+C32*'E Balans VL '!N20/100/3.6*1000000</f>
        <v>18.706020543486606</v>
      </c>
      <c r="G10" s="34"/>
      <c r="H10" s="33"/>
      <c r="I10" s="33"/>
      <c r="J10" s="40">
        <f>C32*'E Balans VL '!D20/100/3.6*1000000+C32*'E Balans VL '!E20/100/3.6*1000000</f>
        <v>0</v>
      </c>
      <c r="K10" s="33"/>
      <c r="L10" s="33"/>
      <c r="M10" s="33"/>
      <c r="N10" s="33">
        <f>C32*'E Balans VL '!Y20/100/3.6*1000000</f>
        <v>31.001900703058521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868.11909387000003</v>
      </c>
      <c r="C15" s="33"/>
      <c r="D15" s="37">
        <f>IF( ISERROR(IND_rest_gas_kWh/1000),0,IND_rest_gas_kWh/1000)*0.902</f>
        <v>286.61096919334</v>
      </c>
      <c r="E15" s="33">
        <f>C37*'E Balans VL '!I15/100/3.6*1000000</f>
        <v>47.115332057106492</v>
      </c>
      <c r="F15" s="33">
        <f>C37*'E Balans VL '!L15/100/3.6*1000000+C37*'E Balans VL '!N15/100/3.6*1000000</f>
        <v>189.20982219850501</v>
      </c>
      <c r="G15" s="34"/>
      <c r="H15" s="33"/>
      <c r="I15" s="33"/>
      <c r="J15" s="40">
        <f>C37*'E Balans VL '!D15/100/3.6*1000000+C37*'E Balans VL '!E15/100/3.6*1000000</f>
        <v>7.0379418060804815</v>
      </c>
      <c r="K15" s="33"/>
      <c r="L15" s="33"/>
      <c r="M15" s="33"/>
      <c r="N15" s="33">
        <f>C37*'E Balans VL '!Y15/100/3.6*1000000</f>
        <v>174.81113879774574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1669.6342737589998</v>
      </c>
      <c r="C18" s="21">
        <f>C5+C16</f>
        <v>0</v>
      </c>
      <c r="D18" s="21">
        <f>MAX((D5+D16),0)</f>
        <v>1219.6333455552399</v>
      </c>
      <c r="E18" s="21">
        <f>MAX((E5+E16),0)</f>
        <v>225.77653421394157</v>
      </c>
      <c r="F18" s="21">
        <f>MAX((F5+F16),0)</f>
        <v>813.48558845182515</v>
      </c>
      <c r="G18" s="21"/>
      <c r="H18" s="21"/>
      <c r="I18" s="21"/>
      <c r="J18" s="21">
        <f>MAX((J5+J16),0)</f>
        <v>7.0379418060804815</v>
      </c>
      <c r="K18" s="21"/>
      <c r="L18" s="21">
        <f>MAX((L5+L16),0)</f>
        <v>0</v>
      </c>
      <c r="M18" s="21"/>
      <c r="N18" s="21">
        <f>MAX((N5+N16),0)</f>
        <v>422.38573064399384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0.20492600229121871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342.15147700983408</v>
      </c>
      <c r="C22" s="23">
        <f ca="1">C18*C20</f>
        <v>0</v>
      </c>
      <c r="D22" s="23">
        <f>D18*D20</f>
        <v>246.36593580215848</v>
      </c>
      <c r="E22" s="23">
        <f>E18*E20</f>
        <v>51.251273266564738</v>
      </c>
      <c r="F22" s="23">
        <f>F18*F20</f>
        <v>217.20065211663731</v>
      </c>
      <c r="G22" s="23"/>
      <c r="H22" s="23"/>
      <c r="I22" s="23"/>
      <c r="J22" s="23">
        <f>J18*J20</f>
        <v>2.4914313993524901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31.362042657000003</v>
      </c>
      <c r="C30" s="39">
        <f>IF(ISERROR(B30*3.6/1000000/'E Balans VL '!Z18*100),0,B30*3.6/1000000/'E Balans VL '!Z18*100)</f>
        <v>6.6449444545447923E-3</v>
      </c>
      <c r="D30" s="237" t="s">
        <v>660</v>
      </c>
    </row>
    <row r="31" spans="1:18">
      <c r="A31" s="6" t="s">
        <v>33</v>
      </c>
      <c r="B31" s="37">
        <f>IF( ISERROR(IND_ander_ele_kWh/1000),0,IND_ander_ele_kWh/1000)</f>
        <v>687.48737733999997</v>
      </c>
      <c r="C31" s="39">
        <f>IF(ISERROR(B31*3.6/1000000/'E Balans VL '!Z19*100),0,B31*3.6/1000000/'E Balans VL '!Z19*100)</f>
        <v>2.89379047658599E-2</v>
      </c>
      <c r="D31" s="237" t="s">
        <v>660</v>
      </c>
    </row>
    <row r="32" spans="1:18">
      <c r="A32" s="171" t="s">
        <v>41</v>
      </c>
      <c r="B32" s="37">
        <f>IF( ISERROR(IND_voed_ele_kWh/1000),0,IND_voed_ele_kWh/1000)</f>
        <v>82.665759891999997</v>
      </c>
      <c r="C32" s="39">
        <f>IF(ISERROR(B32*3.6/1000000/'E Balans VL '!Z20*100),0,B32*3.6/1000000/'E Balans VL '!Z20*100)</f>
        <v>1.3810250488705043E-2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868.11909387000003</v>
      </c>
      <c r="C37" s="39">
        <f>IF(ISERROR(B37*3.6/1000000/'E Balans VL '!Z15*100),0,B37*3.6/1000000/'E Balans VL '!Z15*100)</f>
        <v>7.0086615959327209E-3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1057.33147891</v>
      </c>
      <c r="C5" s="17">
        <f>'Eigen informatie GS &amp; warmtenet'!B60</f>
        <v>0</v>
      </c>
      <c r="D5" s="30">
        <f>IF(ISERROR(SUM(LB_lb_gas_kWh,LB_rest_gas_kWh)/1000),0,SUM(LB_lb_gas_kWh,LB_rest_gas_kWh)/1000)*0.902</f>
        <v>51.695922342372</v>
      </c>
      <c r="E5" s="17">
        <f>B17*'E Balans VL '!I25/3.6*1000000/100</f>
        <v>27.264519157569207</v>
      </c>
      <c r="F5" s="17">
        <f>B17*('E Balans VL '!L25/3.6*1000000+'E Balans VL '!N25/3.6*1000000)/100</f>
        <v>3864.7479144147637</v>
      </c>
      <c r="G5" s="18"/>
      <c r="H5" s="17"/>
      <c r="I5" s="17"/>
      <c r="J5" s="17">
        <f>('E Balans VL '!D25+'E Balans VL '!E25)/3.6*1000000*landbouw!B17/100</f>
        <v>152.2168372725117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1057.33147891</v>
      </c>
      <c r="C8" s="21">
        <f>C5+C6</f>
        <v>0</v>
      </c>
      <c r="D8" s="21">
        <f>MAX((D5+D6),0)</f>
        <v>51.695922342372</v>
      </c>
      <c r="E8" s="21">
        <f>MAX((E5+E6),0)</f>
        <v>27.264519157569207</v>
      </c>
      <c r="F8" s="21">
        <f>MAX((F5+F6),0)</f>
        <v>3864.7479144147637</v>
      </c>
      <c r="G8" s="21"/>
      <c r="H8" s="21"/>
      <c r="I8" s="21"/>
      <c r="J8" s="21">
        <f>MAX((J5+J6),0)</f>
        <v>152.2168372725117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0.20492600229121871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216.67471306968832</v>
      </c>
      <c r="C12" s="23">
        <f ca="1">C8*C10</f>
        <v>0</v>
      </c>
      <c r="D12" s="23">
        <f>D8*D10</f>
        <v>10.442576313159146</v>
      </c>
      <c r="E12" s="23">
        <f>E8*E10</f>
        <v>6.1890458487682105</v>
      </c>
      <c r="F12" s="23">
        <f>F8*F10</f>
        <v>1031.8876931487421</v>
      </c>
      <c r="G12" s="23"/>
      <c r="H12" s="23"/>
      <c r="I12" s="23"/>
      <c r="J12" s="23">
        <f>J8*J10</f>
        <v>53.88476039446914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0.14909074213298532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185.71289405992775</v>
      </c>
      <c r="C26" s="247">
        <f>B26*'GWP N2O_CH4'!B5</f>
        <v>3899.9707752584827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88.953714165201177</v>
      </c>
      <c r="C27" s="247">
        <f>B27*'GWP N2O_CH4'!B5</f>
        <v>1868.0279974692248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2.5134203156197708</v>
      </c>
      <c r="C28" s="247">
        <f>B28*'GWP N2O_CH4'!B4</f>
        <v>779.1602978421289</v>
      </c>
      <c r="D28" s="50"/>
    </row>
    <row r="29" spans="1:4">
      <c r="A29" s="41" t="s">
        <v>277</v>
      </c>
      <c r="B29" s="247">
        <f>B34*'ha_N2O bodem landbouw'!B4</f>
        <v>9.0457190280607449</v>
      </c>
      <c r="C29" s="247">
        <f>B29*'GWP N2O_CH4'!B4</f>
        <v>2804.172898698831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2.0357783399847966E-3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2.8398121130856558E-4</v>
      </c>
      <c r="C5" s="463" t="s">
        <v>211</v>
      </c>
      <c r="D5" s="448">
        <f>SUM(D6:D11)</f>
        <v>6.1839796832829496E-4</v>
      </c>
      <c r="E5" s="448">
        <f>SUM(E6:E11)</f>
        <v>2.8683438448589924E-3</v>
      </c>
      <c r="F5" s="461" t="s">
        <v>211</v>
      </c>
      <c r="G5" s="448">
        <f>SUM(G6:G11)</f>
        <v>1.2649345884813046</v>
      </c>
      <c r="H5" s="448">
        <f>SUM(H6:H11)</f>
        <v>0.1723703672779047</v>
      </c>
      <c r="I5" s="463" t="s">
        <v>211</v>
      </c>
      <c r="J5" s="463" t="s">
        <v>211</v>
      </c>
      <c r="K5" s="463" t="s">
        <v>211</v>
      </c>
      <c r="L5" s="463" t="s">
        <v>211</v>
      </c>
      <c r="M5" s="448">
        <f>SUM(M6:M11)</f>
        <v>4.5013840702469179E-2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3.5476695902474281E-5</v>
      </c>
      <c r="C6" s="449"/>
      <c r="D6" s="892">
        <f>vkm_2011_GW_PW*SUMIFS(TableVerdeelsleutelVkm[CNG],TableVerdeelsleutelVkm[Voertuigtype],"Lichte voertuigen")*SUMIFS(TableECFTransport[EnergieConsumptieFactor (PJ per km)],TableECFTransport[Index],CONCATENATE($A6,"_CNG_CNG"))</f>
        <v>7.0492816186982748E-5</v>
      </c>
      <c r="E6" s="892">
        <f>vkm_2011_GW_PW*SUMIFS(TableVerdeelsleutelVkm[LPG],TableVerdeelsleutelVkm[Voertuigtype],"Lichte voertuigen")*SUMIFS(TableECFTransport[EnergieConsumptieFactor (PJ per km)],TableECFTransport[Index],CONCATENATE($A6,"_LPG_LPG"))</f>
        <v>2.7741450147604452E-4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6.5959649804409326E-2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1.9084526071306354E-2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2.6500550512275141E-3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3.3201628148587806E-2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1.0725544049996179E-5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1.0461325019454242E-3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2.1549509037544833E-5</v>
      </c>
      <c r="C8" s="449"/>
      <c r="D8" s="451">
        <f>vkm_2011_NGW_PW*SUMIFS(TableVerdeelsleutelVkm[CNG],TableVerdeelsleutelVkm[Voertuigtype],"Lichte voertuigen")*SUMIFS(TableECFTransport[EnergieConsumptieFactor (PJ per km)],TableECFTransport[Index],CONCATENATE($A8,"_CNG_CNG"))</f>
        <v>7.5817275120612269E-5</v>
      </c>
      <c r="E8" s="451">
        <f>vkm_2011_NGW_PW*SUMIFS(TableVerdeelsleutelVkm[LPG],TableVerdeelsleutelVkm[Voertuigtype],"Lichte voertuigen")*SUMIFS(TableECFTransport[EnergieConsumptieFactor (PJ per km)],TableECFTransport[Index],CONCATENATE($A8,"_LPG_LPG"))</f>
        <v>2.759378332071764E-4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6.1265955866895684E-2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1.9903144936622503E-2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2.5267624350144508E-3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7.7255403940964806E-3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2.3602180960673779E-6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2.4341589422809538E-4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2.2695500636854649E-4</v>
      </c>
      <c r="C10" s="449"/>
      <c r="D10" s="451">
        <f>vkm_2011_SW_PW*SUMIFS(TableVerdeelsleutelVkm[CNG],TableVerdeelsleutelVkm[Voertuigtype],"Lichte voertuigen")*SUMIFS(TableECFTransport[EnergieConsumptieFactor (PJ per km)],TableECFTransport[Index],CONCATENATE($A10,"_CNG_CNG"))</f>
        <v>4.7208787702069993E-4</v>
      </c>
      <c r="E10" s="451">
        <f>vkm_2011_SW_PW*SUMIFS(TableVerdeelsleutelVkm[LPG],TableVerdeelsleutelVkm[Voertuigtype],"Lichte voertuigen")*SUMIFS(TableECFTransport[EnergieConsumptieFactor (PJ per km)],TableECFTransport[Index],CONCATENATE($A10,"_LPG_LPG"))</f>
        <v>2.3149915101757716E-3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0.4930666118059564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0.13315948230608857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1.9524879550849392E-2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0.6037152024613589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2.1012820174120254E-4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1.9022595269204301E-2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78.883669807934879</v>
      </c>
      <c r="C14" s="21"/>
      <c r="D14" s="21">
        <f t="shared" ref="D14:M14" si="0">((D5)*10^9/3600)+D12</f>
        <v>171.77721342452637</v>
      </c>
      <c r="E14" s="21">
        <f t="shared" si="0"/>
        <v>796.76217912749792</v>
      </c>
      <c r="F14" s="21"/>
      <c r="G14" s="21">
        <f t="shared" si="0"/>
        <v>351370.71902258461</v>
      </c>
      <c r="H14" s="21">
        <f t="shared" si="0"/>
        <v>47880.65757719575</v>
      </c>
      <c r="I14" s="21"/>
      <c r="J14" s="21"/>
      <c r="K14" s="21"/>
      <c r="L14" s="21"/>
      <c r="M14" s="21">
        <f t="shared" si="0"/>
        <v>12503.844639574772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0.20492600229121871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16.165315099800605</v>
      </c>
      <c r="C18" s="23"/>
      <c r="D18" s="23">
        <f t="shared" ref="D18:M18" si="1">D14*D16</f>
        <v>34.698997111754331</v>
      </c>
      <c r="E18" s="23">
        <f t="shared" si="1"/>
        <v>180.86501466194204</v>
      </c>
      <c r="F18" s="23"/>
      <c r="G18" s="23">
        <f t="shared" si="1"/>
        <v>93815.981979030097</v>
      </c>
      <c r="H18" s="23">
        <f t="shared" si="1"/>
        <v>11922.283736721742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2.297581421212645E-3</v>
      </c>
      <c r="H50" s="321">
        <f t="shared" si="2"/>
        <v>0</v>
      </c>
      <c r="I50" s="321">
        <f t="shared" si="2"/>
        <v>0</v>
      </c>
      <c r="J50" s="321">
        <f t="shared" si="2"/>
        <v>0</v>
      </c>
      <c r="K50" s="321">
        <f t="shared" si="2"/>
        <v>0</v>
      </c>
      <c r="L50" s="321">
        <f t="shared" si="2"/>
        <v>0</v>
      </c>
      <c r="M50" s="321">
        <f t="shared" si="2"/>
        <v>7.1265835578014687E-5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2.297581421212645E-3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7.1265835578014687E-5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638.21706144795689</v>
      </c>
      <c r="H54" s="21">
        <f t="shared" si="3"/>
        <v>0</v>
      </c>
      <c r="I54" s="21">
        <f t="shared" si="3"/>
        <v>0</v>
      </c>
      <c r="J54" s="21">
        <f t="shared" si="3"/>
        <v>0</v>
      </c>
      <c r="K54" s="21">
        <f t="shared" si="3"/>
        <v>0</v>
      </c>
      <c r="L54" s="21">
        <f t="shared" si="3"/>
        <v>0</v>
      </c>
      <c r="M54" s="21">
        <f t="shared" si="3"/>
        <v>19.796065438337411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0.20492600229121871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170.4039554066045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2663.0217161956407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2663.0217161956407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2019-08-12T08:25:18Z</dcterms:modified>
</cp:coreProperties>
</file>