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O77" i="14" s="1"/>
  <c r="K9" i="18"/>
  <c r="I9"/>
  <c r="I77" i="14" s="1"/>
  <c r="I9" i="59" s="1"/>
  <c r="G9" i="18"/>
  <c r="F9"/>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P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N77" i="14"/>
  <c r="N9"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Q54"/>
  <c r="Q56" s="1"/>
  <c r="P54"/>
  <c r="P56" s="1"/>
  <c r="L54"/>
  <c r="J54"/>
  <c r="J56" s="1"/>
  <c r="I54"/>
  <c r="H54"/>
  <c r="Q24"/>
  <c r="Q26" s="1"/>
  <c r="P24"/>
  <c r="P26" s="1"/>
  <c r="N24"/>
  <c r="L24"/>
  <c r="J24"/>
  <c r="J26" s="1"/>
  <c r="I24"/>
  <c r="I26" s="1"/>
  <c r="H24"/>
  <c r="H26" s="1"/>
  <c r="Q50"/>
  <c r="P50"/>
  <c r="O50"/>
  <c r="M50"/>
  <c r="L50"/>
  <c r="K50"/>
  <c r="J50"/>
  <c r="G50"/>
  <c r="D50"/>
  <c r="Q49"/>
  <c r="P49"/>
  <c r="Q20"/>
  <c r="P20"/>
  <c r="O20"/>
  <c r="O22" s="1"/>
  <c r="M20"/>
  <c r="L20"/>
  <c r="K20"/>
  <c r="J20"/>
  <c r="G20"/>
  <c r="D20"/>
  <c r="Q19"/>
  <c r="P19"/>
  <c r="O19"/>
  <c r="M19"/>
  <c r="L19"/>
  <c r="K19"/>
  <c r="J19"/>
  <c r="I19"/>
  <c r="G19"/>
  <c r="G22" s="1"/>
  <c r="F19"/>
  <c r="E19"/>
  <c r="D19"/>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L56"/>
  <c r="H56"/>
  <c r="I56"/>
  <c r="Q52"/>
  <c r="R44"/>
  <c r="E25"/>
  <c r="E55" s="1"/>
  <c r="C25"/>
  <c r="B14" i="48" s="1"/>
  <c r="N26" i="14"/>
  <c r="L26"/>
  <c r="L22"/>
  <c r="D22"/>
  <c r="P22"/>
  <c r="M22"/>
  <c r="R12"/>
  <c r="O78" l="1"/>
  <c r="O9" i="59"/>
  <c r="N19"/>
  <c r="N90" i="14"/>
  <c r="L18" i="59"/>
  <c r="L20" s="1"/>
  <c r="L90" i="14"/>
  <c r="K18" i="59"/>
  <c r="K20" s="1"/>
  <c r="K90" i="14"/>
  <c r="L78"/>
  <c r="L8" i="59"/>
  <c r="L10" s="1"/>
  <c r="H90" i="14"/>
  <c r="H18" i="59"/>
  <c r="H78" i="14"/>
  <c r="H8" i="59"/>
  <c r="H10" s="1"/>
  <c r="E20"/>
  <c r="K10"/>
  <c r="H20"/>
  <c r="C98" i="18"/>
  <c r="F101" s="1"/>
  <c r="O90" i="14"/>
  <c r="P29" i="48"/>
  <c r="B10" i="18"/>
  <c r="L10"/>
  <c r="G20"/>
  <c r="E10" i="59"/>
  <c r="E77" i="14"/>
  <c r="E9" i="59" s="1"/>
  <c r="N20"/>
  <c r="B17" i="18"/>
  <c r="B20" s="1"/>
  <c r="P25" i="48"/>
  <c r="R25" i="14"/>
  <c r="O10" i="59"/>
  <c r="G78" i="14"/>
  <c r="N10" i="59"/>
  <c r="B8" i="18"/>
  <c r="O19"/>
  <c r="L13" i="15"/>
  <c r="N13"/>
  <c r="Q77" i="14"/>
  <c r="P9" i="59" s="1"/>
  <c r="O9" i="18"/>
  <c r="O18"/>
  <c r="G88" i="14"/>
  <c r="F89"/>
  <c r="I101" i="18"/>
  <c r="H8" s="1"/>
  <c r="E101"/>
  <c r="E8" s="1"/>
  <c r="H101"/>
  <c r="D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G90" i="14"/>
  <c r="G18" i="59"/>
  <c r="G20" s="1"/>
  <c r="G101" i="18"/>
  <c r="I8" s="1"/>
  <c r="O8" s="1"/>
  <c r="O10" s="1"/>
  <c r="C101"/>
  <c r="B89" i="14"/>
  <c r="B19" i="59" s="1"/>
  <c r="Q89" i="14"/>
  <c r="P19" i="59" s="1"/>
  <c r="C20" i="18"/>
  <c r="D87" i="14"/>
  <c r="D17" i="59" s="1"/>
  <c r="D20" s="1"/>
  <c r="D76" i="14"/>
  <c r="D8" i="59" s="1"/>
  <c r="D10" s="1"/>
  <c r="C10" i="18"/>
  <c r="J17"/>
  <c r="J8"/>
  <c r="F87" i="14"/>
  <c r="E20" i="18"/>
  <c r="E10"/>
  <c r="F76" i="14"/>
  <c r="F8" i="59" s="1"/>
  <c r="F10" s="1"/>
  <c r="I17" i="18"/>
  <c r="O17" s="1"/>
  <c r="O20" s="1"/>
  <c r="H20"/>
  <c r="M87" i="14"/>
  <c r="M76"/>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Q90" i="14" l="1"/>
  <c r="B17" i="6" s="1"/>
  <c r="P17" i="59"/>
  <c r="P20" s="1"/>
  <c r="J90" i="14"/>
  <c r="J17" i="59"/>
  <c r="J20" s="1"/>
  <c r="J78" i="14"/>
  <c r="J8" i="59"/>
  <c r="J10" s="1"/>
  <c r="Q78" i="14"/>
  <c r="B9" i="6" s="1"/>
  <c r="P8" i="59"/>
  <c r="P10" s="1"/>
  <c r="B87" i="14"/>
  <c r="I90"/>
  <c r="C87"/>
  <c r="C76"/>
  <c r="B76"/>
  <c r="I78"/>
  <c r="A31" i="23"/>
  <c r="A32"/>
  <c r="A33"/>
  <c r="B90" i="14" l="1"/>
  <c r="B17" i="59"/>
  <c r="B20" s="1"/>
  <c r="B78" i="14"/>
  <c r="B8" i="59"/>
  <c r="B1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9"/>
  <c r="I24"/>
  <c r="I22"/>
  <c r="I26"/>
  <c r="I25"/>
  <c r="I28"/>
  <c r="I30"/>
  <c r="D4"/>
  <c r="D22" s="1"/>
  <c r="E11" i="14"/>
  <c r="H32" i="48"/>
  <c r="H25"/>
  <c r="H29"/>
  <c r="H28"/>
  <c r="H26"/>
  <c r="H22"/>
  <c r="H30"/>
  <c r="H24"/>
  <c r="H23"/>
  <c r="C4"/>
  <c r="D11" i="14"/>
  <c r="G32" i="48"/>
  <c r="G25"/>
  <c r="G29"/>
  <c r="G26"/>
  <c r="G24"/>
  <c r="G22"/>
  <c r="G30"/>
  <c r="G23"/>
  <c r="B4"/>
  <c r="C11" i="14"/>
  <c r="F32" i="48"/>
  <c r="F27"/>
  <c r="F31"/>
  <c r="F30"/>
  <c r="F24"/>
  <c r="F29"/>
  <c r="F28"/>
  <c r="N32"/>
  <c r="N27"/>
  <c r="N24"/>
  <c r="N31"/>
  <c r="N29"/>
  <c r="N28"/>
  <c r="N30"/>
  <c r="B10"/>
  <c r="C19" i="14"/>
  <c r="E28" i="48"/>
  <c r="E32"/>
  <c r="E29"/>
  <c r="E24"/>
  <c r="E31"/>
  <c r="E30"/>
  <c r="M32"/>
  <c r="M29"/>
  <c r="M25"/>
  <c r="M26"/>
  <c r="M22"/>
  <c r="M30"/>
  <c r="M24"/>
  <c r="M23"/>
  <c r="L10" i="14"/>
  <c r="L16" s="1"/>
  <c r="L27" s="1"/>
  <c r="K5" i="48"/>
  <c r="D28"/>
  <c r="D30"/>
  <c r="D24"/>
  <c r="D29"/>
  <c r="D31"/>
  <c r="D32"/>
  <c r="L28"/>
  <c r="L32"/>
  <c r="L31"/>
  <c r="L27"/>
  <c r="L22"/>
  <c r="L29"/>
  <c r="L30"/>
  <c r="L24"/>
  <c r="P5"/>
  <c r="P23" s="1"/>
  <c r="Q10" i="14"/>
  <c r="K28" i="48"/>
  <c r="K27"/>
  <c r="K32"/>
  <c r="K31"/>
  <c r="K25"/>
  <c r="K24"/>
  <c r="K29"/>
  <c r="K22"/>
  <c r="K30"/>
  <c r="K26"/>
  <c r="C24" i="14"/>
  <c r="C26" s="1"/>
  <c r="B7" i="48"/>
  <c r="J28"/>
  <c r="J27"/>
  <c r="J32"/>
  <c r="J31"/>
  <c r="J29"/>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15" i="48"/>
  <c r="K23"/>
  <c r="C22" i="14"/>
  <c r="P8" i="48"/>
  <c r="P26" s="1"/>
  <c r="Q13" i="14"/>
  <c r="Q16" s="1"/>
  <c r="Q27" s="1"/>
  <c r="Q63" s="1"/>
  <c r="F20"/>
  <c r="F22" s="1"/>
  <c r="E9" i="48"/>
  <c r="E27" s="1"/>
  <c r="E20" i="14"/>
  <c r="E22" s="1"/>
  <c r="D9" i="48"/>
  <c r="D27" s="1"/>
  <c r="O5"/>
  <c r="O23" s="1"/>
  <c r="P10" i="14"/>
  <c r="J7" i="48"/>
  <c r="J25" s="1"/>
  <c r="K24" i="14"/>
  <c r="K26" s="1"/>
  <c r="P22" i="48"/>
  <c r="C20" i="14"/>
  <c r="B9"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<sst xmlns="http://schemas.openxmlformats.org/spreadsheetml/2006/main" count="2401" uniqueCount="896">
  <si>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</si>
  <si>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</si>
  <si>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</si>
  <si>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</si>
  <si>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</si>
  <si>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</si>
  <si>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</si>
  <si>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</si>
  <si>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</si>
  <si>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</si>
  <si>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</si>
  <si>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</si>
  <si>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</si>
  <si>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</si>
  <si>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</si>
  <si>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</si>
  <si>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</si>
  <si>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</si>
  <si>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</si>
  <si>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</si>
  <si>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</si>
  <si>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</si>
  <si>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</si>
  <si>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</si>
  <si>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</si>
  <si>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</si>
  <si>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</si>
  <si>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</si>
  <si>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</si>
  <si>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</si>
  <si>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</si>
  <si>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</si>
  <si>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</si>
  <si>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</si>
  <si>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</si>
  <si>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</si>
  <si>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</si>
  <si>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</si>
  <si>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</si>
  <si>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</si>
  <si>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</si>
  <si>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</si>
  <si>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</si>
  <si>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</si>
  <si>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</si>
  <si>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</si>
  <si>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</si>
  <si>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</si>
  <si>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</si>
  <si>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</si>
  <si>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</si>
  <si>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</si>
  <si>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</si>
  <si>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</si>
  <si>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</si>
  <si>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</si>
  <si>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</si>
  <si>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</si>
  <si>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</si>
  <si>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</si>
  <si>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</si>
  <si>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</si>
  <si>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</si>
  <si>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</si>
  <si>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</si>
  <si>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</si>
  <si>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</si>
  <si>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</si>
  <si>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</si>
  <si>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</si>
  <si>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</si>
  <si>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</si>
  <si>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</si>
  <si>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</si>
  <si>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</si>
  <si>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</si>
  <si>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</si>
  <si>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</si>
  <si>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</si>
  <si>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</si>
  <si>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</si>
  <si>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</si>
  <si>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</si>
  <si>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</si>
  <si>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</si>
  <si>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</si>
  <si>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</si>
  <si>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</si>
  <si>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</si>
  <si>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</si>
  <si>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</si>
  <si>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</si>
  <si>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</si>
  <si>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</si>
  <si>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</si>
  <si>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</si>
  <si>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</si>
  <si>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</si>
  <si>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</si>
  <si>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</si>
  <si>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</si>
  <si>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</si>
  <si>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</si>
  <si>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</si>
  <si>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</si>
  <si>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</si>
  <si>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</si>
  <si>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</si>
  <si>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</si>
  <si>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</si>
  <si>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</si>
  <si>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</si>
  <si>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</si>
  <si>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</si>
  <si>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</si>
  <si>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</si>
  <si>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</si>
  <si>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</si>
  <si>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</si>
  <si>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</si>
  <si>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</si>
  <si>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</si>
  <si>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</si>
  <si>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</si>
  <si>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</si>
  <si>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</si>
  <si>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</si>
  <si>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</si>
  <si>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</si>
  <si>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</si>
  <si>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</si>
  <si>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</si>
  <si>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</si>
  <si>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</si>
  <si>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</si>
  <si>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</si>
  <si>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</si>
  <si>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</si>
  <si>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</si>
  <si>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</si>
  <si>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</si>
  <si>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</si>
  <si>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</si>
  <si>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</si>
  <si>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</si>
  <si>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</si>
  <si>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</si>
  <si>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</si>
  <si>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</si>
  <si>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</si>
  <si>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</si>
  <si>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</si>
  <si>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</si>
  <si>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</si>
  <si>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</si>
  <si>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</si>
  <si>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</si>
  <si>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</si>
  <si>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</si>
  <si>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</si>
  <si>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</si>
  <si>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</si>
  <si>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</si>
  <si>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</si>
  <si>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</si>
  <si>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</si>
  <si>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</si>
  <si>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</si>
  <si>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</si>
  <si>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</si>
  <si>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</si>
  <si>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</si>
  <si>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</si>
  <si>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</si>
  <si>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</si>
  <si>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</si>
  <si>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</si>
  <si>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</si>
  <si>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</si>
  <si>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</si>
  <si>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</si>
  <si>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</si>
  <si>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</si>
  <si>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</si>
  <si>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</si>
  <si>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</si>
  <si>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</si>
  <si>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</si>
  <si>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</si>
  <si>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</si>
  <si>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</si>
  <si>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</si>
  <si>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</si>
  <si>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</si>
  <si>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</si>
  <si>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</si>
  <si>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</si>
  <si>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</si>
  <si>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</si>
  <si>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</si>
  <si>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</si>
  <si>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</si>
  <si>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</si>
  <si>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</si>
  <si>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</si>
  <si>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</si>
  <si>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</si>
  <si>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</si>
  <si>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</si>
  <si>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</si>
  <si>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</si>
  <si>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</si>
  <si>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</si>
  <si>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</si>
  <si>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</si>
  <si>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</si>
  <si>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</si>
  <si>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</si>
  <si>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</si>
  <si>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</si>
  <si>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</si>
  <si>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</si>
  <si>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</si>
  <si>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</si>
  <si>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</si>
  <si>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</si>
  <si>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</si>
  <si>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</si>
  <si>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</si>
  <si>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</si>
  <si>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</si>
  <si>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</si>
  <si>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</si>
  <si>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</si>
  <si>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</si>
  <si>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</si>
  <si>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</si>
  <si>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</si>
  <si>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</si>
  <si>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</si>
  <si>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</si>
  <si>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</si>
  <si>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</si>
  <si>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</si>
  <si>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</si>
  <si>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</si>
  <si>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</si>
  <si>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</si>
  <si>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</si>
  <si>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</si>
  <si>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</si>
  <si>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</si>
  <si>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</si>
  <si>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</si>
  <si>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</si>
  <si>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</si>
  <si>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</si>
  <si>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</si>
  <si>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</si>
  <si>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</si>
  <si>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</si>
  <si>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</si>
  <si>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</si>
  <si>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</si>
  <si>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</si>
  <si>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</si>
  <si>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</si>
  <si>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</si>
  <si>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</si>
  <si>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</si>
  <si>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</si>
  <si>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</si>
  <si>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</si>
  <si>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</si>
  <si>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</si>
  <si>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</si>
  <si>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</si>
  <si>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</si>
  <si>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</si>
  <si>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</si>
  <si>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</si>
  <si>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</si>
  <si>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</si>
  <si>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</si>
  <si>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</si>
  <si>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</si>
  <si>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</si>
  <si>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</si>
  <si>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</si>
  <si>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</si>
  <si>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</si>
  <si>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</si>
  <si>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</si>
  <si>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</si>
  <si>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</si>
  <si>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</si>
  <si>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</si>
  <si>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</si>
  <si>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</si>
  <si>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</si>
  <si>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</si>
  <si>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</si>
  <si>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</si>
  <si>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</si>
  <si>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</si>
  <si>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</si>
  <si>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</si>
  <si>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</si>
  <si>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</si>
  <si>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</si>
  <si>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</si>
  <si>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</si>
  <si>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</si>
  <si>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</si>
  <si>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</si>
  <si>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</si>
  <si>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</si>
  <si>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</si>
  <si>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</si>
  <si>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</si>
  <si>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</si>
  <si>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</si>
  <si>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</si>
  <si>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</si>
  <si>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</si>
  <si>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</si>
  <si>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</si>
  <si>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</si>
  <si>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</si>
  <si>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</si>
  <si>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</si>
  <si>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</si>
  <si>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</si>
  <si>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</si>
  <si>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</si>
  <si>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</si>
  <si>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</si>
  <si>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</si>
  <si>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</si>
  <si>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</si>
  <si>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</si>
  <si>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</si>
  <si>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</si>
  <si>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</si>
  <si>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</si>
  <si>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</si>
  <si>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</si>
  <si>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</si>
  <si>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</si>
  <si>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</si>
  <si>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</si>
  <si>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</si>
  <si>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</si>
  <si>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</si>
  <si>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</si>
  <si>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</si>
  <si>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</si>
  <si>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</si>
  <si>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</si>
  <si>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</si>
  <si>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</si>
  <si>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</si>
  <si>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</si>
  <si>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</si>
  <si>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</si>
  <si>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</si>
  <si>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</si>
  <si>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</si>
  <si>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</si>
  <si>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</si>
  <si>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</si>
  <si>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</si>
  <si>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</si>
  <si>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</si>
  <si>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</si>
  <si>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</si>
  <si>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</si>
  <si>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</si>
  <si>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</si>
  <si>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</si>
  <si>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</si>
  <si>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</si>
  <si>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</si>
  <si>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</si>
  <si>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</si>
  <si>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</si>
  <si>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</si>
  <si>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</si>
  <si>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</si>
  <si>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</si>
  <si>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</si>
  <si>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</si>
  <si>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</si>
  <si>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</si>
  <si>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</si>
  <si>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</si>
  <si>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</si>
  <si>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</si>
  <si>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</si>
  <si>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</si>
  <si>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</si>
  <si>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</si>
  <si>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</si>
  <si>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</si>
  <si>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</si>
  <si>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</si>
  <si>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</si>
  <si>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</si>
  <si>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</si>
  <si>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</si>
  <si>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</si>
  <si>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</si>
  <si>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</si>
  <si>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</si>
  <si>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</si>
  <si>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</si>
  <si>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</si>
  <si>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</si>
  <si>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</si>
  <si>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</si>
  <si>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</si>
  <si>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</si>
  <si>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</si>
  <si>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</si>
  <si>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</si>
  <si>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</si>
  <si>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</si>
  <si>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</si>
  <si>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</si>
  <si>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</si>
  <si>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</si>
  <si>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</si>
  <si>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</si>
  <si>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</si>
  <si>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</si>
  <si>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</si>
  <si>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</si>
  <si>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</si>
  <si>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</si>
  <si>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</si>
  <si>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</si>
  <si>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</si>
  <si>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</si>
  <si>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</si>
  <si>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</si>
  <si>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</si>
  <si>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</si>
  <si>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</si>
  <si>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</si>
  <si>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</si>
  <si>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</si>
  <si>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</si>
  <si>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</si>
  <si>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</si>
  <si>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</si>
  <si>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</si>
  <si>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</si>
  <si>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</si>
  <si>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</si>
  <si>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</si>
  <si>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</si>
  <si>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</si>
  <si>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</si>
  <si>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</si>
  <si>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</si>
  <si>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</si>
  <si>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</si>
  <si>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</si>
  <si>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</si>
  <si>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</si>
  <si>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</si>
  <si>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</si>
  <si>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</si>
  <si>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</si>
  <si>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</si>
  <si>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</si>
  <si>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</si>
  <si>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</si>
  <si>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</si>
  <si>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</si>
  <si>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</si>
  <si>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</si>
  <si>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</si>
  <si>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</si>
  <si>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</si>
  <si>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</si>
  <si>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</si>
  <si>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</si>
  <si>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</si>
  <si>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</si>
  <si>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</si>
  <si>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</si>
  <si>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</si>
  <si>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</si>
  <si>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</si>
  <si>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</si>
  <si>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</si>
  <si>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</si>
  <si>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</si>
  <si>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</si>
  <si>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</si>
  <si>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</si>
  <si>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</si>
  <si>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</si>
  <si>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</si>
  <si>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</si>
  <si>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</si>
  <si>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</si>
  <si>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</si>
  <si>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</si>
  <si>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</si>
  <si>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</si>
  <si>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</si>
  <si>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</si>
  <si>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</si>
  <si>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</si>
  <si>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</si>
  <si>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</si>
  <si>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</si>
  <si>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</si>
  <si>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</si>
  <si>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</si>
  <si>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</si>
  <si>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</si>
  <si>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</si>
  <si>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</si>
  <si>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</si>
  <si>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</si>
  <si>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</si>
  <si>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</si>
  <si>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</si>
  <si>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</si>
  <si>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</si>
  <si>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</si>
  <si>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</si>
  <si>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</si>
  <si>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</si>
  <si>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</si>
  <si>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</si>
  <si>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</si>
  <si>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</si>
  <si>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</si>
  <si>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</si>
  <si>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</si>
  <si>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</si>
  <si>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</si>
  <si>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</si>
  <si>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</si>
  <si>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</si>
  <si>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</si>
  <si>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</si>
  <si>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</si>
  <si>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</si>
  <si>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</si>
  <si>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</si>
  <si>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</si>
  <si>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</si>
  <si>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</si>
  <si>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</si>
  <si>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</si>
  <si>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</si>
  <si>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</si>
  <si>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</si>
  <si>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</si>
  <si>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</si>
  <si>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</si>
  <si>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</si>
  <si>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</si>
  <si>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</si>
  <si>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</si>
  <si>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</si>
  <si>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</si>
  <si>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</si>
  <si>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</si>
  <si>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</si>
  <si>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</si>
  <si>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</si>
  <si>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</si>
  <si>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</si>
  <si>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</si>
  <si>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</si>
  <si>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</si>
  <si>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</si>
  <si>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</si>
  <si>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</si>
  <si>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</si>
  <si>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</si>
  <si>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</si>
  <si>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</si>
  <si>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</si>
  <si>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</si>
  <si>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</si>
  <si>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</si>
  <si>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</si>
  <si>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</si>
  <si>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</si>
  <si>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</si>
  <si>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</si>
  <si>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</si>
  <si>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</si>
  <si>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</si>
  <si>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</si>
  <si>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</si>
  <si>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</si>
  <si>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</si>
  <si>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</si>
  <si>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</si>
  <si>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</si>
  <si>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</si>
  <si>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</si>
  <si>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</si>
  <si>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</si>
  <si>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</si>
  <si>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</si>
  <si>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</si>
  <si>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</si>
  <si>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</si>
  <si>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</si>
  <si>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</si>
  <si>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</si>
  <si>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</si>
  <si>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</si>
  <si>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</si>
  <si>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</si>
  <si>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</si>
  <si>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</si>
  <si>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</si>
  <si>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</si>
  <si>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</si>
  <si>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</si>
  <si>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</si>
  <si>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</si>
  <si>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</si>
  <si>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</si>
  <si>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</si>
  <si>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</si>
  <si>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</si>
  <si>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</si>
  <si>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</si>
  <si>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</si>
  <si>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</si>
  <si>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</si>
  <si>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</si>
  <si>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</si>
  <si>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</si>
  <si>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</si>
  <si>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</si>
  <si>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</si>
  <si>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</si>
  <si>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</si>
  <si>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</si>
  <si>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</si>
  <si>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</si>
  <si>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</si>
  <si>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</si>
  <si>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</si>
  <si>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</si>
  <si>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</si>
  <si>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</si>
  <si>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</si>
  <si>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</si>
  <si>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</si>
  <si>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</si>
  <si>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</si>
  <si>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</si>
  <si>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</si>
  <si>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</si>
  <si>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</si>
  <si>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</si>
  <si>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</si>
  <si>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</si>
  <si>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</si>
  <si>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</si>
  <si>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</si>
  <si>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</si>
  <si>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</si>
  <si>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</si>
  <si>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</si>
  <si>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</si>
  <si>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</si>
  <si>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</si>
  <si>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</si>
  <si>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</si>
  <si>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</si>
  <si>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</si>
  <si>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</si>
  <si>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</si>
  <si>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</si>
  <si>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</si>
  <si>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</si>
  <si>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</si>
  <si>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</si>
  <si>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</si>
  <si>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</si>
  <si>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</si>
  <si>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</si>
  <si>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</si>
  <si>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</si>
  <si>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</si>
  <si>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</si>
  <si>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</si>
  <si>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</si>
  <si>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</si>
  <si>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</si>
  <si>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</si>
  <si>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</si>
  <si>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</si>
  <si>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</si>
  <si>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</si>
  <si>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</si>
  <si>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</si>
  <si>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</si>
  <si>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</si>
  <si>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</si>
  <si>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</si>
  <si>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</si>
  <si>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</si>
  <si>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</si>
  <si>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</si>
  <si>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</si>
  <si>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</si>
  <si>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</si>
  <si>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</si>
  <si>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</si>
  <si>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</si>
  <si>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</si>
  <si>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</si>
  <si>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</si>
  <si>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</si>
  <si>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</si>
  <si>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</si>
  <si>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</si>
  <si>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</si>
  <si>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</si>
  <si>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</si>
  <si>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</si>
  <si>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</si>
  <si>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</si>
  <si>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</si>
  <si>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</si>
  <si>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</si>
  <si>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</si>
  <si>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</si>
  <si>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</si>
  <si>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</si>
  <si>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</si>
  <si>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</si>
  <si>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</si>
  <si>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</si>
  <si>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</si>
  <si>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</si>
  <si>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</si>
  <si>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</si>
  <si>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</si>
  <si>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</si>
  <si>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</si>
  <si>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</si>
  <si>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</si>
  <si>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</si>
  <si>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</si>
  <si>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</si>
  <si>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</si>
  <si>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</si>
  <si>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</si>
  <si>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</si>
  <si>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</si>
  <si>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</si>
  <si>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</si>
  <si>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</si>
  <si>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</si>
  <si>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</si>
  <si>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</si>
  <si>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</si>
  <si>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</si>
  <si>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</si>
  <si>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</si>
  <si>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</si>
  <si>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</si>
  <si>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</si>
  <si>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</si>
  <si>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</si>
  <si>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</si>
  <si>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</si>
  <si>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</si>
  <si>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</si>
  <si>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</si>
  <si>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</si>
  <si>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</si>
  <si>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</si>
  <si>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</si>
  <si>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</si>
  <si>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</si>
  <si>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</si>
  <si>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</si>
  <si>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</si>
  <si>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</si>
  <si>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</si>
  <si>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</si>
  <si>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</si>
  <si>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</si>
  <si>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</si>
  <si>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</si>
  <si>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</si>
  <si>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</si>
  <si>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</si>
  <si>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</si>
  <si>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</si>
  <si>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</si>
  <si>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</si>
  <si>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</si>
  <si>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</si>
  <si>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</si>
  <si>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</si>
  <si>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</si>
  <si>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</si>
  <si>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</si>
  <si>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</si>
  <si>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</si>
  <si>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</si>
  <si>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</si>
  <si>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</si>
  <si>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</si>
  <si>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</si>
  <si>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</si>
  <si>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</si>
  <si>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</si>
  <si>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</si>
  <si>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</si>
  <si>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</si>
  <si>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</si>
  <si>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</si>
  <si>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</si>
  <si>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</si>
  <si>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</si>
  <si>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</si>
  <si>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</si>
  <si>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</si>
  <si>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</si>
  <si>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</si>
  <si>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</si>
  <si>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</si>
  <si>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</si>
  <si>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</si>
  <si>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</si>
  <si>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</si>
  <si>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</si>
  <si>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</si>
  <si>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</si>
  <si>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</si>
  <si>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</si>
  <si>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</si>
  <si>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</si>
  <si>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</si>
  <si>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</si>
  <si>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</si>
  <si>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</si>
  <si>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</si>
  <si>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</si>
  <si>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</si>
  <si>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</si>
  <si>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</si>
  <si>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</si>
  <si>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</si>
  <si>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</si>
  <si>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</si>
  <si>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</si>
  <si>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</si>
  <si>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</si>
  <si>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</si>
  <si>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</si>
  <si>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</si>
  <si>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</si>
  <si>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</si>
  <si>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</si>
  <si>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</si>
  <si>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</si>
  <si>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</si>
  <si>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</si>
  <si>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</si>
  <si>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</si>
  <si>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</si>
  <si>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</si>
  <si>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42010</t>
  </si>
  <si>
    <t>LAARNE</t>
  </si>
  <si>
    <t>Paarden&amp;pony's 200 - 600 kg</t>
  </si>
  <si>
    <t>Paarden&amp;pony's &lt; 200 kg</t>
  </si>
  <si>
    <t>referentietaak LNE (2017); Jaarverslag De Lijn (2015)</t>
  </si>
  <si>
    <t>op basis van VEA (maart 2018) en Inventaris Hernieuwbare Energiebronnen (juni 2018)</t>
  </si>
  <si>
    <t>VEA (januari 2017)</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</si>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</sst>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96978.103652639518</c:v>
                </c:pt>
                <c:pt idx="1">
                  <c:v>23627.072701949332</c:v>
                </c:pt>
                <c:pt idx="2">
                  <c:v>971.27300000000002</c:v>
                </c:pt>
                <c:pt idx="3">
                  <c:v>16228.082778664502</c:v>
                </c:pt>
                <c:pt idx="4">
                  <c:v>18120.702973664771</c:v>
                </c:pt>
                <c:pt idx="5">
                  <c:v>168416.09917352346</c:v>
                </c:pt>
                <c:pt idx="6">
                  <c:v>639.0430206329313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872128"/>
        <c:axId val="179873664"/>
      </c:barChart>
      <c:catAx>
        <c:axId val="179872128"/>
        <c:scaling>
          <c:orientation val="minMax"/>
        </c:scaling>
        <c:axPos val="b"/>
        <c:numFmt formatCode="General" sourceLinked="0"/>
        <c:tickLblPos val="nextTo"/>
        <c:crossAx val="179873664"/>
        <c:crosses val="autoZero"/>
        <c:auto val="1"/>
        <c:lblAlgn val="ctr"/>
        <c:lblOffset val="100"/>
      </c:catAx>
      <c:valAx>
        <c:axId val="179873664"/>
        <c:scaling>
          <c:orientation val="minMax"/>
        </c:scaling>
        <c:axPos val="l"/>
        <c:majorGridlines/>
        <c:numFmt formatCode="#,##0" sourceLinked="1"/>
        <c:tickLblPos val="nextTo"/>
        <c:crossAx val="179872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96978.103652639518</c:v>
                </c:pt>
                <c:pt idx="1">
                  <c:v>23627.072701949332</c:v>
                </c:pt>
                <c:pt idx="2">
                  <c:v>971.27300000000002</c:v>
                </c:pt>
                <c:pt idx="3">
                  <c:v>16228.082778664502</c:v>
                </c:pt>
                <c:pt idx="4">
                  <c:v>18120.702973664771</c:v>
                </c:pt>
                <c:pt idx="5">
                  <c:v>168416.09917352346</c:v>
                </c:pt>
                <c:pt idx="6">
                  <c:v>639.0430206329313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19617.543875282026</c:v>
                </c:pt>
                <c:pt idx="2">
                  <c:v>4921.3200776170124</c:v>
                </c:pt>
                <c:pt idx="3">
                  <c:v>203.2317171798426</c:v>
                </c:pt>
                <c:pt idx="4">
                  <c:v>4065.8658560340173</c:v>
                </c:pt>
                <c:pt idx="5">
                  <c:v>3662.5743699765912</c:v>
                </c:pt>
                <c:pt idx="6">
                  <c:v>43200.582711367708</c:v>
                </c:pt>
                <c:pt idx="7">
                  <c:v>165.49131611724391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63488"/>
        <c:axId val="182592256"/>
      </c:barChart>
      <c:catAx>
        <c:axId val="182463488"/>
        <c:scaling>
          <c:orientation val="minMax"/>
        </c:scaling>
        <c:axPos val="b"/>
        <c:numFmt formatCode="General" sourceLinked="0"/>
        <c:tickLblPos val="nextTo"/>
        <c:crossAx val="182592256"/>
        <c:crosses val="autoZero"/>
        <c:auto val="1"/>
        <c:lblAlgn val="ctr"/>
        <c:lblOffset val="100"/>
      </c:catAx>
      <c:valAx>
        <c:axId val="182592256"/>
        <c:scaling>
          <c:orientation val="minMax"/>
        </c:scaling>
        <c:axPos val="l"/>
        <c:majorGridlines/>
        <c:numFmt formatCode="#,##0" sourceLinked="1"/>
        <c:tickLblPos val="nextTo"/>
        <c:crossAx val="182463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19617.543875282026</c:v>
                </c:pt>
                <c:pt idx="2">
                  <c:v>4921.3200776170124</c:v>
                </c:pt>
                <c:pt idx="3">
                  <c:v>203.2317171798426</c:v>
                </c:pt>
                <c:pt idx="4">
                  <c:v>4065.8658560340173</c:v>
                </c:pt>
                <c:pt idx="5">
                  <c:v>3662.5743699765912</c:v>
                </c:pt>
                <c:pt idx="6">
                  <c:v>43200.582711367708</c:v>
                </c:pt>
                <c:pt idx="7">
                  <c:v>165.49131611724391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10825.61185444</v>
      </c>
      <c r="D10" s="1012">
        <f ca="1">tertiair!C16</f>
        <v>0</v>
      </c>
      <c r="E10" s="1012">
        <f ca="1">tertiair!D16</f>
        <v>10583.238128339803</v>
      </c>
      <c r="F10" s="1012">
        <f>tertiair!E16</f>
        <v>220.00567584040402</v>
      </c>
      <c r="G10" s="1012">
        <f ca="1">tertiair!F16</f>
        <v>2515.4191247676913</v>
      </c>
      <c r="H10" s="1012">
        <f>tertiair!G16</f>
        <v>0</v>
      </c>
      <c r="I10" s="1012">
        <f>tertiair!H16</f>
        <v>0</v>
      </c>
      <c r="J10" s="1012">
        <f>tertiair!I16</f>
        <v>0</v>
      </c>
      <c r="K10" s="1012">
        <f>tertiair!J16</f>
        <v>0</v>
      </c>
      <c r="L10" s="1012">
        <f>tertiair!K16</f>
        <v>0</v>
      </c>
      <c r="M10" s="1012">
        <f ca="1">tertiair!L16</f>
        <v>0</v>
      </c>
      <c r="N10" s="1012">
        <f>tertiair!M16</f>
        <v>0</v>
      </c>
      <c r="O10" s="1012">
        <f ca="1">tertiair!N16</f>
        <v>433.44091856143905</v>
      </c>
      <c r="P10" s="1012">
        <f>tertiair!O16</f>
        <v>1.5633333333333335</v>
      </c>
      <c r="Q10" s="1013">
        <f>tertiair!P16</f>
        <v>19.066666666666666</v>
      </c>
      <c r="R10" s="700">
        <f ca="1">SUM(C10:Q10)</f>
        <v>24598.345701949329</v>
      </c>
      <c r="S10" s="67"/>
    </row>
    <row r="11" spans="1:19" s="473" customFormat="1">
      <c r="A11" s="809" t="s">
        <v>225</v>
      </c>
      <c r="B11" s="814"/>
      <c r="C11" s="1012">
        <f>huishoudens!B8</f>
        <v>25652.137404690344</v>
      </c>
      <c r="D11" s="1012">
        <f>huishoudens!C8</f>
        <v>0</v>
      </c>
      <c r="E11" s="1012">
        <f>huishoudens!D8</f>
        <v>36920.944643769995</v>
      </c>
      <c r="F11" s="1012">
        <f>huishoudens!E8</f>
        <v>2989.7468846371653</v>
      </c>
      <c r="G11" s="1012">
        <f>huishoudens!F8</f>
        <v>14963.122148776691</v>
      </c>
      <c r="H11" s="1012">
        <f>huishoudens!G8</f>
        <v>0</v>
      </c>
      <c r="I11" s="1012">
        <f>huishoudens!H8</f>
        <v>0</v>
      </c>
      <c r="J11" s="1012">
        <f>huishoudens!I8</f>
        <v>0</v>
      </c>
      <c r="K11" s="1012">
        <f>huishoudens!J8</f>
        <v>5983.5203373742552</v>
      </c>
      <c r="L11" s="1012">
        <f>huishoudens!K8</f>
        <v>0</v>
      </c>
      <c r="M11" s="1012">
        <f>huishoudens!L8</f>
        <v>0</v>
      </c>
      <c r="N11" s="1012">
        <f>huishoudens!M8</f>
        <v>0</v>
      </c>
      <c r="O11" s="1012">
        <f>huishoudens!N8</f>
        <v>9567.41223339106</v>
      </c>
      <c r="P11" s="1012">
        <f>huishoudens!O8</f>
        <v>272.02000000000004</v>
      </c>
      <c r="Q11" s="1013">
        <f>huishoudens!P8</f>
        <v>629.20000000000005</v>
      </c>
      <c r="R11" s="700">
        <f>SUM(C11:Q11)</f>
        <v>96978.103652639518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2399.0881960800002</v>
      </c>
      <c r="D13" s="1012">
        <f>industrie!C18</f>
        <v>0</v>
      </c>
      <c r="E13" s="1012">
        <f>industrie!D18</f>
        <v>13477.248715284421</v>
      </c>
      <c r="F13" s="1012">
        <f>industrie!E18</f>
        <v>335.38027159568105</v>
      </c>
      <c r="G13" s="1012">
        <f>industrie!F18</f>
        <v>1349.8568421812558</v>
      </c>
      <c r="H13" s="1012">
        <f>industrie!G18</f>
        <v>0</v>
      </c>
      <c r="I13" s="1012">
        <f>industrie!H18</f>
        <v>0</v>
      </c>
      <c r="J13" s="1012">
        <f>industrie!I18</f>
        <v>0</v>
      </c>
      <c r="K13" s="1012">
        <f>industrie!J18</f>
        <v>4.620075427973827</v>
      </c>
      <c r="L13" s="1012">
        <f>industrie!K18</f>
        <v>0</v>
      </c>
      <c r="M13" s="1012">
        <f>industrie!L18</f>
        <v>0</v>
      </c>
      <c r="N13" s="1012">
        <f>industrie!M18</f>
        <v>0</v>
      </c>
      <c r="O13" s="1012">
        <f>industrie!N18</f>
        <v>554.50887309544248</v>
      </c>
      <c r="P13" s="1012">
        <f>industrie!O18</f>
        <v>0</v>
      </c>
      <c r="Q13" s="1013">
        <f>industrie!P18</f>
        <v>0</v>
      </c>
      <c r="R13" s="700">
        <f>SUM(C13:Q13)</f>
        <v>18120.702973664771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38876.837455210349</v>
      </c>
      <c r="D16" s="732">
        <f t="shared" ref="D16:R16" ca="1" si="0">SUM(D9:D15)</f>
        <v>0</v>
      </c>
      <c r="E16" s="732">
        <f t="shared" ca="1" si="0"/>
        <v>60981.431487394213</v>
      </c>
      <c r="F16" s="732">
        <f t="shared" si="0"/>
        <v>3545.13283207325</v>
      </c>
      <c r="G16" s="732">
        <f t="shared" ca="1" si="0"/>
        <v>18828.398115725638</v>
      </c>
      <c r="H16" s="732">
        <f t="shared" si="0"/>
        <v>0</v>
      </c>
      <c r="I16" s="732">
        <f t="shared" si="0"/>
        <v>0</v>
      </c>
      <c r="J16" s="732">
        <f t="shared" si="0"/>
        <v>0</v>
      </c>
      <c r="K16" s="732">
        <f t="shared" si="0"/>
        <v>5988.1404128022286</v>
      </c>
      <c r="L16" s="732">
        <f t="shared" si="0"/>
        <v>0</v>
      </c>
      <c r="M16" s="732">
        <f t="shared" ca="1" si="0"/>
        <v>0</v>
      </c>
      <c r="N16" s="732">
        <f t="shared" si="0"/>
        <v>0</v>
      </c>
      <c r="O16" s="732">
        <f t="shared" ca="1" si="0"/>
        <v>10555.362025047942</v>
      </c>
      <c r="P16" s="732">
        <f t="shared" si="0"/>
        <v>273.58333333333337</v>
      </c>
      <c r="Q16" s="732">
        <f t="shared" si="0"/>
        <v>648.26666666666677</v>
      </c>
      <c r="R16" s="732">
        <f t="shared" ca="1" si="0"/>
        <v>139697.15232825361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619.81766336046405</v>
      </c>
      <c r="I19" s="1012">
        <f>transport!H54</f>
        <v>0</v>
      </c>
      <c r="J19" s="1012">
        <f>transport!I54</f>
        <v>0</v>
      </c>
      <c r="K19" s="1012">
        <f>transport!J54</f>
        <v>0</v>
      </c>
      <c r="L19" s="1012">
        <f>transport!K54</f>
        <v>0</v>
      </c>
      <c r="M19" s="1012">
        <f>transport!L54</f>
        <v>0</v>
      </c>
      <c r="N19" s="1012">
        <f>transport!M54</f>
        <v>19.225357272467217</v>
      </c>
      <c r="O19" s="1012">
        <f>transport!N54</f>
        <v>0</v>
      </c>
      <c r="P19" s="1012">
        <f>transport!O54</f>
        <v>0</v>
      </c>
      <c r="Q19" s="1013">
        <f>transport!P54</f>
        <v>0</v>
      </c>
      <c r="R19" s="700">
        <f>SUM(C19:Q19)</f>
        <v>639.0430206329313</v>
      </c>
      <c r="S19" s="67"/>
    </row>
    <row r="20" spans="1:19" s="473" customFormat="1">
      <c r="A20" s="809" t="s">
        <v>307</v>
      </c>
      <c r="B20" s="814"/>
      <c r="C20" s="1012">
        <f>transport!B14</f>
        <v>33.130298335790656</v>
      </c>
      <c r="D20" s="1012">
        <f>transport!C14</f>
        <v>0</v>
      </c>
      <c r="E20" s="1012">
        <f>transport!D14</f>
        <v>78.032531684849815</v>
      </c>
      <c r="F20" s="1012">
        <f>transport!E14</f>
        <v>336.8609767137969</v>
      </c>
      <c r="G20" s="1012">
        <f>transport!F14</f>
        <v>0</v>
      </c>
      <c r="H20" s="1012">
        <f>transport!G14</f>
        <v>141487.53223007481</v>
      </c>
      <c r="I20" s="1012">
        <f>transport!H14</f>
        <v>21382.527397830003</v>
      </c>
      <c r="J20" s="1012">
        <f>transport!I14</f>
        <v>0</v>
      </c>
      <c r="K20" s="1012">
        <f>transport!J14</f>
        <v>0</v>
      </c>
      <c r="L20" s="1012">
        <f>transport!K14</f>
        <v>0</v>
      </c>
      <c r="M20" s="1012">
        <f>transport!L14</f>
        <v>0</v>
      </c>
      <c r="N20" s="1012">
        <f>transport!M14</f>
        <v>5098.0157388841917</v>
      </c>
      <c r="O20" s="1012">
        <f>transport!N14</f>
        <v>0</v>
      </c>
      <c r="P20" s="1012">
        <f>transport!O14</f>
        <v>0</v>
      </c>
      <c r="Q20" s="1013">
        <f>transport!P14</f>
        <v>0</v>
      </c>
      <c r="R20" s="700">
        <f>SUM(C20:Q20)</f>
        <v>168416.09917352346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33.130298335790656</v>
      </c>
      <c r="D22" s="812">
        <f t="shared" ref="D22:R22" si="1">SUM(D18:D21)</f>
        <v>0</v>
      </c>
      <c r="E22" s="812">
        <f t="shared" si="1"/>
        <v>78.032531684849815</v>
      </c>
      <c r="F22" s="812">
        <f t="shared" si="1"/>
        <v>336.8609767137969</v>
      </c>
      <c r="G22" s="812">
        <f t="shared" si="1"/>
        <v>0</v>
      </c>
      <c r="H22" s="812">
        <f t="shared" si="1"/>
        <v>142107.34989343528</v>
      </c>
      <c r="I22" s="812">
        <f t="shared" si="1"/>
        <v>21382.527397830003</v>
      </c>
      <c r="J22" s="812">
        <f t="shared" si="1"/>
        <v>0</v>
      </c>
      <c r="K22" s="812">
        <f t="shared" si="1"/>
        <v>0</v>
      </c>
      <c r="L22" s="812">
        <f t="shared" si="1"/>
        <v>0</v>
      </c>
      <c r="M22" s="812">
        <f t="shared" si="1"/>
        <v>0</v>
      </c>
      <c r="N22" s="812">
        <f t="shared" si="1"/>
        <v>5117.2410961566593</v>
      </c>
      <c r="O22" s="812">
        <f t="shared" si="1"/>
        <v>0</v>
      </c>
      <c r="P22" s="812">
        <f t="shared" si="1"/>
        <v>0</v>
      </c>
      <c r="Q22" s="812">
        <f t="shared" si="1"/>
        <v>0</v>
      </c>
      <c r="R22" s="812">
        <f t="shared" si="1"/>
        <v>169055.14219415639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2194.8927951189999</v>
      </c>
      <c r="D24" s="1012">
        <f>+landbouw!C8</f>
        <v>5637.8571428571431</v>
      </c>
      <c r="E24" s="1012">
        <f>+landbouw!D8</f>
        <v>0</v>
      </c>
      <c r="F24" s="1012">
        <f>+landbouw!E8</f>
        <v>56.597857772119163</v>
      </c>
      <c r="G24" s="1012">
        <f>+landbouw!F8</f>
        <v>8022.7511631876732</v>
      </c>
      <c r="H24" s="1012">
        <f>+landbouw!G8</f>
        <v>0</v>
      </c>
      <c r="I24" s="1012">
        <f>+landbouw!H8</f>
        <v>0</v>
      </c>
      <c r="J24" s="1012">
        <f>+landbouw!I8</f>
        <v>0</v>
      </c>
      <c r="K24" s="1012">
        <f>+landbouw!J8</f>
        <v>315.98381972856748</v>
      </c>
      <c r="L24" s="1012">
        <f>+landbouw!K8</f>
        <v>0</v>
      </c>
      <c r="M24" s="1012">
        <f>+landbouw!L8</f>
        <v>0</v>
      </c>
      <c r="N24" s="1012">
        <f>+landbouw!M8</f>
        <v>0</v>
      </c>
      <c r="O24" s="1012">
        <f>+landbouw!N8</f>
        <v>0</v>
      </c>
      <c r="P24" s="1012">
        <f>+landbouw!O8</f>
        <v>0</v>
      </c>
      <c r="Q24" s="1013">
        <f>+landbouw!P8</f>
        <v>0</v>
      </c>
      <c r="R24" s="700">
        <f>SUM(C24:Q24)</f>
        <v>16228.082778664502</v>
      </c>
      <c r="S24" s="67"/>
    </row>
    <row r="25" spans="1:19" s="473" customFormat="1" ht="15" thickBot="1">
      <c r="A25" s="831" t="s">
        <v>848</v>
      </c>
      <c r="B25" s="1015"/>
      <c r="C25" s="1016">
        <f>IF(Onbekend_ele_kWh="---",0,Onbekend_ele_kWh)/1000+IF(REST_rest_ele_kWh="---",0,REST_rest_ele_kWh)/1000</f>
        <v>713.90111922999995</v>
      </c>
      <c r="D25" s="1016"/>
      <c r="E25" s="1016">
        <f>IF(onbekend_gas_kWh="---",0,onbekend_gas_kWh)/1000+IF(REST_rest_gas_kWh="---",0,REST_rest_gas_kWh)/1000</f>
        <v>822.05930799999999</v>
      </c>
      <c r="F25" s="1016"/>
      <c r="G25" s="1016"/>
      <c r="H25" s="1016"/>
      <c r="I25" s="1016"/>
      <c r="J25" s="1016"/>
      <c r="K25" s="1016"/>
      <c r="L25" s="1016"/>
      <c r="M25" s="1016"/>
      <c r="N25" s="1016"/>
      <c r="O25" s="1016"/>
      <c r="P25" s="1016"/>
      <c r="Q25" s="1017"/>
      <c r="R25" s="700">
        <f>SUM(C25:Q25)</f>
        <v>1535.9604272299998</v>
      </c>
      <c r="S25" s="67"/>
    </row>
    <row r="26" spans="1:19" s="473" customFormat="1" ht="15.75" thickBot="1">
      <c r="A26" s="705" t="s">
        <v>849</v>
      </c>
      <c r="B26" s="817"/>
      <c r="C26" s="812">
        <f>SUM(C24:C25)</f>
        <v>2908.7939143489998</v>
      </c>
      <c r="D26" s="812">
        <f t="shared" ref="D26:R26" si="2">SUM(D24:D25)</f>
        <v>5637.8571428571431</v>
      </c>
      <c r="E26" s="812">
        <f t="shared" si="2"/>
        <v>822.05930799999999</v>
      </c>
      <c r="F26" s="812">
        <f t="shared" si="2"/>
        <v>56.597857772119163</v>
      </c>
      <c r="G26" s="812">
        <f t="shared" si="2"/>
        <v>8022.7511631876732</v>
      </c>
      <c r="H26" s="812">
        <f t="shared" si="2"/>
        <v>0</v>
      </c>
      <c r="I26" s="812">
        <f t="shared" si="2"/>
        <v>0</v>
      </c>
      <c r="J26" s="812">
        <f t="shared" si="2"/>
        <v>0</v>
      </c>
      <c r="K26" s="812">
        <f t="shared" si="2"/>
        <v>315.98381972856748</v>
      </c>
      <c r="L26" s="812">
        <f t="shared" si="2"/>
        <v>0</v>
      </c>
      <c r="M26" s="812">
        <f t="shared" si="2"/>
        <v>0</v>
      </c>
      <c r="N26" s="812">
        <f t="shared" si="2"/>
        <v>0</v>
      </c>
      <c r="O26" s="812">
        <f t="shared" si="2"/>
        <v>0</v>
      </c>
      <c r="P26" s="812">
        <f t="shared" si="2"/>
        <v>0</v>
      </c>
      <c r="Q26" s="812">
        <f t="shared" si="2"/>
        <v>0</v>
      </c>
      <c r="R26" s="812">
        <f t="shared" si="2"/>
        <v>17764.043205894501</v>
      </c>
      <c r="S26" s="67"/>
    </row>
    <row r="27" spans="1:19" s="473" customFormat="1" ht="17.25" thickTop="1" thickBot="1">
      <c r="A27" s="706" t="s">
        <v>116</v>
      </c>
      <c r="B27" s="805"/>
      <c r="C27" s="707">
        <f ca="1">C22+C16+C26</f>
        <v>41818.761667895138</v>
      </c>
      <c r="D27" s="707">
        <f t="shared" ref="D27:R27" ca="1" si="3">D22+D16+D26</f>
        <v>5637.8571428571431</v>
      </c>
      <c r="E27" s="707">
        <f t="shared" ca="1" si="3"/>
        <v>61881.523327079063</v>
      </c>
      <c r="F27" s="707">
        <f t="shared" si="3"/>
        <v>3938.5916665591662</v>
      </c>
      <c r="G27" s="707">
        <f t="shared" ca="1" si="3"/>
        <v>26851.149278913312</v>
      </c>
      <c r="H27" s="707">
        <f t="shared" si="3"/>
        <v>142107.34989343528</v>
      </c>
      <c r="I27" s="707">
        <f t="shared" si="3"/>
        <v>21382.527397830003</v>
      </c>
      <c r="J27" s="707">
        <f t="shared" si="3"/>
        <v>0</v>
      </c>
      <c r="K27" s="707">
        <f t="shared" si="3"/>
        <v>6304.1242325307958</v>
      </c>
      <c r="L27" s="707">
        <f t="shared" si="3"/>
        <v>0</v>
      </c>
      <c r="M27" s="707">
        <f t="shared" ca="1" si="3"/>
        <v>0</v>
      </c>
      <c r="N27" s="707">
        <f t="shared" si="3"/>
        <v>5117.2410961566593</v>
      </c>
      <c r="O27" s="707">
        <f t="shared" ca="1" si="3"/>
        <v>10555.362025047942</v>
      </c>
      <c r="P27" s="707">
        <f t="shared" si="3"/>
        <v>273.58333333333337</v>
      </c>
      <c r="Q27" s="707">
        <f t="shared" si="3"/>
        <v>648.26666666666677</v>
      </c>
      <c r="R27" s="707">
        <f t="shared" ca="1" si="3"/>
        <v>326516.33772830456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2265.1794981434691</v>
      </c>
      <c r="D40" s="1012">
        <f ca="1">tertiair!C20</f>
        <v>0</v>
      </c>
      <c r="E40" s="1012">
        <f ca="1">tertiair!D20</f>
        <v>2137.8141019246405</v>
      </c>
      <c r="F40" s="1012">
        <f>tertiair!E20</f>
        <v>49.941288415771716</v>
      </c>
      <c r="G40" s="1012">
        <f ca="1">tertiair!F20</f>
        <v>671.61690631297358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5124.5517947968556</v>
      </c>
    </row>
    <row r="41" spans="1:18">
      <c r="A41" s="822" t="s">
        <v>225</v>
      </c>
      <c r="B41" s="829"/>
      <c r="C41" s="1012">
        <f ca="1">huishoudens!B12</f>
        <v>5367.5207012739875</v>
      </c>
      <c r="D41" s="1012">
        <f ca="1">huishoudens!C12</f>
        <v>0</v>
      </c>
      <c r="E41" s="1012">
        <f>huishoudens!D12</f>
        <v>7458.0308180415395</v>
      </c>
      <c r="F41" s="1012">
        <f>huishoudens!E12</f>
        <v>678.67254281263649</v>
      </c>
      <c r="G41" s="1012">
        <f>huishoudens!F12</f>
        <v>3995.1536137233766</v>
      </c>
      <c r="H41" s="1012">
        <f>huishoudens!G12</f>
        <v>0</v>
      </c>
      <c r="I41" s="1012">
        <f>huishoudens!H12</f>
        <v>0</v>
      </c>
      <c r="J41" s="1012">
        <f>huishoudens!I12</f>
        <v>0</v>
      </c>
      <c r="K41" s="1012">
        <f>huishoudens!J12</f>
        <v>2118.1661994304864</v>
      </c>
      <c r="L41" s="1012">
        <f>huishoudens!K12</f>
        <v>0</v>
      </c>
      <c r="M41" s="1012">
        <f>huishoudens!L12</f>
        <v>0</v>
      </c>
      <c r="N41" s="1012">
        <f>huishoudens!M12</f>
        <v>0</v>
      </c>
      <c r="O41" s="1012">
        <f>huishoudens!N12</f>
        <v>0</v>
      </c>
      <c r="P41" s="1012">
        <f>huishoudens!O12</f>
        <v>0</v>
      </c>
      <c r="Q41" s="774">
        <f>huishoudens!P12</f>
        <v>0</v>
      </c>
      <c r="R41" s="850">
        <f t="shared" ca="1" si="4"/>
        <v>19617.543875282026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501.99152427302039</v>
      </c>
      <c r="D43" s="1012">
        <f ca="1">industrie!C22</f>
        <v>0</v>
      </c>
      <c r="E43" s="1012">
        <f>industrie!D22</f>
        <v>2722.4042404874531</v>
      </c>
      <c r="F43" s="1012">
        <f>industrie!E22</f>
        <v>76.131321652219597</v>
      </c>
      <c r="G43" s="1012">
        <f>industrie!F22</f>
        <v>360.41177686239536</v>
      </c>
      <c r="H43" s="1012">
        <f>industrie!G22</f>
        <v>0</v>
      </c>
      <c r="I43" s="1012">
        <f>industrie!H22</f>
        <v>0</v>
      </c>
      <c r="J43" s="1012">
        <f>industrie!I22</f>
        <v>0</v>
      </c>
      <c r="K43" s="1012">
        <f>industrie!J22</f>
        <v>1.6355067015027347</v>
      </c>
      <c r="L43" s="1012">
        <f>industrie!K22</f>
        <v>0</v>
      </c>
      <c r="M43" s="1012">
        <f>industrie!L22</f>
        <v>0</v>
      </c>
      <c r="N43" s="1012">
        <f>industrie!M22</f>
        <v>0</v>
      </c>
      <c r="O43" s="1012">
        <f>industrie!N22</f>
        <v>0</v>
      </c>
      <c r="P43" s="1012">
        <f>industrie!O22</f>
        <v>0</v>
      </c>
      <c r="Q43" s="774">
        <f>industrie!P22</f>
        <v>0</v>
      </c>
      <c r="R43" s="849">
        <f t="shared" ca="1" si="4"/>
        <v>3662.5743699765912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8134.6917236904774</v>
      </c>
      <c r="D46" s="732">
        <f t="shared" ref="D46:Q46" ca="1" si="5">SUM(D39:D45)</f>
        <v>0</v>
      </c>
      <c r="E46" s="732">
        <f t="shared" ca="1" si="5"/>
        <v>12318.249160453634</v>
      </c>
      <c r="F46" s="732">
        <f t="shared" si="5"/>
        <v>804.74515288062787</v>
      </c>
      <c r="G46" s="732">
        <f t="shared" ca="1" si="5"/>
        <v>5027.1822968987453</v>
      </c>
      <c r="H46" s="732">
        <f t="shared" si="5"/>
        <v>0</v>
      </c>
      <c r="I46" s="732">
        <f t="shared" si="5"/>
        <v>0</v>
      </c>
      <c r="J46" s="732">
        <f t="shared" si="5"/>
        <v>0</v>
      </c>
      <c r="K46" s="732">
        <f t="shared" si="5"/>
        <v>2119.8017061319892</v>
      </c>
      <c r="L46" s="732">
        <f t="shared" si="5"/>
        <v>0</v>
      </c>
      <c r="M46" s="732">
        <f t="shared" ca="1" si="5"/>
        <v>0</v>
      </c>
      <c r="N46" s="732">
        <f t="shared" si="5"/>
        <v>0</v>
      </c>
      <c r="O46" s="732">
        <f t="shared" ca="1" si="5"/>
        <v>0</v>
      </c>
      <c r="P46" s="732">
        <f t="shared" si="5"/>
        <v>0</v>
      </c>
      <c r="Q46" s="732">
        <f t="shared" si="5"/>
        <v>0</v>
      </c>
      <c r="R46" s="732">
        <f ca="1">SUM(R39:R45)</f>
        <v>28404.670040055473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165.49131611724391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165.49131611724391</v>
      </c>
    </row>
    <row r="50" spans="1:18">
      <c r="A50" s="825" t="s">
        <v>307</v>
      </c>
      <c r="B50" s="835"/>
      <c r="C50" s="703">
        <f ca="1">transport!B18</f>
        <v>6.9322707636917906</v>
      </c>
      <c r="D50" s="703">
        <f>transport!C18</f>
        <v>0</v>
      </c>
      <c r="E50" s="703">
        <f>transport!D18</f>
        <v>15.762571400339663</v>
      </c>
      <c r="F50" s="703">
        <f>transport!E18</f>
        <v>76.467441714031892</v>
      </c>
      <c r="G50" s="703">
        <f>transport!F18</f>
        <v>0</v>
      </c>
      <c r="H50" s="703">
        <f>transport!G18</f>
        <v>37777.171105429974</v>
      </c>
      <c r="I50" s="703">
        <f>transport!H18</f>
        <v>5324.2493220596707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43200.582711367708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6.9322707636917906</v>
      </c>
      <c r="D52" s="732">
        <f t="shared" ref="D52:Q52" ca="1" si="6">SUM(D48:D51)</f>
        <v>0</v>
      </c>
      <c r="E52" s="732">
        <f t="shared" si="6"/>
        <v>15.762571400339663</v>
      </c>
      <c r="F52" s="732">
        <f t="shared" si="6"/>
        <v>76.467441714031892</v>
      </c>
      <c r="G52" s="732">
        <f t="shared" si="6"/>
        <v>0</v>
      </c>
      <c r="H52" s="732">
        <f t="shared" si="6"/>
        <v>37942.662421547218</v>
      </c>
      <c r="I52" s="732">
        <f t="shared" si="6"/>
        <v>5324.2493220596707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43366.074027484952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459.26514149749738</v>
      </c>
      <c r="D54" s="703">
        <f ca="1">+landbouw!C12</f>
        <v>1339.8201680672271</v>
      </c>
      <c r="E54" s="703">
        <f>+landbouw!D12</f>
        <v>0</v>
      </c>
      <c r="F54" s="703">
        <f>+landbouw!E12</f>
        <v>12.84771371427105</v>
      </c>
      <c r="G54" s="703">
        <f>+landbouw!F12</f>
        <v>2142.074560571109</v>
      </c>
      <c r="H54" s="703">
        <f>+landbouw!G12</f>
        <v>0</v>
      </c>
      <c r="I54" s="703">
        <f>+landbouw!H12</f>
        <v>0</v>
      </c>
      <c r="J54" s="703">
        <f>+landbouw!I12</f>
        <v>0</v>
      </c>
      <c r="K54" s="703">
        <f>+landbouw!J12</f>
        <v>111.85827218391289</v>
      </c>
      <c r="L54" s="703">
        <f>+landbouw!K12</f>
        <v>0</v>
      </c>
      <c r="M54" s="703">
        <f>+landbouw!L12</f>
        <v>0</v>
      </c>
      <c r="N54" s="703">
        <f>+landbouw!M12</f>
        <v>0</v>
      </c>
      <c r="O54" s="703">
        <f>+landbouw!N12</f>
        <v>0</v>
      </c>
      <c r="P54" s="703">
        <f>+landbouw!O12</f>
        <v>0</v>
      </c>
      <c r="Q54" s="704">
        <f>+landbouw!P12</f>
        <v>0</v>
      </c>
      <c r="R54" s="731">
        <f ca="1">SUM(C54:Q54)</f>
        <v>4065.8658560340173</v>
      </c>
    </row>
    <row r="55" spans="1:18" ht="15" thickBot="1">
      <c r="A55" s="825" t="s">
        <v>848</v>
      </c>
      <c r="B55" s="835"/>
      <c r="C55" s="703">
        <f ca="1">C25*'EF ele_warmte'!B12</f>
        <v>149.37854790334379</v>
      </c>
      <c r="D55" s="703"/>
      <c r="E55" s="703">
        <f>E25*EF_CO2_aardgas</f>
        <v>166.05598021599999</v>
      </c>
      <c r="F55" s="703"/>
      <c r="G55" s="703"/>
      <c r="H55" s="703"/>
      <c r="I55" s="703"/>
      <c r="J55" s="703"/>
      <c r="K55" s="703"/>
      <c r="L55" s="703"/>
      <c r="M55" s="703"/>
      <c r="N55" s="703"/>
      <c r="O55" s="703"/>
      <c r="P55" s="703"/>
      <c r="Q55" s="704"/>
      <c r="R55" s="731">
        <f ca="1">SUM(C55:Q55)</f>
        <v>315.43452811934378</v>
      </c>
    </row>
    <row r="56" spans="1:18" ht="15.75" thickBot="1">
      <c r="A56" s="823" t="s">
        <v>849</v>
      </c>
      <c r="B56" s="836"/>
      <c r="C56" s="732">
        <f ca="1">SUM(C54:C55)</f>
        <v>608.64368940084114</v>
      </c>
      <c r="D56" s="732">
        <f t="shared" ref="D56:Q56" ca="1" si="7">SUM(D54:D55)</f>
        <v>1339.8201680672271</v>
      </c>
      <c r="E56" s="732">
        <f t="shared" si="7"/>
        <v>166.05598021599999</v>
      </c>
      <c r="F56" s="732">
        <f t="shared" si="7"/>
        <v>12.84771371427105</v>
      </c>
      <c r="G56" s="732">
        <f t="shared" si="7"/>
        <v>2142.074560571109</v>
      </c>
      <c r="H56" s="732">
        <f t="shared" si="7"/>
        <v>0</v>
      </c>
      <c r="I56" s="732">
        <f t="shared" si="7"/>
        <v>0</v>
      </c>
      <c r="J56" s="732">
        <f t="shared" si="7"/>
        <v>0</v>
      </c>
      <c r="K56" s="732">
        <f t="shared" si="7"/>
        <v>111.85827218391289</v>
      </c>
      <c r="L56" s="732">
        <f t="shared" si="7"/>
        <v>0</v>
      </c>
      <c r="M56" s="732">
        <f t="shared" si="7"/>
        <v>0</v>
      </c>
      <c r="N56" s="732">
        <f t="shared" si="7"/>
        <v>0</v>
      </c>
      <c r="O56" s="732">
        <f t="shared" si="7"/>
        <v>0</v>
      </c>
      <c r="P56" s="732">
        <f t="shared" si="7"/>
        <v>0</v>
      </c>
      <c r="Q56" s="733">
        <f t="shared" si="7"/>
        <v>0</v>
      </c>
      <c r="R56" s="734">
        <f ca="1">SUM(R54:R55)</f>
        <v>4381.3003841533609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8750.2676838550105</v>
      </c>
      <c r="D61" s="740">
        <f t="shared" ref="D61:Q61" ca="1" si="8">D46+D52+D56</f>
        <v>1339.8201680672271</v>
      </c>
      <c r="E61" s="740">
        <f t="shared" ca="1" si="8"/>
        <v>12500.067712069973</v>
      </c>
      <c r="F61" s="740">
        <f t="shared" si="8"/>
        <v>894.06030830893087</v>
      </c>
      <c r="G61" s="740">
        <f t="shared" ca="1" si="8"/>
        <v>7169.2568574698544</v>
      </c>
      <c r="H61" s="740">
        <f t="shared" si="8"/>
        <v>37942.662421547218</v>
      </c>
      <c r="I61" s="740">
        <f t="shared" si="8"/>
        <v>5324.2493220596707</v>
      </c>
      <c r="J61" s="740">
        <f t="shared" si="8"/>
        <v>0</v>
      </c>
      <c r="K61" s="740">
        <f t="shared" si="8"/>
        <v>2231.6599783159022</v>
      </c>
      <c r="L61" s="740">
        <f t="shared" si="8"/>
        <v>0</v>
      </c>
      <c r="M61" s="740">
        <f t="shared" ca="1" si="8"/>
        <v>0</v>
      </c>
      <c r="N61" s="740">
        <f t="shared" si="8"/>
        <v>0</v>
      </c>
      <c r="O61" s="740">
        <f t="shared" ca="1" si="8"/>
        <v>0</v>
      </c>
      <c r="P61" s="740">
        <f t="shared" si="8"/>
        <v>0</v>
      </c>
      <c r="Q61" s="740">
        <f t="shared" si="8"/>
        <v>0</v>
      </c>
      <c r="R61" s="740">
        <f ca="1">R46+R52+R56</f>
        <v>76152.044451693786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0.20924263021811848</v>
      </c>
      <c r="D63" s="781">
        <f t="shared" ca="1" si="9"/>
        <v>0.23764705882352943</v>
      </c>
      <c r="E63" s="1023">
        <f t="shared" ca="1" si="9"/>
        <v>0.20200000000000004</v>
      </c>
      <c r="F63" s="781">
        <f t="shared" si="9"/>
        <v>0.22700000000000004</v>
      </c>
      <c r="G63" s="781">
        <f t="shared" ca="1" si="9"/>
        <v>0.26700000000000002</v>
      </c>
      <c r="H63" s="781">
        <f t="shared" si="9"/>
        <v>0.26699999999999996</v>
      </c>
      <c r="I63" s="781">
        <f t="shared" si="9"/>
        <v>0.249</v>
      </c>
      <c r="J63" s="781">
        <f t="shared" si="9"/>
        <v>0</v>
      </c>
      <c r="K63" s="781">
        <f t="shared" si="9"/>
        <v>0.35400000000000009</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2522.0645357324588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3946.5</v>
      </c>
      <c r="D76" s="1033">
        <f>'lokale energieproductie'!C8</f>
        <v>4642.9411764705883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937.87411764705894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2522.0645357324588</v>
      </c>
      <c r="C78" s="755">
        <f>SUM(C72:C77)</f>
        <v>3946.5</v>
      </c>
      <c r="D78" s="756">
        <f t="shared" ref="D78:H78" si="10">SUM(D76:D77)</f>
        <v>4642.9411764705883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937.87411764705894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5637.8571428571431</v>
      </c>
      <c r="D87" s="777">
        <f>'lokale energieproductie'!C17</f>
        <v>6632.7731092436979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1339.8201680672271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5637.8571428571431</v>
      </c>
      <c r="D90" s="755">
        <f t="shared" ref="D90:H90" si="12">SUM(D87:D89)</f>
        <v>6632.7731092436979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1339.8201680672271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25652.137404690344</v>
      </c>
      <c r="C4" s="477">
        <f>huishoudens!C8</f>
        <v>0</v>
      </c>
      <c r="D4" s="477">
        <f>huishoudens!D8</f>
        <v>36920.944643769995</v>
      </c>
      <c r="E4" s="477">
        <f>huishoudens!E8</f>
        <v>2989.7468846371653</v>
      </c>
      <c r="F4" s="477">
        <f>huishoudens!F8</f>
        <v>14963.122148776691</v>
      </c>
      <c r="G4" s="477">
        <f>huishoudens!G8</f>
        <v>0</v>
      </c>
      <c r="H4" s="477">
        <f>huishoudens!H8</f>
        <v>0</v>
      </c>
      <c r="I4" s="477">
        <f>huishoudens!I8</f>
        <v>0</v>
      </c>
      <c r="J4" s="477">
        <f>huishoudens!J8</f>
        <v>5983.5203373742552</v>
      </c>
      <c r="K4" s="477">
        <f>huishoudens!K8</f>
        <v>0</v>
      </c>
      <c r="L4" s="477">
        <f>huishoudens!L8</f>
        <v>0</v>
      </c>
      <c r="M4" s="477">
        <f>huishoudens!M8</f>
        <v>0</v>
      </c>
      <c r="N4" s="477">
        <f>huishoudens!N8</f>
        <v>9567.41223339106</v>
      </c>
      <c r="O4" s="477">
        <f>huishoudens!O8</f>
        <v>272.02000000000004</v>
      </c>
      <c r="P4" s="478">
        <f>huishoudens!P8</f>
        <v>629.20000000000005</v>
      </c>
      <c r="Q4" s="479">
        <f>SUM(B4:P4)</f>
        <v>96978.103652639518</v>
      </c>
    </row>
    <row r="5" spans="1:17">
      <c r="A5" s="476" t="s">
        <v>156</v>
      </c>
      <c r="B5" s="477">
        <f ca="1">tertiair!B16</f>
        <v>9854.3388544400004</v>
      </c>
      <c r="C5" s="477">
        <f ca="1">tertiair!C16</f>
        <v>0</v>
      </c>
      <c r="D5" s="477">
        <f ca="1">tertiair!D16</f>
        <v>10583.238128339803</v>
      </c>
      <c r="E5" s="477">
        <f>tertiair!E16</f>
        <v>220.00567584040402</v>
      </c>
      <c r="F5" s="477">
        <f ca="1">tertiair!F16</f>
        <v>2515.4191247676913</v>
      </c>
      <c r="G5" s="477">
        <f>tertiair!G16</f>
        <v>0</v>
      </c>
      <c r="H5" s="477">
        <f>tertiair!H16</f>
        <v>0</v>
      </c>
      <c r="I5" s="477">
        <f>tertiair!I16</f>
        <v>0</v>
      </c>
      <c r="J5" s="477">
        <f>tertiair!J16</f>
        <v>0</v>
      </c>
      <c r="K5" s="477">
        <f>tertiair!K16</f>
        <v>0</v>
      </c>
      <c r="L5" s="477">
        <f ca="1">tertiair!L16</f>
        <v>0</v>
      </c>
      <c r="M5" s="477">
        <f>tertiair!M16</f>
        <v>0</v>
      </c>
      <c r="N5" s="477">
        <f ca="1">tertiair!N16</f>
        <v>433.44091856143905</v>
      </c>
      <c r="O5" s="477">
        <f>tertiair!O16</f>
        <v>1.5633333333333335</v>
      </c>
      <c r="P5" s="478">
        <f>tertiair!P16</f>
        <v>19.066666666666666</v>
      </c>
      <c r="Q5" s="476">
        <f t="shared" ref="Q5:Q14" ca="1" si="0">SUM(B5:P5)</f>
        <v>23627.072701949332</v>
      </c>
    </row>
    <row r="6" spans="1:17">
      <c r="A6" s="476" t="s">
        <v>194</v>
      </c>
      <c r="B6" s="477">
        <f>'openbare verlichting'!B8</f>
        <v>971.27300000000002</v>
      </c>
      <c r="C6" s="477"/>
      <c r="D6" s="477"/>
      <c r="E6" s="477"/>
      <c r="F6" s="477"/>
      <c r="G6" s="477"/>
      <c r="H6" s="477"/>
      <c r="I6" s="477"/>
      <c r="J6" s="477"/>
      <c r="K6" s="477"/>
      <c r="L6" s="477"/>
      <c r="M6" s="477"/>
      <c r="N6" s="477"/>
      <c r="O6" s="477"/>
      <c r="P6" s="478"/>
      <c r="Q6" s="476">
        <f t="shared" si="0"/>
        <v>971.27300000000002</v>
      </c>
    </row>
    <row r="7" spans="1:17">
      <c r="A7" s="476" t="s">
        <v>112</v>
      </c>
      <c r="B7" s="477">
        <f>landbouw!B8</f>
        <v>2194.8927951189999</v>
      </c>
      <c r="C7" s="477">
        <f>landbouw!C8</f>
        <v>5637.8571428571431</v>
      </c>
      <c r="D7" s="477">
        <f>landbouw!D8</f>
        <v>0</v>
      </c>
      <c r="E7" s="477">
        <f>landbouw!E8</f>
        <v>56.597857772119163</v>
      </c>
      <c r="F7" s="477">
        <f>landbouw!F8</f>
        <v>8022.7511631876732</v>
      </c>
      <c r="G7" s="477">
        <f>landbouw!G8</f>
        <v>0</v>
      </c>
      <c r="H7" s="477">
        <f>landbouw!H8</f>
        <v>0</v>
      </c>
      <c r="I7" s="477">
        <f>landbouw!I8</f>
        <v>0</v>
      </c>
      <c r="J7" s="477">
        <f>landbouw!J8</f>
        <v>315.98381972856748</v>
      </c>
      <c r="K7" s="477">
        <f>landbouw!K8</f>
        <v>0</v>
      </c>
      <c r="L7" s="477">
        <f>landbouw!L8</f>
        <v>0</v>
      </c>
      <c r="M7" s="477">
        <f>landbouw!M8</f>
        <v>0</v>
      </c>
      <c r="N7" s="477">
        <f>landbouw!N8</f>
        <v>0</v>
      </c>
      <c r="O7" s="477">
        <f>landbouw!O8</f>
        <v>0</v>
      </c>
      <c r="P7" s="478">
        <f>landbouw!P8</f>
        <v>0</v>
      </c>
      <c r="Q7" s="476">
        <f t="shared" si="0"/>
        <v>16228.082778664502</v>
      </c>
    </row>
    <row r="8" spans="1:17">
      <c r="A8" s="476" t="s">
        <v>638</v>
      </c>
      <c r="B8" s="477">
        <f>industrie!B18</f>
        <v>2399.0881960800002</v>
      </c>
      <c r="C8" s="477">
        <f>industrie!C18</f>
        <v>0</v>
      </c>
      <c r="D8" s="477">
        <f>industrie!D18</f>
        <v>13477.248715284421</v>
      </c>
      <c r="E8" s="477">
        <f>industrie!E18</f>
        <v>335.38027159568105</v>
      </c>
      <c r="F8" s="477">
        <f>industrie!F18</f>
        <v>1349.8568421812558</v>
      </c>
      <c r="G8" s="477">
        <f>industrie!G18</f>
        <v>0</v>
      </c>
      <c r="H8" s="477">
        <f>industrie!H18</f>
        <v>0</v>
      </c>
      <c r="I8" s="477">
        <f>industrie!I18</f>
        <v>0</v>
      </c>
      <c r="J8" s="477">
        <f>industrie!J18</f>
        <v>4.620075427973827</v>
      </c>
      <c r="K8" s="477">
        <f>industrie!K18</f>
        <v>0</v>
      </c>
      <c r="L8" s="477">
        <f>industrie!L18</f>
        <v>0</v>
      </c>
      <c r="M8" s="477">
        <f>industrie!M18</f>
        <v>0</v>
      </c>
      <c r="N8" s="477">
        <f>industrie!N18</f>
        <v>554.50887309544248</v>
      </c>
      <c r="O8" s="477">
        <f>industrie!O18</f>
        <v>0</v>
      </c>
      <c r="P8" s="478">
        <f>industrie!P18</f>
        <v>0</v>
      </c>
      <c r="Q8" s="476">
        <f t="shared" si="0"/>
        <v>18120.702973664771</v>
      </c>
    </row>
    <row r="9" spans="1:17" s="482" customFormat="1">
      <c r="A9" s="480" t="s">
        <v>564</v>
      </c>
      <c r="B9" s="481">
        <f>transport!B14</f>
        <v>33.130298335790656</v>
      </c>
      <c r="C9" s="481">
        <f>transport!C14</f>
        <v>0</v>
      </c>
      <c r="D9" s="481">
        <f>transport!D14</f>
        <v>78.032531684849815</v>
      </c>
      <c r="E9" s="481">
        <f>transport!E14</f>
        <v>336.8609767137969</v>
      </c>
      <c r="F9" s="481">
        <f>transport!F14</f>
        <v>0</v>
      </c>
      <c r="G9" s="481">
        <f>transport!G14</f>
        <v>141487.53223007481</v>
      </c>
      <c r="H9" s="481">
        <f>transport!H14</f>
        <v>21382.527397830003</v>
      </c>
      <c r="I9" s="481">
        <f>transport!I14</f>
        <v>0</v>
      </c>
      <c r="J9" s="481">
        <f>transport!J14</f>
        <v>0</v>
      </c>
      <c r="K9" s="481">
        <f>transport!K14</f>
        <v>0</v>
      </c>
      <c r="L9" s="481">
        <f>transport!L14</f>
        <v>0</v>
      </c>
      <c r="M9" s="481">
        <f>transport!M14</f>
        <v>5098.0157388841917</v>
      </c>
      <c r="N9" s="481">
        <f>transport!N14</f>
        <v>0</v>
      </c>
      <c r="O9" s="481">
        <f>transport!O14</f>
        <v>0</v>
      </c>
      <c r="P9" s="481">
        <f>transport!P14</f>
        <v>0</v>
      </c>
      <c r="Q9" s="480">
        <f>SUM(B9:P9)</f>
        <v>168416.09917352346</v>
      </c>
    </row>
    <row r="10" spans="1:17">
      <c r="A10" s="476" t="s">
        <v>554</v>
      </c>
      <c r="B10" s="477">
        <f>transport!B54</f>
        <v>0</v>
      </c>
      <c r="C10" s="477">
        <f>transport!C54</f>
        <v>0</v>
      </c>
      <c r="D10" s="477">
        <f>transport!D54</f>
        <v>0</v>
      </c>
      <c r="E10" s="477">
        <f>transport!E54</f>
        <v>0</v>
      </c>
      <c r="F10" s="477">
        <f>transport!F54</f>
        <v>0</v>
      </c>
      <c r="G10" s="477">
        <f>transport!G54</f>
        <v>619.81766336046405</v>
      </c>
      <c r="H10" s="477">
        <f>transport!H54</f>
        <v>0</v>
      </c>
      <c r="I10" s="477">
        <f>transport!I54</f>
        <v>0</v>
      </c>
      <c r="J10" s="477">
        <f>transport!J54</f>
        <v>0</v>
      </c>
      <c r="K10" s="477">
        <f>transport!K54</f>
        <v>0</v>
      </c>
      <c r="L10" s="477">
        <f>transport!L54</f>
        <v>0</v>
      </c>
      <c r="M10" s="477">
        <f>transport!M54</f>
        <v>19.225357272467217</v>
      </c>
      <c r="N10" s="477">
        <f>transport!N54</f>
        <v>0</v>
      </c>
      <c r="O10" s="477">
        <f>transport!O54</f>
        <v>0</v>
      </c>
      <c r="P10" s="478">
        <f>transport!P54</f>
        <v>0</v>
      </c>
      <c r="Q10" s="476">
        <f t="shared" si="0"/>
        <v>639.0430206329313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713.90111922999995</v>
      </c>
      <c r="C14" s="484"/>
      <c r="D14" s="484">
        <f>'SEAP template'!E25</f>
        <v>822.05930799999999</v>
      </c>
      <c r="E14" s="484"/>
      <c r="F14" s="484"/>
      <c r="G14" s="484"/>
      <c r="H14" s="484"/>
      <c r="I14" s="484"/>
      <c r="J14" s="484"/>
      <c r="K14" s="484"/>
      <c r="L14" s="484"/>
      <c r="M14" s="484"/>
      <c r="N14" s="484"/>
      <c r="O14" s="484"/>
      <c r="P14" s="485"/>
      <c r="Q14" s="476">
        <f t="shared" si="0"/>
        <v>1535.9604272299998</v>
      </c>
    </row>
    <row r="15" spans="1:17" s="486" customFormat="1">
      <c r="A15" s="1038" t="s">
        <v>558</v>
      </c>
      <c r="B15" s="978">
        <f ca="1">SUM(B4:B14)</f>
        <v>41818.761667895138</v>
      </c>
      <c r="C15" s="978">
        <f t="shared" ref="C15:Q15" ca="1" si="1">SUM(C4:C14)</f>
        <v>5637.8571428571431</v>
      </c>
      <c r="D15" s="978">
        <f t="shared" ca="1" si="1"/>
        <v>61881.523327079063</v>
      </c>
      <c r="E15" s="978">
        <f t="shared" si="1"/>
        <v>3938.5916665591667</v>
      </c>
      <c r="F15" s="978">
        <f t="shared" ca="1" si="1"/>
        <v>26851.149278913312</v>
      </c>
      <c r="G15" s="978">
        <f t="shared" si="1"/>
        <v>142107.34989343528</v>
      </c>
      <c r="H15" s="978">
        <f t="shared" si="1"/>
        <v>21382.527397830003</v>
      </c>
      <c r="I15" s="978">
        <f t="shared" si="1"/>
        <v>0</v>
      </c>
      <c r="J15" s="978">
        <f t="shared" si="1"/>
        <v>6304.1242325307958</v>
      </c>
      <c r="K15" s="978">
        <f t="shared" si="1"/>
        <v>0</v>
      </c>
      <c r="L15" s="978">
        <f t="shared" ca="1" si="1"/>
        <v>0</v>
      </c>
      <c r="M15" s="978">
        <f t="shared" si="1"/>
        <v>5117.2410961566593</v>
      </c>
      <c r="N15" s="978">
        <f t="shared" ca="1" si="1"/>
        <v>10555.362025047942</v>
      </c>
      <c r="O15" s="978">
        <f t="shared" si="1"/>
        <v>273.58333333333337</v>
      </c>
      <c r="P15" s="978">
        <f t="shared" si="1"/>
        <v>648.26666666666677</v>
      </c>
      <c r="Q15" s="978">
        <f t="shared" ca="1" si="1"/>
        <v>326516.3377283045</v>
      </c>
    </row>
    <row r="17" spans="1:17">
      <c r="A17" s="487" t="s">
        <v>559</v>
      </c>
      <c r="B17" s="786">
        <f ca="1">huishoudens!B10</f>
        <v>0.20924263021811848</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5367.5207012739875</v>
      </c>
      <c r="C22" s="477">
        <f t="shared" ref="C22:C32" ca="1" si="3">C4*$C$17</f>
        <v>0</v>
      </c>
      <c r="D22" s="477">
        <f t="shared" ref="D22:D32" si="4">D4*$D$17</f>
        <v>7458.0308180415395</v>
      </c>
      <c r="E22" s="477">
        <f t="shared" ref="E22:E32" si="5">E4*$E$17</f>
        <v>678.67254281263649</v>
      </c>
      <c r="F22" s="477">
        <f t="shared" ref="F22:F32" si="6">F4*$F$17</f>
        <v>3995.1536137233766</v>
      </c>
      <c r="G22" s="477">
        <f t="shared" ref="G22:G32" si="7">G4*$G$17</f>
        <v>0</v>
      </c>
      <c r="H22" s="477">
        <f t="shared" ref="H22:H32" si="8">H4*$H$17</f>
        <v>0</v>
      </c>
      <c r="I22" s="477">
        <f t="shared" ref="I22:I32" si="9">I4*$I$17</f>
        <v>0</v>
      </c>
      <c r="J22" s="477">
        <f t="shared" ref="J22:J32" si="10">J4*$J$17</f>
        <v>2118.1661994304864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19617.543875282026</v>
      </c>
    </row>
    <row r="23" spans="1:17">
      <c r="A23" s="476" t="s">
        <v>156</v>
      </c>
      <c r="B23" s="477">
        <f t="shared" ca="1" si="2"/>
        <v>2061.9477809636264</v>
      </c>
      <c r="C23" s="477">
        <f t="shared" ca="1" si="3"/>
        <v>0</v>
      </c>
      <c r="D23" s="477">
        <f t="shared" ca="1" si="4"/>
        <v>2137.8141019246405</v>
      </c>
      <c r="E23" s="477">
        <f t="shared" si="5"/>
        <v>49.941288415771716</v>
      </c>
      <c r="F23" s="477">
        <f t="shared" ca="1" si="6"/>
        <v>671.61690631297358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4921.3200776170124</v>
      </c>
    </row>
    <row r="24" spans="1:17">
      <c r="A24" s="476" t="s">
        <v>194</v>
      </c>
      <c r="B24" s="477">
        <f t="shared" ca="1" si="2"/>
        <v>203.2317171798426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203.2317171798426</v>
      </c>
    </row>
    <row r="25" spans="1:17">
      <c r="A25" s="476" t="s">
        <v>112</v>
      </c>
      <c r="B25" s="477">
        <f t="shared" ca="1" si="2"/>
        <v>459.26514149749738</v>
      </c>
      <c r="C25" s="477">
        <f t="shared" ca="1" si="3"/>
        <v>1339.8201680672271</v>
      </c>
      <c r="D25" s="477">
        <f t="shared" si="4"/>
        <v>0</v>
      </c>
      <c r="E25" s="477">
        <f t="shared" si="5"/>
        <v>12.84771371427105</v>
      </c>
      <c r="F25" s="477">
        <f t="shared" si="6"/>
        <v>2142.074560571109</v>
      </c>
      <c r="G25" s="477">
        <f t="shared" si="7"/>
        <v>0</v>
      </c>
      <c r="H25" s="477">
        <f t="shared" si="8"/>
        <v>0</v>
      </c>
      <c r="I25" s="477">
        <f t="shared" si="9"/>
        <v>0</v>
      </c>
      <c r="J25" s="477">
        <f t="shared" si="10"/>
        <v>111.85827218391289</v>
      </c>
      <c r="K25" s="477">
        <f t="shared" si="11"/>
        <v>0</v>
      </c>
      <c r="L25" s="477">
        <f t="shared" si="12"/>
        <v>0</v>
      </c>
      <c r="M25" s="477">
        <f t="shared" si="13"/>
        <v>0</v>
      </c>
      <c r="N25" s="477">
        <f t="shared" si="14"/>
        <v>0</v>
      </c>
      <c r="O25" s="477">
        <f t="shared" si="15"/>
        <v>0</v>
      </c>
      <c r="P25" s="478">
        <f t="shared" si="16"/>
        <v>0</v>
      </c>
      <c r="Q25" s="476">
        <f t="shared" ca="1" si="17"/>
        <v>4065.8658560340173</v>
      </c>
    </row>
    <row r="26" spans="1:17">
      <c r="A26" s="476" t="s">
        <v>638</v>
      </c>
      <c r="B26" s="477">
        <f t="shared" ca="1" si="2"/>
        <v>501.99152427302039</v>
      </c>
      <c r="C26" s="477">
        <f t="shared" ca="1" si="3"/>
        <v>0</v>
      </c>
      <c r="D26" s="477">
        <f t="shared" si="4"/>
        <v>2722.4042404874531</v>
      </c>
      <c r="E26" s="477">
        <f t="shared" si="5"/>
        <v>76.131321652219597</v>
      </c>
      <c r="F26" s="477">
        <f t="shared" si="6"/>
        <v>360.41177686239536</v>
      </c>
      <c r="G26" s="477">
        <f t="shared" si="7"/>
        <v>0</v>
      </c>
      <c r="H26" s="477">
        <f t="shared" si="8"/>
        <v>0</v>
      </c>
      <c r="I26" s="477">
        <f t="shared" si="9"/>
        <v>0</v>
      </c>
      <c r="J26" s="477">
        <f t="shared" si="10"/>
        <v>1.6355067015027347</v>
      </c>
      <c r="K26" s="477">
        <f t="shared" si="11"/>
        <v>0</v>
      </c>
      <c r="L26" s="477">
        <f t="shared" si="12"/>
        <v>0</v>
      </c>
      <c r="M26" s="477">
        <f t="shared" si="13"/>
        <v>0</v>
      </c>
      <c r="N26" s="477">
        <f t="shared" si="14"/>
        <v>0</v>
      </c>
      <c r="O26" s="477">
        <f t="shared" si="15"/>
        <v>0</v>
      </c>
      <c r="P26" s="478">
        <f t="shared" si="16"/>
        <v>0</v>
      </c>
      <c r="Q26" s="476">
        <f t="shared" ca="1" si="17"/>
        <v>3662.5743699765912</v>
      </c>
    </row>
    <row r="27" spans="1:17" s="482" customFormat="1">
      <c r="A27" s="480" t="s">
        <v>564</v>
      </c>
      <c r="B27" s="780">
        <f t="shared" ca="1" si="2"/>
        <v>6.9322707636917906</v>
      </c>
      <c r="C27" s="481">
        <f t="shared" ca="1" si="3"/>
        <v>0</v>
      </c>
      <c r="D27" s="481">
        <f t="shared" si="4"/>
        <v>15.762571400339663</v>
      </c>
      <c r="E27" s="481">
        <f t="shared" si="5"/>
        <v>76.467441714031892</v>
      </c>
      <c r="F27" s="481">
        <f t="shared" si="6"/>
        <v>0</v>
      </c>
      <c r="G27" s="481">
        <f t="shared" si="7"/>
        <v>37777.171105429974</v>
      </c>
      <c r="H27" s="481">
        <f t="shared" si="8"/>
        <v>5324.2493220596707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43200.582711367708</v>
      </c>
    </row>
    <row r="28" spans="1:17">
      <c r="A28" s="476" t="s">
        <v>554</v>
      </c>
      <c r="B28" s="477">
        <f t="shared" ca="1" si="2"/>
        <v>0</v>
      </c>
      <c r="C28" s="477">
        <f t="shared" ca="1" si="3"/>
        <v>0</v>
      </c>
      <c r="D28" s="477">
        <f t="shared" si="4"/>
        <v>0</v>
      </c>
      <c r="E28" s="477">
        <f t="shared" si="5"/>
        <v>0</v>
      </c>
      <c r="F28" s="477">
        <f t="shared" si="6"/>
        <v>0</v>
      </c>
      <c r="G28" s="477">
        <f t="shared" si="7"/>
        <v>165.49131611724391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165.49131611724391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149.37854790334379</v>
      </c>
      <c r="C32" s="477">
        <f t="shared" ca="1" si="3"/>
        <v>0</v>
      </c>
      <c r="D32" s="477">
        <f t="shared" si="4"/>
        <v>166.05598021599999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315.43452811934378</v>
      </c>
    </row>
    <row r="33" spans="1:17" s="486" customFormat="1">
      <c r="A33" s="1038" t="s">
        <v>558</v>
      </c>
      <c r="B33" s="978">
        <f ca="1">SUM(B22:B32)</f>
        <v>8750.2676838550087</v>
      </c>
      <c r="C33" s="978">
        <f t="shared" ref="C33:Q33" ca="1" si="18">SUM(C22:C32)</f>
        <v>1339.8201680672271</v>
      </c>
      <c r="D33" s="978">
        <f t="shared" ca="1" si="18"/>
        <v>12500.067712069973</v>
      </c>
      <c r="E33" s="978">
        <f t="shared" si="18"/>
        <v>894.06030830893087</v>
      </c>
      <c r="F33" s="978">
        <f t="shared" ca="1" si="18"/>
        <v>7169.2568574698544</v>
      </c>
      <c r="G33" s="978">
        <f t="shared" si="18"/>
        <v>37942.662421547218</v>
      </c>
      <c r="H33" s="978">
        <f t="shared" si="18"/>
        <v>5324.2493220596707</v>
      </c>
      <c r="I33" s="978">
        <f t="shared" si="18"/>
        <v>0</v>
      </c>
      <c r="J33" s="978">
        <f t="shared" si="18"/>
        <v>2231.6599783159022</v>
      </c>
      <c r="K33" s="978">
        <f t="shared" si="18"/>
        <v>0</v>
      </c>
      <c r="L33" s="978">
        <f t="shared" ca="1" si="18"/>
        <v>0</v>
      </c>
      <c r="M33" s="978">
        <f t="shared" si="18"/>
        <v>0</v>
      </c>
      <c r="N33" s="978">
        <f t="shared" ca="1" si="18"/>
        <v>0</v>
      </c>
      <c r="O33" s="978">
        <f t="shared" si="18"/>
        <v>0</v>
      </c>
      <c r="P33" s="978">
        <f t="shared" si="18"/>
        <v>0</v>
      </c>
      <c r="Q33" s="978">
        <f t="shared" ca="1" si="18"/>
        <v>76152.044451693786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2522.0645357324588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3946.5</v>
      </c>
      <c r="D8" s="1055">
        <f>'SEAP template'!D76</f>
        <v>4642.9411764705883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937.87411764705894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2522.0645357324588</v>
      </c>
      <c r="C10" s="1059">
        <f>SUM(C4:C9)</f>
        <v>3946.5</v>
      </c>
      <c r="D10" s="1059">
        <f t="shared" ref="D10:H10" si="0">SUM(D8:D9)</f>
        <v>4642.9411764705883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937.87411764705894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0.20924263021811848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5637.8571428571431</v>
      </c>
      <c r="D17" s="1056">
        <f>'SEAP template'!D87</f>
        <v>6632.7731092436979</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1339.8201680672271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5637.8571428571431</v>
      </c>
      <c r="D20" s="1059">
        <f t="shared" ref="D20:H20" si="2">SUM(D17:D19)</f>
        <v>6632.7731092436979</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1339.8201680672271</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0.20924263021811848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0.20924263021811848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0.20924263021811848</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5242</v>
      </c>
      <c r="C9" s="342">
        <v>5275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1880.57</v>
      </c>
    </row>
    <row r="15" spans="1:6">
      <c r="A15" s="348" t="s">
        <v>184</v>
      </c>
      <c r="B15" s="334">
        <v>18</v>
      </c>
    </row>
    <row r="16" spans="1:6">
      <c r="A16" s="348" t="s">
        <v>6</v>
      </c>
      <c r="B16" s="334">
        <v>557</v>
      </c>
    </row>
    <row r="17" spans="1:6">
      <c r="A17" s="348" t="s">
        <v>7</v>
      </c>
      <c r="B17" s="334">
        <v>206</v>
      </c>
    </row>
    <row r="18" spans="1:6">
      <c r="A18" s="348" t="s">
        <v>8</v>
      </c>
      <c r="B18" s="334">
        <v>380</v>
      </c>
    </row>
    <row r="19" spans="1:6">
      <c r="A19" s="348" t="s">
        <v>9</v>
      </c>
      <c r="B19" s="334">
        <v>543</v>
      </c>
    </row>
    <row r="20" spans="1:6">
      <c r="A20" s="348" t="s">
        <v>10</v>
      </c>
      <c r="B20" s="334">
        <v>448</v>
      </c>
    </row>
    <row r="21" spans="1:6">
      <c r="A21" s="348" t="s">
        <v>11</v>
      </c>
      <c r="B21" s="334">
        <v>241</v>
      </c>
    </row>
    <row r="22" spans="1:6">
      <c r="A22" s="348" t="s">
        <v>12</v>
      </c>
      <c r="B22" s="334">
        <v>919</v>
      </c>
    </row>
    <row r="23" spans="1:6">
      <c r="A23" s="348" t="s">
        <v>13</v>
      </c>
      <c r="B23" s="334">
        <v>11</v>
      </c>
    </row>
    <row r="24" spans="1:6">
      <c r="A24" s="348" t="s">
        <v>14</v>
      </c>
      <c r="B24" s="334">
        <v>2</v>
      </c>
    </row>
    <row r="25" spans="1:6">
      <c r="A25" s="348" t="s">
        <v>15</v>
      </c>
      <c r="B25" s="334">
        <v>79</v>
      </c>
    </row>
    <row r="26" spans="1:6">
      <c r="A26" s="348" t="s">
        <v>16</v>
      </c>
      <c r="B26" s="334">
        <v>30</v>
      </c>
    </row>
    <row r="27" spans="1:6">
      <c r="A27" s="348" t="s">
        <v>17</v>
      </c>
      <c r="B27" s="334">
        <v>0</v>
      </c>
    </row>
    <row r="28" spans="1:6" s="356" customFormat="1">
      <c r="A28" s="355" t="s">
        <v>18</v>
      </c>
      <c r="B28" s="355">
        <v>19436</v>
      </c>
    </row>
    <row r="29" spans="1:6">
      <c r="A29" s="355" t="s">
        <v>884</v>
      </c>
      <c r="B29" s="355">
        <v>346</v>
      </c>
      <c r="C29" s="356"/>
      <c r="D29" s="356"/>
      <c r="E29" s="356"/>
      <c r="F29" s="356"/>
    </row>
    <row r="30" spans="1:6">
      <c r="A30" s="355" t="s">
        <v>885</v>
      </c>
      <c r="B30" s="341">
        <v>142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8710.1858812999999</v>
      </c>
    </row>
    <row r="39" spans="1:6">
      <c r="A39" s="348" t="s">
        <v>30</v>
      </c>
      <c r="B39" s="348" t="s">
        <v>31</v>
      </c>
      <c r="C39" s="334">
        <v>2731</v>
      </c>
      <c r="D39" s="334">
        <v>40932311.134999998</v>
      </c>
      <c r="E39" s="334">
        <v>4972</v>
      </c>
      <c r="F39" s="334">
        <v>23431993.873</v>
      </c>
    </row>
    <row r="40" spans="1:6">
      <c r="A40" s="348" t="s">
        <v>30</v>
      </c>
      <c r="B40" s="348" t="s">
        <v>29</v>
      </c>
      <c r="C40" s="334">
        <v>0</v>
      </c>
      <c r="D40" s="334">
        <v>0</v>
      </c>
      <c r="E40" s="334">
        <v>0</v>
      </c>
      <c r="F40" s="334">
        <v>0</v>
      </c>
    </row>
    <row r="41" spans="1:6">
      <c r="A41" s="348" t="s">
        <v>32</v>
      </c>
      <c r="B41" s="348" t="s">
        <v>33</v>
      </c>
      <c r="C41" s="334">
        <v>24</v>
      </c>
      <c r="D41" s="334">
        <v>541131.33270999999</v>
      </c>
      <c r="E41" s="334">
        <v>109</v>
      </c>
      <c r="F41" s="334">
        <v>1097546.9680000001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547478.49930999998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14400386.09</v>
      </c>
      <c r="E48" s="334">
        <v>28</v>
      </c>
      <c r="F48" s="334">
        <v>569879.06473999994</v>
      </c>
    </row>
    <row r="49" spans="1:6">
      <c r="A49" s="348" t="s">
        <v>32</v>
      </c>
      <c r="B49" s="348" t="s">
        <v>40</v>
      </c>
      <c r="C49" s="334">
        <v>0</v>
      </c>
      <c r="D49" s="334">
        <v>0</v>
      </c>
      <c r="E49" s="334">
        <v>0</v>
      </c>
      <c r="F49" s="334">
        <v>0</v>
      </c>
    </row>
    <row r="50" spans="1:6">
      <c r="A50" s="348" t="s">
        <v>32</v>
      </c>
      <c r="B50" s="348" t="s">
        <v>41</v>
      </c>
      <c r="C50" s="334">
        <v>0</v>
      </c>
      <c r="D50" s="334">
        <v>0</v>
      </c>
      <c r="E50" s="334">
        <v>4</v>
      </c>
      <c r="F50" s="334">
        <v>184183.66403000001</v>
      </c>
    </row>
    <row r="51" spans="1:6">
      <c r="A51" s="348" t="s">
        <v>42</v>
      </c>
      <c r="B51" s="348" t="s">
        <v>43</v>
      </c>
      <c r="C51" s="334">
        <v>14</v>
      </c>
      <c r="D51" s="334">
        <v>11455399.33</v>
      </c>
      <c r="E51" s="334">
        <v>117</v>
      </c>
      <c r="F51" s="334">
        <v>2149684.7593999999</v>
      </c>
    </row>
    <row r="52" spans="1:6">
      <c r="A52" s="348" t="s">
        <v>42</v>
      </c>
      <c r="B52" s="348" t="s">
        <v>29</v>
      </c>
      <c r="C52" s="334">
        <v>6</v>
      </c>
      <c r="D52" s="334">
        <v>220052.43674</v>
      </c>
      <c r="E52" s="334">
        <v>4</v>
      </c>
      <c r="F52" s="334">
        <v>45208.035719</v>
      </c>
    </row>
    <row r="53" spans="1:6">
      <c r="A53" s="348" t="s">
        <v>44</v>
      </c>
      <c r="B53" s="348" t="s">
        <v>45</v>
      </c>
      <c r="C53" s="334">
        <v>56</v>
      </c>
      <c r="D53" s="334">
        <v>822059.30799999996</v>
      </c>
      <c r="E53" s="334">
        <v>172</v>
      </c>
      <c r="F53" s="334">
        <v>713901.11922999995</v>
      </c>
    </row>
    <row r="54" spans="1:6">
      <c r="A54" s="348" t="s">
        <v>46</v>
      </c>
      <c r="B54" s="348" t="s">
        <v>47</v>
      </c>
      <c r="C54" s="334">
        <v>0</v>
      </c>
      <c r="D54" s="334">
        <v>0</v>
      </c>
      <c r="E54" s="334">
        <v>1</v>
      </c>
      <c r="F54" s="334">
        <v>971273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472925.65044</v>
      </c>
      <c r="E57" s="334">
        <v>39</v>
      </c>
      <c r="F57" s="334">
        <v>385362.94454</v>
      </c>
    </row>
    <row r="58" spans="1:6">
      <c r="A58" s="348" t="s">
        <v>49</v>
      </c>
      <c r="B58" s="348" t="s">
        <v>51</v>
      </c>
      <c r="C58" s="334">
        <v>15</v>
      </c>
      <c r="D58" s="334">
        <v>406575.05731</v>
      </c>
      <c r="E58" s="334">
        <v>23</v>
      </c>
      <c r="F58" s="334">
        <v>173475.22287999999</v>
      </c>
    </row>
    <row r="59" spans="1:6">
      <c r="A59" s="348" t="s">
        <v>49</v>
      </c>
      <c r="B59" s="348" t="s">
        <v>52</v>
      </c>
      <c r="C59" s="334">
        <v>48</v>
      </c>
      <c r="D59" s="334">
        <v>1567170.0841999999</v>
      </c>
      <c r="E59" s="334">
        <v>126</v>
      </c>
      <c r="F59" s="334">
        <v>4369795.2187999999</v>
      </c>
    </row>
    <row r="60" spans="1:6">
      <c r="A60" s="348" t="s">
        <v>49</v>
      </c>
      <c r="B60" s="348" t="s">
        <v>53</v>
      </c>
      <c r="C60" s="334">
        <v>33</v>
      </c>
      <c r="D60" s="334">
        <v>986169.13265000004</v>
      </c>
      <c r="E60" s="334">
        <v>54</v>
      </c>
      <c r="F60" s="334">
        <v>882783.12387000001</v>
      </c>
    </row>
    <row r="61" spans="1:6">
      <c r="A61" s="348" t="s">
        <v>49</v>
      </c>
      <c r="B61" s="348" t="s">
        <v>54</v>
      </c>
      <c r="C61" s="334">
        <v>67</v>
      </c>
      <c r="D61" s="334">
        <v>2599960.2400000002</v>
      </c>
      <c r="E61" s="334">
        <v>156</v>
      </c>
      <c r="F61" s="334">
        <v>2097555.5968999998</v>
      </c>
    </row>
    <row r="62" spans="1:6">
      <c r="A62" s="348" t="s">
        <v>49</v>
      </c>
      <c r="B62" s="348" t="s">
        <v>55</v>
      </c>
      <c r="C62" s="334">
        <v>25</v>
      </c>
      <c r="D62" s="334">
        <v>1986538.3048</v>
      </c>
      <c r="E62" s="334">
        <v>58</v>
      </c>
      <c r="F62" s="334">
        <v>595686.26254999998</v>
      </c>
    </row>
    <row r="63" spans="1:6">
      <c r="A63" s="348" t="s">
        <v>49</v>
      </c>
      <c r="B63" s="348" t="s">
        <v>29</v>
      </c>
      <c r="C63" s="334">
        <v>69</v>
      </c>
      <c r="D63" s="334">
        <v>3713741.4955000002</v>
      </c>
      <c r="E63" s="334">
        <v>80</v>
      </c>
      <c r="F63" s="334">
        <v>1349680.4849</v>
      </c>
    </row>
    <row r="64" spans="1:6">
      <c r="A64" s="348" t="s">
        <v>56</v>
      </c>
      <c r="B64" s="348" t="s">
        <v>57</v>
      </c>
      <c r="C64" s="334">
        <v>0</v>
      </c>
      <c r="D64" s="334">
        <v>0</v>
      </c>
      <c r="E64" s="334">
        <v>0</v>
      </c>
      <c r="F64" s="334">
        <v>0</v>
      </c>
    </row>
    <row r="65" spans="1:6">
      <c r="A65" s="348" t="s">
        <v>56</v>
      </c>
      <c r="B65" s="348" t="s">
        <v>29</v>
      </c>
      <c r="C65" s="334">
        <v>4</v>
      </c>
      <c r="D65" s="334">
        <v>92186.908479000005</v>
      </c>
      <c r="E65" s="334">
        <v>2</v>
      </c>
      <c r="F65" s="334">
        <v>115056</v>
      </c>
    </row>
    <row r="66" spans="1:6">
      <c r="A66" s="348" t="s">
        <v>56</v>
      </c>
      <c r="B66" s="348" t="s">
        <v>58</v>
      </c>
      <c r="C66" s="334">
        <v>0</v>
      </c>
      <c r="D66" s="334">
        <v>0</v>
      </c>
      <c r="E66" s="334">
        <v>5</v>
      </c>
      <c r="F66" s="334">
        <v>68778.259426999997</v>
      </c>
    </row>
    <row r="67" spans="1:6">
      <c r="A67" s="355" t="s">
        <v>56</v>
      </c>
      <c r="B67" s="355" t="s">
        <v>59</v>
      </c>
      <c r="C67" s="334">
        <v>0</v>
      </c>
      <c r="D67" s="334">
        <v>0</v>
      </c>
      <c r="E67" s="334">
        <v>0</v>
      </c>
      <c r="F67" s="334">
        <v>0</v>
      </c>
    </row>
    <row r="68" spans="1:6">
      <c r="A68" s="341" t="s">
        <v>56</v>
      </c>
      <c r="B68" s="341" t="s">
        <v>60</v>
      </c>
      <c r="C68" s="334">
        <v>0</v>
      </c>
      <c r="D68" s="334">
        <v>0</v>
      </c>
      <c r="E68" s="334">
        <v>7</v>
      </c>
      <c r="F68" s="334">
        <v>106918.231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33932482</v>
      </c>
      <c r="E73" s="475">
        <v>36604031.99566038</v>
      </c>
    </row>
    <row r="74" spans="1:6">
      <c r="A74" s="348" t="s">
        <v>64</v>
      </c>
      <c r="B74" s="348" t="s">
        <v>667</v>
      </c>
      <c r="C74" s="1294" t="s">
        <v>669</v>
      </c>
      <c r="D74" s="475">
        <v>4289164.878393841</v>
      </c>
      <c r="E74" s="475">
        <v>4331827.0872542383</v>
      </c>
    </row>
    <row r="75" spans="1:6">
      <c r="A75" s="348" t="s">
        <v>65</v>
      </c>
      <c r="B75" s="348" t="s">
        <v>666</v>
      </c>
      <c r="C75" s="1294" t="s">
        <v>670</v>
      </c>
      <c r="D75" s="475">
        <v>29252085</v>
      </c>
      <c r="E75" s="475">
        <v>29937935.196385961</v>
      </c>
    </row>
    <row r="76" spans="1:6">
      <c r="A76" s="348" t="s">
        <v>65</v>
      </c>
      <c r="B76" s="348" t="s">
        <v>667</v>
      </c>
      <c r="C76" s="1294" t="s">
        <v>671</v>
      </c>
      <c r="D76" s="475">
        <v>2121374.878393841</v>
      </c>
      <c r="E76" s="475">
        <v>2025805.2850409956</v>
      </c>
    </row>
    <row r="77" spans="1:6">
      <c r="A77" s="348" t="s">
        <v>66</v>
      </c>
      <c r="B77" s="348" t="s">
        <v>666</v>
      </c>
      <c r="C77" s="1294" t="s">
        <v>672</v>
      </c>
      <c r="D77" s="475">
        <v>78195355</v>
      </c>
      <c r="E77" s="475">
        <v>82411902.65494363</v>
      </c>
    </row>
    <row r="78" spans="1:6">
      <c r="A78" s="341" t="s">
        <v>66</v>
      </c>
      <c r="B78" s="341" t="s">
        <v>667</v>
      </c>
      <c r="C78" s="341" t="s">
        <v>673</v>
      </c>
      <c r="D78" s="1295">
        <v>19186634</v>
      </c>
      <c r="E78" s="1295">
        <v>19688991.637963887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171638.2432123179</v>
      </c>
      <c r="C83" s="475">
        <v>171638.2432123179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2220.1435316903462</v>
      </c>
    </row>
    <row r="92" spans="1:6">
      <c r="A92" s="341" t="s">
        <v>69</v>
      </c>
      <c r="B92" s="342">
        <v>301.92100404211266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41818.761667895138</v>
      </c>
      <c r="C3" s="43" t="s">
        <v>170</v>
      </c>
      <c r="D3" s="43"/>
      <c r="E3" s="154"/>
      <c r="F3" s="43"/>
      <c r="G3" s="43"/>
      <c r="H3" s="43"/>
      <c r="I3" s="43"/>
      <c r="J3" s="43"/>
      <c r="K3" s="96"/>
    </row>
    <row r="4" spans="1:11">
      <c r="A4" s="383" t="s">
        <v>171</v>
      </c>
      <c r="B4" s="49">
        <f>IF(ISERROR('SEAP template'!B78+'SEAP template'!C78),0,'SEAP template'!B78+'SEAP template'!C78)</f>
        <v>6468.5645357324593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937.87411764705894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0.20924263021811848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1339.8201680672271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5637.8571428571431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971.27300000000002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971.27300000000002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0.20924263021811848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203.2317171798426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23431.993872999999</v>
      </c>
      <c r="C5" s="17">
        <f>IF(ISERROR('Eigen informatie GS &amp; warmtenet'!B57),0,'Eigen informatie GS &amp; warmtenet'!B57)</f>
        <v>0</v>
      </c>
      <c r="D5" s="30">
        <f>(SUM(HH_hh_gas_kWh,HH_rest_gas_kWh)/1000)*0.902</f>
        <v>36920.944643769995</v>
      </c>
      <c r="E5" s="17">
        <f>B46*B57</f>
        <v>2989.7468846371653</v>
      </c>
      <c r="F5" s="17">
        <f>B51*B62</f>
        <v>14963.122148776691</v>
      </c>
      <c r="G5" s="18"/>
      <c r="H5" s="17"/>
      <c r="I5" s="17"/>
      <c r="J5" s="17">
        <f>B50*B61+C50*C61</f>
        <v>5983.5203373742552</v>
      </c>
      <c r="K5" s="17"/>
      <c r="L5" s="17"/>
      <c r="M5" s="17"/>
      <c r="N5" s="17">
        <f>B48*B59+C48*C59</f>
        <v>9567.41223339106</v>
      </c>
      <c r="O5" s="17">
        <f>B69*B70*B71</f>
        <v>272.02000000000004</v>
      </c>
      <c r="P5" s="17">
        <f>B77*B78*B79/1000-B77*B78*B79/1000/B80</f>
        <v>629.20000000000005</v>
      </c>
    </row>
    <row r="6" spans="1:16">
      <c r="A6" s="16" t="s">
        <v>624</v>
      </c>
      <c r="B6" s="788">
        <f>kWh_PV_kleiner_dan_10kW</f>
        <v>2220.1435316903462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25652.137404690344</v>
      </c>
      <c r="C8" s="21">
        <f>C5</f>
        <v>0</v>
      </c>
      <c r="D8" s="21">
        <f>D5</f>
        <v>36920.944643769995</v>
      </c>
      <c r="E8" s="21">
        <f>E5</f>
        <v>2989.7468846371653</v>
      </c>
      <c r="F8" s="21">
        <f>F5</f>
        <v>14963.122148776691</v>
      </c>
      <c r="G8" s="21"/>
      <c r="H8" s="21"/>
      <c r="I8" s="21"/>
      <c r="J8" s="21">
        <f>J5</f>
        <v>5983.5203373742552</v>
      </c>
      <c r="K8" s="21"/>
      <c r="L8" s="21">
        <f>L5</f>
        <v>0</v>
      </c>
      <c r="M8" s="21">
        <f>M5</f>
        <v>0</v>
      </c>
      <c r="N8" s="21">
        <f>N5</f>
        <v>9567.41223339106</v>
      </c>
      <c r="O8" s="21">
        <f>O5</f>
        <v>272.02000000000004</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0.20924263021811848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5367.5207012739875</v>
      </c>
      <c r="C12" s="23">
        <f ca="1">C10*C8</f>
        <v>0</v>
      </c>
      <c r="D12" s="23">
        <f>D8*D10</f>
        <v>7458.0308180415395</v>
      </c>
      <c r="E12" s="23">
        <f>E10*E8</f>
        <v>678.67254281263649</v>
      </c>
      <c r="F12" s="23">
        <f>F10*F8</f>
        <v>3995.1536137233766</v>
      </c>
      <c r="G12" s="23"/>
      <c r="H12" s="23"/>
      <c r="I12" s="23"/>
      <c r="J12" s="23">
        <f>J10*J8</f>
        <v>2118.1661994304864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5242</v>
      </c>
      <c r="C28" s="36"/>
      <c r="D28" s="228"/>
    </row>
    <row r="29" spans="1:7" s="15" customFormat="1">
      <c r="A29" s="230" t="s">
        <v>699</v>
      </c>
      <c r="B29" s="37">
        <f>SUM(HH_hh_gas_aantal,HH_rest_gas_aantal)</f>
        <v>2731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2731</v>
      </c>
      <c r="C32" s="167">
        <f>IF(ISERROR(B32/SUM($B$32,$B$34,$B$35,$B$36,$B$38,$B$39)*100),0,B32/SUM($B$32,$B$34,$B$35,$B$36,$B$38,$B$39)*100)</f>
        <v>52.428489153388369</v>
      </c>
      <c r="D32" s="233"/>
      <c r="G32" s="15"/>
    </row>
    <row r="33" spans="1:7">
      <c r="A33" s="171" t="s">
        <v>72</v>
      </c>
      <c r="B33" s="34" t="s">
        <v>111</v>
      </c>
      <c r="C33" s="167"/>
      <c r="D33" s="233"/>
      <c r="G33" s="15"/>
    </row>
    <row r="34" spans="1:7">
      <c r="A34" s="171" t="s">
        <v>73</v>
      </c>
      <c r="B34" s="33">
        <f>IF((($B$28-$B$32-$B$39-$B$77-$B$38)*C20/100)&lt;0,0,($B$28-$B$32-$B$39-$B$77-$B$38)*C20/100)</f>
        <v>132.18506131549609</v>
      </c>
      <c r="C34" s="167">
        <f>IF(ISERROR(B34/SUM($B$32,$B$34,$B$35,$B$36,$B$38,$B$39)*100),0,B34/SUM($B$32,$B$34,$B$35,$B$36,$B$38,$B$39)*100)</f>
        <v>2.5376283608273389</v>
      </c>
      <c r="D34" s="233"/>
      <c r="G34" s="15"/>
    </row>
    <row r="35" spans="1:7">
      <c r="A35" s="171" t="s">
        <v>74</v>
      </c>
      <c r="B35" s="33">
        <f>IF((($B$28-$B$32-$B$39-$B$77-$B$38)*C21/100)&lt;0,0,($B$28-$B$32-$B$39-$B$77-$B$38)*C21/100)</f>
        <v>1388.8740245261986</v>
      </c>
      <c r="C35" s="167">
        <f>IF(ISERROR(B35/SUM($B$32,$B$34,$B$35,$B$36,$B$38,$B$39)*100),0,B35/SUM($B$32,$B$34,$B$35,$B$36,$B$38,$B$39)*100)</f>
        <v>26.662968410946412</v>
      </c>
      <c r="D35" s="233"/>
      <c r="G35" s="15"/>
    </row>
    <row r="36" spans="1:7">
      <c r="A36" s="171" t="s">
        <v>75</v>
      </c>
      <c r="B36" s="33">
        <f>IF((($B$28-$B$32-$B$39-$B$77-$B$38)*C22/100)&lt;0,0,($B$28-$B$32-$B$39-$B$77-$B$38)*C22/100)</f>
        <v>148.94091415830545</v>
      </c>
      <c r="C36" s="167">
        <f>IF(ISERROR(B36/SUM($B$32,$B$34,$B$35,$B$36,$B$38,$B$39)*100),0,B36/SUM($B$32,$B$34,$B$35,$B$36,$B$38,$B$39)*100)</f>
        <v>2.8592995614955932</v>
      </c>
      <c r="D36" s="233"/>
      <c r="G36" s="15"/>
    </row>
    <row r="37" spans="1:7">
      <c r="A37" s="171" t="s">
        <v>76</v>
      </c>
      <c r="B37" s="34" t="s">
        <v>111</v>
      </c>
      <c r="C37" s="167"/>
      <c r="D37" s="173"/>
      <c r="G37" s="15"/>
    </row>
    <row r="38" spans="1:7">
      <c r="A38" s="171" t="s">
        <v>77</v>
      </c>
      <c r="B38" s="33">
        <f>IF((B24-(B29-B18)*0.1)&lt;0,0,B24-(B29-B18)*0.1)</f>
        <v>193.29999999999998</v>
      </c>
      <c r="C38" s="167">
        <f>IF(ISERROR(B38/SUM($B$32,$B$34,$B$35,$B$36,$B$38,$B$39)*100),0,B38/SUM($B$32,$B$34,$B$35,$B$36,$B$38,$B$39)*100)</f>
        <v>3.7108850067191397</v>
      </c>
      <c r="D38" s="234"/>
      <c r="G38" s="15"/>
    </row>
    <row r="39" spans="1:7">
      <c r="A39" s="171" t="s">
        <v>78</v>
      </c>
      <c r="B39" s="33">
        <f>IF((B25-(B29-B18))&lt;0,0,B25-(B29-B18)*0.9)</f>
        <v>614.70000000000005</v>
      </c>
      <c r="C39" s="167">
        <f>IF(ISERROR(B39/SUM($B$32,$B$34,$B$35,$B$36,$B$38,$B$39)*100),0,B39/SUM($B$32,$B$34,$B$35,$B$36,$B$38,$B$39)*100)</f>
        <v>11.800729506623153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2731</v>
      </c>
      <c r="C44" s="34" t="s">
        <v>111</v>
      </c>
      <c r="D44" s="174"/>
    </row>
    <row r="45" spans="1:7">
      <c r="A45" s="171" t="s">
        <v>72</v>
      </c>
      <c r="B45" s="33" t="str">
        <f t="shared" si="0"/>
        <v>-</v>
      </c>
      <c r="C45" s="34" t="s">
        <v>111</v>
      </c>
      <c r="D45" s="174"/>
    </row>
    <row r="46" spans="1:7">
      <c r="A46" s="171" t="s">
        <v>73</v>
      </c>
      <c r="B46" s="33">
        <f t="shared" si="0"/>
        <v>132.18506131549609</v>
      </c>
      <c r="C46" s="34" t="s">
        <v>111</v>
      </c>
      <c r="D46" s="174"/>
    </row>
    <row r="47" spans="1:7">
      <c r="A47" s="171" t="s">
        <v>74</v>
      </c>
      <c r="B47" s="33">
        <f t="shared" si="0"/>
        <v>1388.8740245261986</v>
      </c>
      <c r="C47" s="34" t="s">
        <v>111</v>
      </c>
      <c r="D47" s="174"/>
    </row>
    <row r="48" spans="1:7">
      <c r="A48" s="171" t="s">
        <v>75</v>
      </c>
      <c r="B48" s="33">
        <f t="shared" si="0"/>
        <v>148.94091415830545</v>
      </c>
      <c r="C48" s="33">
        <f>B48*10</f>
        <v>1489.4091415830544</v>
      </c>
      <c r="D48" s="234"/>
    </row>
    <row r="49" spans="1:6">
      <c r="A49" s="171" t="s">
        <v>76</v>
      </c>
      <c r="B49" s="33" t="str">
        <f t="shared" si="0"/>
        <v>-</v>
      </c>
      <c r="C49" s="34" t="s">
        <v>111</v>
      </c>
      <c r="D49" s="234"/>
    </row>
    <row r="50" spans="1:6">
      <c r="A50" s="171" t="s">
        <v>77</v>
      </c>
      <c r="B50" s="33">
        <f t="shared" si="0"/>
        <v>193.29999999999998</v>
      </c>
      <c r="C50" s="33">
        <f>B50*2</f>
        <v>386.59999999999997</v>
      </c>
      <c r="D50" s="234"/>
    </row>
    <row r="51" spans="1:6">
      <c r="A51" s="171" t="s">
        <v>78</v>
      </c>
      <c r="B51" s="33">
        <f t="shared" si="0"/>
        <v>614.70000000000005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9854.3388544400004</v>
      </c>
      <c r="C5" s="17">
        <f>IF(ISERROR('Eigen informatie GS &amp; warmtenet'!B58),0,'Eigen informatie GS &amp; warmtenet'!B58)</f>
        <v>0</v>
      </c>
      <c r="D5" s="30">
        <f>SUM(D6:D12)</f>
        <v>10583.238128339803</v>
      </c>
      <c r="E5" s="17">
        <f>SUM(E6:E12)</f>
        <v>220.00567584040402</v>
      </c>
      <c r="F5" s="17">
        <f>SUM(F6:F12)</f>
        <v>2515.4191247676913</v>
      </c>
      <c r="G5" s="18"/>
      <c r="H5" s="17"/>
      <c r="I5" s="17"/>
      <c r="J5" s="17">
        <f>SUM(J6:J12)</f>
        <v>0</v>
      </c>
      <c r="K5" s="17"/>
      <c r="L5" s="17"/>
      <c r="M5" s="17"/>
      <c r="N5" s="17">
        <f>SUM(N6:N12)</f>
        <v>433.44091856143905</v>
      </c>
      <c r="O5" s="17">
        <f>B38*B39*B40</f>
        <v>1.5633333333333335</v>
      </c>
      <c r="P5" s="17">
        <f>B46*B47*B48/1000-B46*B47*B48/1000/B49</f>
        <v>19.066666666666666</v>
      </c>
      <c r="R5" s="32"/>
    </row>
    <row r="6" spans="1:18">
      <c r="A6" s="32" t="s">
        <v>54</v>
      </c>
      <c r="B6" s="37">
        <f>B26</f>
        <v>2097.5555968999997</v>
      </c>
      <c r="C6" s="33"/>
      <c r="D6" s="37">
        <f>IF(ISERROR(TER_kantoor_gas_kWh/1000),0,TER_kantoor_gas_kWh/1000)*0.902</f>
        <v>2345.1641364800003</v>
      </c>
      <c r="E6" s="33">
        <f>$C$26*'E Balans VL '!I12/100/3.6*1000000</f>
        <v>27.459586577252981</v>
      </c>
      <c r="F6" s="33">
        <f>$C$26*('E Balans VL '!L12+'E Balans VL '!N12)/100/3.6*1000000</f>
        <v>534.85500187964146</v>
      </c>
      <c r="G6" s="34"/>
      <c r="H6" s="33"/>
      <c r="I6" s="33"/>
      <c r="J6" s="33">
        <f>$C$26*('E Balans VL '!D12+'E Balans VL '!E12)/100/3.6*1000000</f>
        <v>0</v>
      </c>
      <c r="K6" s="33"/>
      <c r="L6" s="33"/>
      <c r="M6" s="33"/>
      <c r="N6" s="33">
        <f>$C$26*'E Balans VL '!Y12/100/3.6*1000000</f>
        <v>2.1046190030215901</v>
      </c>
      <c r="O6" s="33"/>
      <c r="P6" s="33"/>
      <c r="R6" s="32"/>
    </row>
    <row r="7" spans="1:18">
      <c r="A7" s="32" t="s">
        <v>53</v>
      </c>
      <c r="B7" s="37">
        <f t="shared" ref="B7:B12" si="0">B27</f>
        <v>882.78312387000005</v>
      </c>
      <c r="C7" s="33"/>
      <c r="D7" s="37">
        <f>IF(ISERROR(TER_horeca_gas_kWh/1000),0,TER_horeca_gas_kWh/1000)*0.902</f>
        <v>889.52455765030004</v>
      </c>
      <c r="E7" s="33">
        <f>$C$27*'E Balans VL '!I9/100/3.6*1000000</f>
        <v>29.214751610489145</v>
      </c>
      <c r="F7" s="33">
        <f>$C$27*('E Balans VL '!L9+'E Balans VL '!N9)/100/3.6*1000000</f>
        <v>379.59336002936396</v>
      </c>
      <c r="G7" s="34"/>
      <c r="H7" s="33"/>
      <c r="I7" s="33"/>
      <c r="J7" s="33">
        <f>$C$27*('E Balans VL '!D9+'E Balans VL '!E9)/100/3.6*1000000</f>
        <v>0</v>
      </c>
      <c r="K7" s="33"/>
      <c r="L7" s="33"/>
      <c r="M7" s="33"/>
      <c r="N7" s="33">
        <f>$C$27*'E Balans VL '!Y9/100/3.6*1000000</f>
        <v>0.21249871733328177</v>
      </c>
      <c r="O7" s="33"/>
      <c r="P7" s="33"/>
      <c r="R7" s="32"/>
    </row>
    <row r="8" spans="1:18">
      <c r="A8" s="6" t="s">
        <v>52</v>
      </c>
      <c r="B8" s="37">
        <f t="shared" si="0"/>
        <v>4369.7952187999999</v>
      </c>
      <c r="C8" s="33"/>
      <c r="D8" s="37">
        <f>IF(ISERROR(TER_handel_gas_kWh/1000),0,TER_handel_gas_kWh/1000)*0.902</f>
        <v>1413.5874159484001</v>
      </c>
      <c r="E8" s="33">
        <f>$C$28*'E Balans VL '!I13/100/3.6*1000000</f>
        <v>137.91741395367532</v>
      </c>
      <c r="F8" s="33">
        <f>$C$28*('E Balans VL '!L13+'E Balans VL '!N13)/100/3.6*1000000</f>
        <v>856.99378972317015</v>
      </c>
      <c r="G8" s="34"/>
      <c r="H8" s="33"/>
      <c r="I8" s="33"/>
      <c r="J8" s="33">
        <f>$C$28*('E Balans VL '!D13+'E Balans VL '!E13)/100/3.6*1000000</f>
        <v>0</v>
      </c>
      <c r="K8" s="33"/>
      <c r="L8" s="33"/>
      <c r="M8" s="33"/>
      <c r="N8" s="33">
        <f>$C$28*'E Balans VL '!Y13/100/3.6*1000000</f>
        <v>5.1860985393890431</v>
      </c>
      <c r="O8" s="33"/>
      <c r="P8" s="33"/>
      <c r="R8" s="32"/>
    </row>
    <row r="9" spans="1:18">
      <c r="A9" s="32" t="s">
        <v>51</v>
      </c>
      <c r="B9" s="37">
        <f t="shared" si="0"/>
        <v>173.47522287999999</v>
      </c>
      <c r="C9" s="33"/>
      <c r="D9" s="37">
        <f>IF(ISERROR(TER_gezond_gas_kWh/1000),0,TER_gezond_gas_kWh/1000)*0.902</f>
        <v>366.73070169362001</v>
      </c>
      <c r="E9" s="33">
        <f>$C$29*'E Balans VL '!I10/100/3.6*1000000</f>
        <v>2.2209903433682721E-2</v>
      </c>
      <c r="F9" s="33">
        <f>$C$29*('E Balans VL '!L10+'E Balans VL '!N10)/100/3.6*1000000</f>
        <v>36.142159938835107</v>
      </c>
      <c r="G9" s="34"/>
      <c r="H9" s="33"/>
      <c r="I9" s="33"/>
      <c r="J9" s="33">
        <f>$C$29*('E Balans VL '!D10+'E Balans VL '!E10)/100/3.6*1000000</f>
        <v>0</v>
      </c>
      <c r="K9" s="33"/>
      <c r="L9" s="33"/>
      <c r="M9" s="33"/>
      <c r="N9" s="33">
        <f>$C$29*'E Balans VL '!Y10/100/3.6*1000000</f>
        <v>2.0375484878954953</v>
      </c>
      <c r="O9" s="33"/>
      <c r="P9" s="33"/>
      <c r="R9" s="32"/>
    </row>
    <row r="10" spans="1:18">
      <c r="A10" s="32" t="s">
        <v>50</v>
      </c>
      <c r="B10" s="37">
        <f t="shared" si="0"/>
        <v>385.36294454</v>
      </c>
      <c r="C10" s="33"/>
      <c r="D10" s="37">
        <f>IF(ISERROR(TER_ander_gas_kWh/1000),0,TER_ander_gas_kWh/1000)*0.902</f>
        <v>426.57893669687996</v>
      </c>
      <c r="E10" s="33">
        <f>$C$30*'E Balans VL '!I14/100/3.6*1000000</f>
        <v>0.57949524448474443</v>
      </c>
      <c r="F10" s="33">
        <f>$C$30*('E Balans VL '!L14+'E Balans VL '!N14)/100/3.6*1000000</f>
        <v>85.075716135220802</v>
      </c>
      <c r="G10" s="34"/>
      <c r="H10" s="33"/>
      <c r="I10" s="33"/>
      <c r="J10" s="33">
        <f>$C$30*('E Balans VL '!D14+'E Balans VL '!E14)/100/3.6*1000000</f>
        <v>0</v>
      </c>
      <c r="K10" s="33"/>
      <c r="L10" s="33"/>
      <c r="M10" s="33"/>
      <c r="N10" s="33">
        <f>$C$30*'E Balans VL '!Y14/100/3.6*1000000</f>
        <v>303.69193424588036</v>
      </c>
      <c r="O10" s="33"/>
      <c r="P10" s="33"/>
      <c r="R10" s="32"/>
    </row>
    <row r="11" spans="1:18">
      <c r="A11" s="32" t="s">
        <v>55</v>
      </c>
      <c r="B11" s="37">
        <f t="shared" si="0"/>
        <v>595.68626255000004</v>
      </c>
      <c r="C11" s="33"/>
      <c r="D11" s="37">
        <f>IF(ISERROR(TER_onderwijs_gas_kWh/1000),0,TER_onderwijs_gas_kWh/1000)*0.902</f>
        <v>1791.8575509296002</v>
      </c>
      <c r="E11" s="33">
        <f>$C$31*'E Balans VL '!I11/100/3.6*1000000</f>
        <v>1.0490534266868021</v>
      </c>
      <c r="F11" s="33">
        <f>$C$31*('E Balans VL '!L11+'E Balans VL '!N11)/100/3.6*1000000</f>
        <v>275.03912634442827</v>
      </c>
      <c r="G11" s="34"/>
      <c r="H11" s="33"/>
      <c r="I11" s="33"/>
      <c r="J11" s="33">
        <f>$C$31*('E Balans VL '!D11+'E Balans VL '!E11)/100/3.6*1000000</f>
        <v>0</v>
      </c>
      <c r="K11" s="33"/>
      <c r="L11" s="33"/>
      <c r="M11" s="33"/>
      <c r="N11" s="33">
        <f>$C$31*'E Balans VL '!Y11/100/3.6*1000000</f>
        <v>1.109771744744156</v>
      </c>
      <c r="O11" s="33"/>
      <c r="P11" s="33"/>
      <c r="R11" s="32"/>
    </row>
    <row r="12" spans="1:18">
      <c r="A12" s="32" t="s">
        <v>260</v>
      </c>
      <c r="B12" s="37">
        <f t="shared" si="0"/>
        <v>1349.6804849</v>
      </c>
      <c r="C12" s="33"/>
      <c r="D12" s="37">
        <f>IF(ISERROR(TER_rest_gas_kWh/1000),0,TER_rest_gas_kWh/1000)*0.902</f>
        <v>3349.7948289410006</v>
      </c>
      <c r="E12" s="33">
        <f>$C$32*'E Balans VL '!I8/100/3.6*1000000</f>
        <v>23.763165124381352</v>
      </c>
      <c r="F12" s="33">
        <f>$C$32*('E Balans VL '!L8+'E Balans VL '!N8)/100/3.6*1000000</f>
        <v>347.71997071703169</v>
      </c>
      <c r="G12" s="34"/>
      <c r="H12" s="33"/>
      <c r="I12" s="33"/>
      <c r="J12" s="33">
        <f>$C$32*('E Balans VL '!D8+'E Balans VL '!E8)/100/3.6*1000000</f>
        <v>0</v>
      </c>
      <c r="K12" s="33"/>
      <c r="L12" s="33"/>
      <c r="M12" s="33"/>
      <c r="N12" s="33">
        <f>$C$32*'E Balans VL '!Y8/100/3.6*1000000</f>
        <v>119.09844782317515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9854.3388544400004</v>
      </c>
      <c r="C16" s="21">
        <f t="shared" ca="1" si="1"/>
        <v>0</v>
      </c>
      <c r="D16" s="21">
        <f t="shared" ca="1" si="1"/>
        <v>10583.238128339803</v>
      </c>
      <c r="E16" s="21">
        <f t="shared" si="1"/>
        <v>220.00567584040402</v>
      </c>
      <c r="F16" s="21">
        <f t="shared" ca="1" si="1"/>
        <v>2515.4191247676913</v>
      </c>
      <c r="G16" s="21">
        <f t="shared" si="1"/>
        <v>0</v>
      </c>
      <c r="H16" s="21">
        <f t="shared" si="1"/>
        <v>0</v>
      </c>
      <c r="I16" s="21">
        <f t="shared" si="1"/>
        <v>0</v>
      </c>
      <c r="J16" s="21">
        <f t="shared" si="1"/>
        <v>0</v>
      </c>
      <c r="K16" s="21">
        <f t="shared" si="1"/>
        <v>0</v>
      </c>
      <c r="L16" s="21">
        <f t="shared" ca="1" si="1"/>
        <v>0</v>
      </c>
      <c r="M16" s="21">
        <f t="shared" si="1"/>
        <v>0</v>
      </c>
      <c r="N16" s="21">
        <f t="shared" ca="1" si="1"/>
        <v>433.44091856143905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0.20924263021811848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2061.9477809636264</v>
      </c>
      <c r="C20" s="23">
        <f t="shared" ref="C20:P20" ca="1" si="2">C16*C18</f>
        <v>0</v>
      </c>
      <c r="D20" s="23">
        <f t="shared" ca="1" si="2"/>
        <v>2137.8141019246405</v>
      </c>
      <c r="E20" s="23">
        <f t="shared" si="2"/>
        <v>49.941288415771716</v>
      </c>
      <c r="F20" s="23">
        <f t="shared" ca="1" si="2"/>
        <v>671.61690631297358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2097.5555968999997</v>
      </c>
      <c r="C26" s="39">
        <f>IF(ISERROR(B26*3.6/1000000/'E Balans VL '!Z12*100),0,B26*3.6/1000000/'E Balans VL '!Z12*100)</f>
        <v>4.4931270413088198E-2</v>
      </c>
      <c r="D26" s="237" t="s">
        <v>660</v>
      </c>
      <c r="F26" s="6"/>
    </row>
    <row r="27" spans="1:18">
      <c r="A27" s="231" t="s">
        <v>53</v>
      </c>
      <c r="B27" s="33">
        <f>IF(ISERROR(TER_horeca_ele_kWh/1000),0,TER_horeca_ele_kWh/1000)</f>
        <v>882.78312387000005</v>
      </c>
      <c r="C27" s="39">
        <f>IF(ISERROR(B27*3.6/1000000/'E Balans VL '!Z9*100),0,B27*3.6/1000000/'E Balans VL '!Z9*100)</f>
        <v>7.0840277167749849E-2</v>
      </c>
      <c r="D27" s="237" t="s">
        <v>660</v>
      </c>
      <c r="F27" s="6"/>
    </row>
    <row r="28" spans="1:18">
      <c r="A28" s="171" t="s">
        <v>52</v>
      </c>
      <c r="B28" s="33">
        <f>IF(ISERROR(TER_handel_ele_kWh/1000),0,TER_handel_ele_kWh/1000)</f>
        <v>4369.7952187999999</v>
      </c>
      <c r="C28" s="39">
        <f>IF(ISERROR(B28*3.6/1000000/'E Balans VL '!Z13*100),0,B28*3.6/1000000/'E Balans VL '!Z13*100)</f>
        <v>0.12888389480895251</v>
      </c>
      <c r="D28" s="237" t="s">
        <v>660</v>
      </c>
      <c r="F28" s="6"/>
    </row>
    <row r="29" spans="1:18">
      <c r="A29" s="231" t="s">
        <v>51</v>
      </c>
      <c r="B29" s="33">
        <f>IF(ISERROR(TER_gezond_ele_kWh/1000),0,TER_gezond_ele_kWh/1000)</f>
        <v>173.47522287999999</v>
      </c>
      <c r="C29" s="39">
        <f>IF(ISERROR(B29*3.6/1000000/'E Balans VL '!Z10*100),0,B29*3.6/1000000/'E Balans VL '!Z10*100)</f>
        <v>1.8522502758445827E-2</v>
      </c>
      <c r="D29" s="237" t="s">
        <v>660</v>
      </c>
      <c r="F29" s="6"/>
    </row>
    <row r="30" spans="1:18">
      <c r="A30" s="231" t="s">
        <v>50</v>
      </c>
      <c r="B30" s="33">
        <f>IF(ISERROR(TER_ander_ele_kWh/1000),0,TER_ander_ele_kWh/1000)</f>
        <v>385.36294454</v>
      </c>
      <c r="C30" s="39">
        <f>IF(ISERROR(B30*3.6/1000000/'E Balans VL '!Z14*100),0,B30*3.6/1000000/'E Balans VL '!Z14*100)</f>
        <v>2.9107976460349561E-2</v>
      </c>
      <c r="D30" s="237" t="s">
        <v>660</v>
      </c>
      <c r="F30" s="6"/>
    </row>
    <row r="31" spans="1:18">
      <c r="A31" s="231" t="s">
        <v>55</v>
      </c>
      <c r="B31" s="33">
        <f>IF(ISERROR(TER_onderwijs_ele_kWh/1000),0,TER_onderwijs_ele_kWh/1000)</f>
        <v>595.68626255000004</v>
      </c>
      <c r="C31" s="39">
        <f>IF(ISERROR(B31*3.6/1000000/'E Balans VL '!Z11*100),0,B31*3.6/1000000/'E Balans VL '!Z11*100)</f>
        <v>0.12028894195253093</v>
      </c>
      <c r="D31" s="237" t="s">
        <v>660</v>
      </c>
    </row>
    <row r="32" spans="1:18">
      <c r="A32" s="231" t="s">
        <v>260</v>
      </c>
      <c r="B32" s="33">
        <f>IF(ISERROR(TER_rest_ele_kWh/1000),0,TER_rest_ele_kWh/1000)</f>
        <v>1349.6804849</v>
      </c>
      <c r="C32" s="39">
        <f>IF(ISERROR(B32*3.6/1000000/'E Balans VL '!Z8*100),0,B32*3.6/1000000/'E Balans VL '!Z8*100)</f>
        <v>1.1190730636337888E-2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2399.0881960800002</v>
      </c>
      <c r="C5" s="17">
        <f>IF(ISERROR('Eigen informatie GS &amp; warmtenet'!B59),0,'Eigen informatie GS &amp; warmtenet'!B59)</f>
        <v>0</v>
      </c>
      <c r="D5" s="30">
        <f>SUM(D6:D15)</f>
        <v>13477.248715284421</v>
      </c>
      <c r="E5" s="17">
        <f>SUM(E6:E15)</f>
        <v>335.38027159568105</v>
      </c>
      <c r="F5" s="17">
        <f>SUM(F6:F15)</f>
        <v>1349.8568421812558</v>
      </c>
      <c r="G5" s="18"/>
      <c r="H5" s="17"/>
      <c r="I5" s="17"/>
      <c r="J5" s="17">
        <f>SUM(J6:J15)</f>
        <v>4.620075427973827</v>
      </c>
      <c r="K5" s="17"/>
      <c r="L5" s="17"/>
      <c r="M5" s="17"/>
      <c r="N5" s="17">
        <f>SUM(N6:N15)</f>
        <v>554.50887309544248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547.47849930999996</v>
      </c>
      <c r="C8" s="33"/>
      <c r="D8" s="37">
        <f>IF( ISERROR(IND_metaal_Gas_kWH/1000),0,IND_metaal_Gas_kWH/1000)*0.902</f>
        <v>0</v>
      </c>
      <c r="E8" s="33">
        <f>C30*'E Balans VL '!I18/100/3.6*1000000</f>
        <v>19.699932639907065</v>
      </c>
      <c r="F8" s="33">
        <f>C30*'E Balans VL '!L18/100/3.6*1000000+C30*'E Balans VL '!N18/100/3.6*1000000</f>
        <v>239.06611330516373</v>
      </c>
      <c r="G8" s="34"/>
      <c r="H8" s="33"/>
      <c r="I8" s="33"/>
      <c r="J8" s="40">
        <f>C30*'E Balans VL '!D18/100/3.6*1000000+C30*'E Balans VL '!E18/100/3.6*1000000</f>
        <v>0</v>
      </c>
      <c r="K8" s="33"/>
      <c r="L8" s="33"/>
      <c r="M8" s="33"/>
      <c r="N8" s="33">
        <f>C30*'E Balans VL '!Y18/100/3.6*1000000</f>
        <v>27.439250334354536</v>
      </c>
      <c r="O8" s="33"/>
      <c r="P8" s="33"/>
      <c r="R8" s="32"/>
    </row>
    <row r="9" spans="1:18">
      <c r="A9" s="6" t="s">
        <v>33</v>
      </c>
      <c r="B9" s="37">
        <f t="shared" si="0"/>
        <v>1097.5469680000001</v>
      </c>
      <c r="C9" s="33"/>
      <c r="D9" s="37">
        <f>IF( ISERROR(IND_andere_gas_kWh/1000),0,IND_andere_gas_kWh/1000)*0.902</f>
        <v>488.10046210442005</v>
      </c>
      <c r="E9" s="33">
        <f>C31*'E Balans VL '!I19/100/3.6*1000000</f>
        <v>280.06915353791106</v>
      </c>
      <c r="F9" s="33">
        <f>C31*'E Balans VL '!L19/100/3.6*1000000+C31*'E Balans VL '!N19/100/3.6*1000000</f>
        <v>944.90544461076138</v>
      </c>
      <c r="G9" s="34"/>
      <c r="H9" s="33"/>
      <c r="I9" s="33"/>
      <c r="J9" s="40">
        <f>C31*'E Balans VL '!D19/100/3.6*1000000+C31*'E Balans VL '!E19/100/3.6*1000000</f>
        <v>0</v>
      </c>
      <c r="K9" s="33"/>
      <c r="L9" s="33"/>
      <c r="M9" s="33"/>
      <c r="N9" s="33">
        <f>C31*'E Balans VL '!Y19/100/3.6*1000000</f>
        <v>343.24052395170759</v>
      </c>
      <c r="O9" s="33"/>
      <c r="P9" s="33"/>
      <c r="R9" s="32"/>
    </row>
    <row r="10" spans="1:18">
      <c r="A10" s="6" t="s">
        <v>41</v>
      </c>
      <c r="B10" s="37">
        <f t="shared" si="0"/>
        <v>184.18366403000002</v>
      </c>
      <c r="C10" s="33"/>
      <c r="D10" s="37">
        <f>IF( ISERROR(IND_voed_gas_kWh/1000),0,IND_voed_gas_kWh/1000)*0.902</f>
        <v>0</v>
      </c>
      <c r="E10" s="33">
        <f>C32*'E Balans VL '!I20/100/3.6*1000000</f>
        <v>4.6822016445384431</v>
      </c>
      <c r="F10" s="33">
        <f>C32*'E Balans VL '!L20/100/3.6*1000000+C32*'E Balans VL '!N20/100/3.6*1000000</f>
        <v>41.677998334752367</v>
      </c>
      <c r="G10" s="34"/>
      <c r="H10" s="33"/>
      <c r="I10" s="33"/>
      <c r="J10" s="40">
        <f>C32*'E Balans VL '!D20/100/3.6*1000000+C32*'E Balans VL '!E20/100/3.6*1000000</f>
        <v>0</v>
      </c>
      <c r="K10" s="33"/>
      <c r="L10" s="33"/>
      <c r="M10" s="33"/>
      <c r="N10" s="33">
        <f>C32*'E Balans VL '!Y20/100/3.6*1000000</f>
        <v>69.073866505836619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569.87906473999999</v>
      </c>
      <c r="C15" s="33"/>
      <c r="D15" s="37">
        <f>IF( ISERROR(IND_rest_gas_kWh/1000),0,IND_rest_gas_kWh/1000)*0.902</f>
        <v>12989.148253180001</v>
      </c>
      <c r="E15" s="33">
        <f>C37*'E Balans VL '!I15/100/3.6*1000000</f>
        <v>30.928983773324493</v>
      </c>
      <c r="F15" s="33">
        <f>C37*'E Balans VL '!L15/100/3.6*1000000+C37*'E Balans VL '!N15/100/3.6*1000000</f>
        <v>124.20728593057842</v>
      </c>
      <c r="G15" s="34"/>
      <c r="H15" s="33"/>
      <c r="I15" s="33"/>
      <c r="J15" s="40">
        <f>C37*'E Balans VL '!D15/100/3.6*1000000+C37*'E Balans VL '!E15/100/3.6*1000000</f>
        <v>4.620075427973827</v>
      </c>
      <c r="K15" s="33"/>
      <c r="L15" s="33"/>
      <c r="M15" s="33"/>
      <c r="N15" s="33">
        <f>C37*'E Balans VL '!Y15/100/3.6*1000000</f>
        <v>114.75523230354369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2399.0881960800002</v>
      </c>
      <c r="C18" s="21">
        <f>C5+C16</f>
        <v>0</v>
      </c>
      <c r="D18" s="21">
        <f>MAX((D5+D16),0)</f>
        <v>13477.248715284421</v>
      </c>
      <c r="E18" s="21">
        <f>MAX((E5+E16),0)</f>
        <v>335.38027159568105</v>
      </c>
      <c r="F18" s="21">
        <f>MAX((F5+F16),0)</f>
        <v>1349.8568421812558</v>
      </c>
      <c r="G18" s="21"/>
      <c r="H18" s="21"/>
      <c r="I18" s="21"/>
      <c r="J18" s="21">
        <f>MAX((J5+J16),0)</f>
        <v>4.620075427973827</v>
      </c>
      <c r="K18" s="21"/>
      <c r="L18" s="21">
        <f>MAX((L5+L16),0)</f>
        <v>0</v>
      </c>
      <c r="M18" s="21"/>
      <c r="N18" s="21">
        <f>MAX((N5+N16),0)</f>
        <v>554.50887309544248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0.20924263021811848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501.99152427302039</v>
      </c>
      <c r="C22" s="23">
        <f ca="1">C18*C20</f>
        <v>0</v>
      </c>
      <c r="D22" s="23">
        <f>D18*D20</f>
        <v>2722.4042404874531</v>
      </c>
      <c r="E22" s="23">
        <f>E18*E20</f>
        <v>76.131321652219597</v>
      </c>
      <c r="F22" s="23">
        <f>F18*F20</f>
        <v>360.41177686239536</v>
      </c>
      <c r="G22" s="23"/>
      <c r="H22" s="23"/>
      <c r="I22" s="23"/>
      <c r="J22" s="23">
        <f>J18*J20</f>
        <v>1.6355067015027347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547.47849930999996</v>
      </c>
      <c r="C30" s="39">
        <f>IF(ISERROR(B30*3.6/1000000/'E Balans VL '!Z18*100),0,B30*3.6/1000000/'E Balans VL '!Z18*100)</f>
        <v>0.11599895637411539</v>
      </c>
      <c r="D30" s="237" t="s">
        <v>660</v>
      </c>
    </row>
    <row r="31" spans="1:18">
      <c r="A31" s="6" t="s">
        <v>33</v>
      </c>
      <c r="B31" s="37">
        <f>IF( ISERROR(IND_ander_ele_kWh/1000),0,IND_ander_ele_kWh/1000)</f>
        <v>1097.5469680000001</v>
      </c>
      <c r="C31" s="39">
        <f>IF(ISERROR(B31*3.6/1000000/'E Balans VL '!Z19*100),0,B31*3.6/1000000/'E Balans VL '!Z19*100)</f>
        <v>4.6198244044755581E-2</v>
      </c>
      <c r="D31" s="237" t="s">
        <v>660</v>
      </c>
    </row>
    <row r="32" spans="1:18">
      <c r="A32" s="171" t="s">
        <v>41</v>
      </c>
      <c r="B32" s="37">
        <f>IF( ISERROR(IND_voed_ele_kWh/1000),0,IND_voed_ele_kWh/1000)</f>
        <v>184.18366403000002</v>
      </c>
      <c r="C32" s="39">
        <f>IF(ISERROR(B32*3.6/1000000/'E Balans VL '!Z20*100),0,B32*3.6/1000000/'E Balans VL '!Z20*100)</f>
        <v>3.076996497104665E-2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569.87906473999999</v>
      </c>
      <c r="C37" s="39">
        <f>IF(ISERROR(B37*3.6/1000000/'E Balans VL '!Z15*100),0,B37*3.6/1000000/'E Balans VL '!Z15*100)</f>
        <v>4.6008543569338962E-3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2194.8927951189999</v>
      </c>
      <c r="C5" s="17">
        <f>'Eigen informatie GS &amp; warmtenet'!B60</f>
        <v>0</v>
      </c>
      <c r="D5" s="30">
        <f>IF(ISERROR(SUM(LB_lb_gas_kWh,LB_rest_gas_kWh)/1000),0,SUM(LB_lb_gas_kWh,LB_rest_gas_kWh)/1000)*0.902</f>
        <v>10531.25749359948</v>
      </c>
      <c r="E5" s="17">
        <f>B17*'E Balans VL '!I25/3.6*1000000/100</f>
        <v>56.597857772119163</v>
      </c>
      <c r="F5" s="17">
        <f>B17*('E Balans VL '!L25/3.6*1000000+'E Balans VL '!N25/3.6*1000000)/100</f>
        <v>8022.7511631876732</v>
      </c>
      <c r="G5" s="18"/>
      <c r="H5" s="17"/>
      <c r="I5" s="17"/>
      <c r="J5" s="17">
        <f>('E Balans VL '!D25+'E Balans VL '!E25)/3.6*1000000*landbouw!B17/100</f>
        <v>315.98381972856748</v>
      </c>
      <c r="K5" s="17"/>
      <c r="L5" s="17">
        <f>L6*(-1)</f>
        <v>0</v>
      </c>
      <c r="M5" s="17"/>
      <c r="N5" s="17">
        <f>N6*(-1)</f>
        <v>0</v>
      </c>
      <c r="O5" s="17"/>
      <c r="P5" s="17"/>
      <c r="R5" s="32"/>
    </row>
    <row r="6" spans="1:18">
      <c r="A6" s="16" t="s">
        <v>491</v>
      </c>
      <c r="B6" s="17" t="s">
        <v>211</v>
      </c>
      <c r="C6" s="17">
        <f>'lokale energieproductie'!O92+'lokale energieproductie'!O61</f>
        <v>5637.8571428571431</v>
      </c>
      <c r="D6" s="310">
        <f>('lokale energieproductie'!P61+'lokale energieproductie'!P92)*(-1)</f>
        <v>-11275.714285714286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2194.8927951189999</v>
      </c>
      <c r="C8" s="21">
        <f>C5+C6</f>
        <v>5637.8571428571431</v>
      </c>
      <c r="D8" s="21">
        <f>MAX((D5+D6),0)</f>
        <v>0</v>
      </c>
      <c r="E8" s="21">
        <f>MAX((E5+E6),0)</f>
        <v>56.597857772119163</v>
      </c>
      <c r="F8" s="21">
        <f>MAX((F5+F6),0)</f>
        <v>8022.7511631876732</v>
      </c>
      <c r="G8" s="21"/>
      <c r="H8" s="21"/>
      <c r="I8" s="21"/>
      <c r="J8" s="21">
        <f>MAX((J5+J6),0)</f>
        <v>315.98381972856748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0.20924263021811848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459.26514149749738</v>
      </c>
      <c r="C12" s="23">
        <f ca="1">C8*C10</f>
        <v>1339.8201680672271</v>
      </c>
      <c r="D12" s="23">
        <f>D8*D10</f>
        <v>0</v>
      </c>
      <c r="E12" s="23">
        <f>E8*E10</f>
        <v>12.84771371427105</v>
      </c>
      <c r="F12" s="23">
        <f>F8*F10</f>
        <v>2142.074560571109</v>
      </c>
      <c r="G12" s="23"/>
      <c r="H12" s="23"/>
      <c r="I12" s="23"/>
      <c r="J12" s="23">
        <f>J8*J10</f>
        <v>111.85827218391289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0.30949442275565564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171.95493841475792</v>
      </c>
      <c r="C26" s="247">
        <f>B26*'GWP N2O_CH4'!B5</f>
        <v>3611.0537067099162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33.170296156026275</v>
      </c>
      <c r="C27" s="247">
        <f>B27*'GWP N2O_CH4'!B5</f>
        <v>696.5762192765518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2.0465530039297057</v>
      </c>
      <c r="C28" s="247">
        <f>B28*'GWP N2O_CH4'!B4</f>
        <v>634.43143121820879</v>
      </c>
      <c r="D28" s="50"/>
    </row>
    <row r="29" spans="1:4">
      <c r="A29" s="41" t="s">
        <v>277</v>
      </c>
      <c r="B29" s="247">
        <f>B34*'ha_N2O bodem landbouw'!B4</f>
        <v>12.406271893784281</v>
      </c>
      <c r="C29" s="247">
        <f>B29*'GWP N2O_CH4'!B4</f>
        <v>3845.9442870731268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2.7920853525275559E-3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1.1926907400884636E-4</v>
      </c>
      <c r="C5" s="463" t="s">
        <v>211</v>
      </c>
      <c r="D5" s="448">
        <f>SUM(D6:D11)</f>
        <v>2.8091711406545933E-4</v>
      </c>
      <c r="E5" s="448">
        <f>SUM(E6:E11)</f>
        <v>1.2126995161696689E-3</v>
      </c>
      <c r="F5" s="461" t="s">
        <v>211</v>
      </c>
      <c r="G5" s="448">
        <f>SUM(G6:G11)</f>
        <v>0.50935511602826933</v>
      </c>
      <c r="H5" s="448">
        <f>SUM(H6:H11)</f>
        <v>7.6977098632188004E-2</v>
      </c>
      <c r="I5" s="463" t="s">
        <v>211</v>
      </c>
      <c r="J5" s="463" t="s">
        <v>211</v>
      </c>
      <c r="K5" s="463" t="s">
        <v>211</v>
      </c>
      <c r="L5" s="463" t="s">
        <v>211</v>
      </c>
      <c r="M5" s="448">
        <f>SUM(M6:M11)</f>
        <v>1.835285665998309E-2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2.8625675058455944E-5</v>
      </c>
      <c r="C6" s="449"/>
      <c r="D6" s="892">
        <f>vkm_2011_GW_PW*SUMIFS(TableVerdeelsleutelVkm[CNG],TableVerdeelsleutelVkm[Voertuigtype],"Lichte voertuigen")*SUMIFS(TableECFTransport[EnergieConsumptieFactor (PJ per km)],TableECFTransport[Index],CONCATENATE($A6,"_CNG_CNG"))</f>
        <v>5.6879717763775609E-5</v>
      </c>
      <c r="E6" s="892">
        <f>vkm_2011_GW_PW*SUMIFS(TableVerdeelsleutelVkm[LPG],TableVerdeelsleutelVkm[Voertuigtype],"Lichte voertuigen")*SUMIFS(TableECFTransport[EnergieConsumptieFactor (PJ per km)],TableECFTransport[Index],CONCATENATE($A6,"_LPG_LPG"))</f>
        <v>2.2384207925076107E-4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5.3221965976230683E-2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1.5399050787132208E-2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2.1382942479197422E-3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4.1099625766675286E-2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1.3276934631821164E-5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1.2949863223542372E-3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2.4677259977396681E-5</v>
      </c>
      <c r="C8" s="449"/>
      <c r="D8" s="451">
        <f>vkm_2011_NGW_PW*SUMIFS(TableVerdeelsleutelVkm[CNG],TableVerdeelsleutelVkm[Voertuigtype],"Lichte voertuigen")*SUMIFS(TableECFTransport[EnergieConsumptieFactor (PJ per km)],TableECFTransport[Index],CONCATENATE($A8,"_CNG_CNG"))</f>
        <v>8.6821588634314388E-5</v>
      </c>
      <c r="E8" s="451">
        <f>vkm_2011_NGW_PW*SUMIFS(TableVerdeelsleutelVkm[LPG],TableVerdeelsleutelVkm[Voertuigtype],"Lichte voertuigen")*SUMIFS(TableECFTransport[EnergieConsumptieFactor (PJ per km)],TableECFTransport[Index],CONCATENATE($A8,"_LPG_LPG"))</f>
        <v>3.1598815712178369E-4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7.0158253631533607E-2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2.2791938373775494E-2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2.893503207025987E-3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2.5945990491821631E-2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7.9267200940383512E-6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8.1750481584777902E-4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6.5966138972993729E-5</v>
      </c>
      <c r="C10" s="449"/>
      <c r="D10" s="451">
        <f>vkm_2011_SW_PW*SUMIFS(TableVerdeelsleutelVkm[CNG],TableVerdeelsleutelVkm[Voertuigtype],"Lichte voertuigen")*SUMIFS(TableECFTransport[EnergieConsumptieFactor (PJ per km)],TableECFTransport[Index],CONCATENATE($A10,"_CNG_CNG"))</f>
        <v>1.3721580766736937E-4</v>
      </c>
      <c r="E10" s="451">
        <f>vkm_2011_SW_PW*SUMIFS(TableVerdeelsleutelVkm[LPG],TableVerdeelsleutelVkm[Voertuigtype],"Lichte voertuigen")*SUMIFS(TableECFTransport[EnergieConsumptieFactor (PJ per km)],TableECFTransport[Index],CONCATENATE($A10,"_LPG_LPG"))</f>
        <v>6.7286927979712404E-4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0.14331343096489008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3.8703781229267945E-2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5.6750495989974989E-3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0.17561584919711801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6.1124587286513684E-5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5.5335184678378443E-3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33.130298335790656</v>
      </c>
      <c r="C14" s="21"/>
      <c r="D14" s="21">
        <f t="shared" ref="D14:M14" si="0">((D5)*10^9/3600)+D12</f>
        <v>78.032531684849815</v>
      </c>
      <c r="E14" s="21">
        <f t="shared" si="0"/>
        <v>336.8609767137969</v>
      </c>
      <c r="F14" s="21"/>
      <c r="G14" s="21">
        <f t="shared" si="0"/>
        <v>141487.53223007481</v>
      </c>
      <c r="H14" s="21">
        <f t="shared" si="0"/>
        <v>21382.527397830003</v>
      </c>
      <c r="I14" s="21"/>
      <c r="J14" s="21"/>
      <c r="K14" s="21"/>
      <c r="L14" s="21"/>
      <c r="M14" s="21">
        <f t="shared" si="0"/>
        <v>5098.0157388841917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0.20924263021811848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6.9322707636917906</v>
      </c>
      <c r="C18" s="23"/>
      <c r="D18" s="23">
        <f t="shared" ref="D18:M18" si="1">D14*D16</f>
        <v>15.762571400339663</v>
      </c>
      <c r="E18" s="23">
        <f t="shared" si="1"/>
        <v>76.467441714031892</v>
      </c>
      <c r="F18" s="23"/>
      <c r="G18" s="23">
        <f t="shared" si="1"/>
        <v>37777.171105429974</v>
      </c>
      <c r="H18" s="23">
        <f t="shared" si="1"/>
        <v>5324.2493220596707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2.2313435880976706E-3</v>
      </c>
      <c r="H50" s="321">
        <f t="shared" si="2"/>
        <v>0</v>
      </c>
      <c r="I50" s="321">
        <f t="shared" si="2"/>
        <v>0</v>
      </c>
      <c r="J50" s="321">
        <f t="shared" si="2"/>
        <v>0</v>
      </c>
      <c r="K50" s="321">
        <f t="shared" si="2"/>
        <v>0</v>
      </c>
      <c r="L50" s="321">
        <f t="shared" si="2"/>
        <v>0</v>
      </c>
      <c r="M50" s="321">
        <f t="shared" si="2"/>
        <v>6.9211286180881983E-5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2.2313435880976706E-3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6.9211286180881983E-5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619.81766336046405</v>
      </c>
      <c r="H54" s="21">
        <f t="shared" si="3"/>
        <v>0</v>
      </c>
      <c r="I54" s="21">
        <f t="shared" si="3"/>
        <v>0</v>
      </c>
      <c r="J54" s="21">
        <f t="shared" si="3"/>
        <v>0</v>
      </c>
      <c r="K54" s="21">
        <f t="shared" si="3"/>
        <v>0</v>
      </c>
      <c r="L54" s="21">
        <f t="shared" si="3"/>
        <v>0</v>
      </c>
      <c r="M54" s="21">
        <f t="shared" si="3"/>
        <v>19.225357272467217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0.20924263021811848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165.49131611724391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2522.0645357324588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3946.5</v>
      </c>
      <c r="C8" s="570">
        <f>B101</f>
        <v>4642.9411764705883</v>
      </c>
      <c r="D8" s="1043"/>
      <c r="E8" s="1043">
        <f>E101</f>
        <v>0</v>
      </c>
      <c r="F8" s="1044"/>
      <c r="G8" s="571"/>
      <c r="H8" s="1043">
        <f>I101</f>
        <v>0</v>
      </c>
      <c r="I8" s="1043">
        <f>G101+F101</f>
        <v>0</v>
      </c>
      <c r="J8" s="1043">
        <f>H101+D101+C101</f>
        <v>0</v>
      </c>
      <c r="K8" s="1043"/>
      <c r="L8" s="1043"/>
      <c r="M8" s="1043"/>
      <c r="N8" s="572"/>
      <c r="O8" s="573">
        <f>C8*$C$12+D8*$D$12+E8*$E$12+F8*$F$12+G8*$G$12+H8*$H$12+I8*$I$12+J8*$J$12</f>
        <v>937.87411764705894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6468.5645357324593</v>
      </c>
      <c r="C10" s="583">
        <f t="shared" ref="C10:L10" si="0">SUM(C8:C9)</f>
        <v>4642.9411764705883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937.87411764705894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5637.8571428571431</v>
      </c>
      <c r="C17" s="595">
        <f>B102</f>
        <v>6632.7731092436979</v>
      </c>
      <c r="D17" s="596"/>
      <c r="E17" s="596">
        <f>E102</f>
        <v>0</v>
      </c>
      <c r="F17" s="1049"/>
      <c r="G17" s="597"/>
      <c r="H17" s="595">
        <f>I102</f>
        <v>0</v>
      </c>
      <c r="I17" s="596">
        <f>G102+F102</f>
        <v>0</v>
      </c>
      <c r="J17" s="596">
        <f>H102+D102+C102</f>
        <v>0</v>
      </c>
      <c r="K17" s="596"/>
      <c r="L17" s="596"/>
      <c r="M17" s="596"/>
      <c r="N17" s="1050"/>
      <c r="O17" s="598">
        <f>C17*$C$22+E17*$E$22+H17*$H$22+I17*$I$22+J17*$J$22+D17*$D$22+F17*$F$22+G17*$G$22+K17*$K$22+L17*$L$22</f>
        <v>1339.8201680672271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5637.8571428571431</v>
      </c>
      <c r="C20" s="582">
        <f>SUM(C17:C19)</f>
        <v>6632.7731092436979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1339.8201680672271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42010</v>
      </c>
      <c r="C28" s="796">
        <v>9270</v>
      </c>
      <c r="D28" s="653" t="s">
        <v>890</v>
      </c>
      <c r="E28" s="652" t="s">
        <v>891</v>
      </c>
      <c r="F28" s="652" t="s">
        <v>892</v>
      </c>
      <c r="G28" s="652" t="s">
        <v>893</v>
      </c>
      <c r="H28" s="652" t="s">
        <v>894</v>
      </c>
      <c r="I28" s="652" t="s">
        <v>891</v>
      </c>
      <c r="J28" s="795">
        <v>40081</v>
      </c>
      <c r="K28" s="795">
        <v>40084</v>
      </c>
      <c r="L28" s="652" t="s">
        <v>895</v>
      </c>
      <c r="M28" s="652">
        <v>877</v>
      </c>
      <c r="N28" s="652">
        <v>3946.5</v>
      </c>
      <c r="O28" s="652">
        <v>5637.8571428571431</v>
      </c>
      <c r="P28" s="652">
        <v>11275.714285714286</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877</v>
      </c>
      <c r="N58" s="610">
        <f>SUM(N28:N57)</f>
        <v>3946.5</v>
      </c>
      <c r="O58" s="610">
        <f t="shared" ref="O58:W58" si="2">SUM(O28:O57)</f>
        <v>5637.8571428571431</v>
      </c>
      <c r="P58" s="610">
        <f t="shared" si="2"/>
        <v>11275.714285714286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877</v>
      </c>
      <c r="N61" s="615">
        <f t="shared" si="4"/>
        <v>3946.5</v>
      </c>
      <c r="O61" s="615">
        <f t="shared" si="4"/>
        <v>5637.8571428571431</v>
      </c>
      <c r="P61" s="615">
        <f t="shared" si="4"/>
        <v>11275.714285714286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4642.9411764705883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6632.7731092436979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2019-08-12T08:25:16Z</dcterms:modified>
</cp:coreProperties>
</file>