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O77" i="14" s="1"/>
  <c r="K9" i="18"/>
  <c r="I9"/>
  <c r="I77" i="14" s="1"/>
  <c r="I9" i="59" s="1"/>
  <c r="G9" i="18"/>
  <c r="F9"/>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P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N77" i="14"/>
  <c r="N9"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Q54"/>
  <c r="Q56" s="1"/>
  <c r="P54"/>
  <c r="P56" s="1"/>
  <c r="L54"/>
  <c r="J54"/>
  <c r="J56" s="1"/>
  <c r="I54"/>
  <c r="H54"/>
  <c r="Q24"/>
  <c r="Q26" s="1"/>
  <c r="P24"/>
  <c r="P26" s="1"/>
  <c r="N24"/>
  <c r="L24"/>
  <c r="J24"/>
  <c r="J26" s="1"/>
  <c r="I24"/>
  <c r="I26" s="1"/>
  <c r="H24"/>
  <c r="H26" s="1"/>
  <c r="Q50"/>
  <c r="P50"/>
  <c r="O50"/>
  <c r="M50"/>
  <c r="L50"/>
  <c r="K50"/>
  <c r="J50"/>
  <c r="G50"/>
  <c r="D50"/>
  <c r="Q49"/>
  <c r="P49"/>
  <c r="Q20"/>
  <c r="P20"/>
  <c r="O20"/>
  <c r="O22" s="1"/>
  <c r="M20"/>
  <c r="L20"/>
  <c r="K20"/>
  <c r="J20"/>
  <c r="G20"/>
  <c r="D20"/>
  <c r="Q19"/>
  <c r="P19"/>
  <c r="O19"/>
  <c r="M19"/>
  <c r="L19"/>
  <c r="K19"/>
  <c r="J19"/>
  <c r="I19"/>
  <c r="G19"/>
  <c r="G22" s="1"/>
  <c r="F19"/>
  <c r="E19"/>
  <c r="D19"/>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L56"/>
  <c r="H56"/>
  <c r="I56"/>
  <c r="Q52"/>
  <c r="R44"/>
  <c r="E25"/>
  <c r="E55" s="1"/>
  <c r="C25"/>
  <c r="B14" i="48" s="1"/>
  <c r="N26" i="14"/>
  <c r="L26"/>
  <c r="L22"/>
  <c r="D22"/>
  <c r="P22"/>
  <c r="M22"/>
  <c r="R12"/>
  <c r="O78" l="1"/>
  <c r="O9" i="59"/>
  <c r="O10" s="1"/>
  <c r="N19"/>
  <c r="N20" s="1"/>
  <c r="N90" i="14"/>
  <c r="L18" i="59"/>
  <c r="L20" s="1"/>
  <c r="L90" i="14"/>
  <c r="K18" i="59"/>
  <c r="K90" i="14"/>
  <c r="L78"/>
  <c r="L8" i="59"/>
  <c r="L10" s="1"/>
  <c r="H90" i="14"/>
  <c r="H18" i="59"/>
  <c r="H78" i="14"/>
  <c r="H8" i="59"/>
  <c r="K10"/>
  <c r="H20"/>
  <c r="C98" i="18"/>
  <c r="G101" s="1"/>
  <c r="O90" i="14"/>
  <c r="H10" i="59"/>
  <c r="P29" i="48"/>
  <c r="L10" i="18"/>
  <c r="G20"/>
  <c r="E20" i="59"/>
  <c r="E10"/>
  <c r="E77" i="14"/>
  <c r="E9" i="59" s="1"/>
  <c r="B17" i="18"/>
  <c r="B20" s="1"/>
  <c r="K20" i="59"/>
  <c r="P25" i="48"/>
  <c r="R25" i="14"/>
  <c r="G78"/>
  <c r="N10" i="59"/>
  <c r="B8" i="18"/>
  <c r="B10" s="1"/>
  <c r="O19"/>
  <c r="L13" i="15"/>
  <c r="N13"/>
  <c r="Q77" i="14"/>
  <c r="P9" i="59" s="1"/>
  <c r="O9" i="18"/>
  <c r="O18"/>
  <c r="B89" i="14"/>
  <c r="B19" i="59" s="1"/>
  <c r="G88" i="14"/>
  <c r="F89"/>
  <c r="I101" i="18"/>
  <c r="H8" s="1"/>
  <c r="E101"/>
  <c r="E8" s="1"/>
  <c r="H101"/>
  <c r="C101"/>
  <c r="F101"/>
  <c r="B101"/>
  <c r="C8" s="1"/>
  <c r="I102"/>
  <c r="H17" s="1"/>
  <c r="E102"/>
  <c r="E17" s="1"/>
  <c r="H102"/>
  <c r="D102"/>
  <c r="G102"/>
  <c r="C102"/>
  <c r="F102"/>
  <c r="B102"/>
  <c r="C17" s="1"/>
  <c r="B77" i="14"/>
  <c r="B9" i="59" s="1"/>
  <c r="Q14" i="48"/>
  <c r="O24"/>
  <c r="O30"/>
  <c r="P24"/>
  <c r="P30"/>
  <c r="C77" i="14"/>
  <c r="C9" i="59" s="1"/>
  <c r="E78" i="14"/>
  <c r="E90"/>
  <c r="N78"/>
  <c r="G90" l="1"/>
  <c r="G18" i="59"/>
  <c r="G20" s="1"/>
  <c r="C89" i="14"/>
  <c r="C19" i="59" s="1"/>
  <c r="F19"/>
  <c r="Q88" i="14"/>
  <c r="P18" i="59" s="1"/>
  <c r="B88" i="14"/>
  <c r="B18" i="59" s="1"/>
  <c r="D101" i="18"/>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9"/>
  <c r="I25"/>
  <c r="I28"/>
  <c r="I30"/>
  <c r="I24"/>
  <c r="I22"/>
  <c r="I26"/>
  <c r="D4"/>
  <c r="D22" s="1"/>
  <c r="E11" i="14"/>
  <c r="H32" i="48"/>
  <c r="H25"/>
  <c r="H29"/>
  <c r="H28"/>
  <c r="H22"/>
  <c r="H30"/>
  <c r="H24"/>
  <c r="H26"/>
  <c r="H23"/>
  <c r="C4"/>
  <c r="D11" i="14"/>
  <c r="G32" i="48"/>
  <c r="G25"/>
  <c r="G29"/>
  <c r="G26"/>
  <c r="G24"/>
  <c r="G22"/>
  <c r="G30"/>
  <c r="G23"/>
  <c r="B4"/>
  <c r="C11" i="14"/>
  <c r="F32" i="48"/>
  <c r="F27"/>
  <c r="F29"/>
  <c r="F24"/>
  <c r="F28"/>
  <c r="F31"/>
  <c r="F30"/>
  <c r="N32"/>
  <c r="N27"/>
  <c r="N31"/>
  <c r="N24"/>
  <c r="N29"/>
  <c r="N28"/>
  <c r="N30"/>
  <c r="B10"/>
  <c r="C19" i="14"/>
  <c r="E28" i="48"/>
  <c r="E32"/>
  <c r="E31"/>
  <c r="E30"/>
  <c r="E29"/>
  <c r="E24"/>
  <c r="M32"/>
  <c r="M22"/>
  <c r="M30"/>
  <c r="M29"/>
  <c r="M24"/>
  <c r="M25"/>
  <c r="M26"/>
  <c r="M23"/>
  <c r="L10" i="14"/>
  <c r="L16" s="1"/>
  <c r="L27" s="1"/>
  <c r="K5" i="48"/>
  <c r="D28"/>
  <c r="D30"/>
  <c r="D29"/>
  <c r="D31"/>
  <c r="D32"/>
  <c r="D24"/>
  <c r="L28"/>
  <c r="L32"/>
  <c r="L29"/>
  <c r="L22"/>
  <c r="L30"/>
  <c r="L24"/>
  <c r="L31"/>
  <c r="L27"/>
  <c r="P5"/>
  <c r="P23" s="1"/>
  <c r="Q10" i="14"/>
  <c r="K28" i="48"/>
  <c r="K27"/>
  <c r="K32"/>
  <c r="K31"/>
  <c r="K25"/>
  <c r="K29"/>
  <c r="K22"/>
  <c r="K26"/>
  <c r="K30"/>
  <c r="K24"/>
  <c r="C24" i="14"/>
  <c r="C26" s="1"/>
  <c r="B7" i="48"/>
  <c r="J28"/>
  <c r="J27"/>
  <c r="J32"/>
  <c r="J31"/>
  <c r="J29"/>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15" i="48"/>
  <c r="K23"/>
  <c r="C22" i="14"/>
  <c r="P8" i="48"/>
  <c r="P26" s="1"/>
  <c r="Q13" i="14"/>
  <c r="F20"/>
  <c r="F22" s="1"/>
  <c r="E9" i="48"/>
  <c r="E27" s="1"/>
  <c r="E20" i="14"/>
  <c r="E22" s="1"/>
  <c r="D9" i="48"/>
  <c r="D27" s="1"/>
  <c r="O5"/>
  <c r="O23" s="1"/>
  <c r="P10" i="14"/>
  <c r="J7" i="48"/>
  <c r="J25" s="1"/>
  <c r="K24" i="14"/>
  <c r="K26" s="1"/>
  <c r="P22" i="48"/>
  <c r="C20" i="14"/>
  <c r="B9" i="48"/>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<sst xmlns="http://schemas.openxmlformats.org/spreadsheetml/2006/main" count="2401" uniqueCount="897">
  <si>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</si>
  <si>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</si>
  <si>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</si>
  <si>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</si>
  <si>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</si>
  <si>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</si>
  <si>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</si>
  <si>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</si>
  <si>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</si>
  <si>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</si>
  <si>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</si>
  <si>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</si>
  <si>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</si>
  <si>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</si>
  <si>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</si>
  <si>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</si>
  <si>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</si>
  <si>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</si>
  <si>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</si>
  <si>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</si>
  <si>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</si>
  <si>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</si>
  <si>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</si>
  <si>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</si>
  <si>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</si>
  <si>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</si>
  <si>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</si>
  <si>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</si>
  <si>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</si>
  <si>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</si>
  <si>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</si>
  <si>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</si>
  <si>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</si>
  <si>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</si>
  <si>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</si>
  <si>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</si>
  <si>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</si>
  <si>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</si>
  <si>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</si>
  <si>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</si>
  <si>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</si>
  <si>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</si>
  <si>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</si>
  <si>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</si>
  <si>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</si>
  <si>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</si>
  <si>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</si>
  <si>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</si>
  <si>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</si>
  <si>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</si>
  <si>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</si>
  <si>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</si>
  <si>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</si>
  <si>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</si>
  <si>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</si>
  <si>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</si>
  <si>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</si>
  <si>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</si>
  <si>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</si>
  <si>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</si>
  <si>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</si>
  <si>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</si>
  <si>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</si>
  <si>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</si>
  <si>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</si>
  <si>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</si>
  <si>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</si>
  <si>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</si>
  <si>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</si>
  <si>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</si>
  <si>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</si>
  <si>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</si>
  <si>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</si>
  <si>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</si>
  <si>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</si>
  <si>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</si>
  <si>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</si>
  <si>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</si>
  <si>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</si>
  <si>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</si>
  <si>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</si>
  <si>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</si>
  <si>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</si>
  <si>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</si>
  <si>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</si>
  <si>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</si>
  <si>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</si>
  <si>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</si>
  <si>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</si>
  <si>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</si>
  <si>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</si>
  <si>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</si>
  <si>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</si>
  <si>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</si>
  <si>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</si>
  <si>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</si>
  <si>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</si>
  <si>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</si>
  <si>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</si>
  <si>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</si>
  <si>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</si>
  <si>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</si>
  <si>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</si>
  <si>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</si>
  <si>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</si>
  <si>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</si>
  <si>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</si>
  <si>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</si>
  <si>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</si>
  <si>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</si>
  <si>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</si>
  <si>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</si>
  <si>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</si>
  <si>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</si>
  <si>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</si>
  <si>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</si>
  <si>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</si>
  <si>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</si>
  <si>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</si>
  <si>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</si>
  <si>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</si>
  <si>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</si>
  <si>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</si>
  <si>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</si>
  <si>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</si>
  <si>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</si>
  <si>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</si>
  <si>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</si>
  <si>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</si>
  <si>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</si>
  <si>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</si>
  <si>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</si>
  <si>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</si>
  <si>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</si>
  <si>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</si>
  <si>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</si>
  <si>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</si>
  <si>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</si>
  <si>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</si>
  <si>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</si>
  <si>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</si>
  <si>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</si>
  <si>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</si>
  <si>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</si>
  <si>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</si>
  <si>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</si>
  <si>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</si>
  <si>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</si>
  <si>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</si>
  <si>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</si>
  <si>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</si>
  <si>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</si>
  <si>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</si>
  <si>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</si>
  <si>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</si>
  <si>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</si>
  <si>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</si>
  <si>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</si>
  <si>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</si>
  <si>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</si>
  <si>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</si>
  <si>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</si>
  <si>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</si>
  <si>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</si>
  <si>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</si>
  <si>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</si>
  <si>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</si>
  <si>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</si>
  <si>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</si>
  <si>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</si>
  <si>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</si>
  <si>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</si>
  <si>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</si>
  <si>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</si>
  <si>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</si>
  <si>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</si>
  <si>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</si>
  <si>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</si>
  <si>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</si>
  <si>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</si>
  <si>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</si>
  <si>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</si>
  <si>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</si>
  <si>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</si>
  <si>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</si>
  <si>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</si>
  <si>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</si>
  <si>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</si>
  <si>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</si>
  <si>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</si>
  <si>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</si>
  <si>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</si>
  <si>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</si>
  <si>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</si>
  <si>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</si>
  <si>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</si>
  <si>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</si>
  <si>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</si>
  <si>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</si>
  <si>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</si>
  <si>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</si>
  <si>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</si>
  <si>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</si>
  <si>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</si>
  <si>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</si>
  <si>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</si>
  <si>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</si>
  <si>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</si>
  <si>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</si>
  <si>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</si>
  <si>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</si>
  <si>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</si>
  <si>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</si>
  <si>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</si>
  <si>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</si>
  <si>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</si>
  <si>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</si>
  <si>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</si>
  <si>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</si>
  <si>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</si>
  <si>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</si>
  <si>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</si>
  <si>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</si>
  <si>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</si>
  <si>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</si>
  <si>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</si>
  <si>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</si>
  <si>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</si>
  <si>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</si>
  <si>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</si>
  <si>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</si>
  <si>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</si>
  <si>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</si>
  <si>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</si>
  <si>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</si>
  <si>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</si>
  <si>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</si>
  <si>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</si>
  <si>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</si>
  <si>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</si>
  <si>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</si>
  <si>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</si>
  <si>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</si>
  <si>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</si>
  <si>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</si>
  <si>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</si>
  <si>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</si>
  <si>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</si>
  <si>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</si>
  <si>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</si>
  <si>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</si>
  <si>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</si>
  <si>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</si>
  <si>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</si>
  <si>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</si>
  <si>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</si>
  <si>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</si>
  <si>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</si>
  <si>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</si>
  <si>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</si>
  <si>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</si>
  <si>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</si>
  <si>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</si>
  <si>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</si>
  <si>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</si>
  <si>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</si>
  <si>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</si>
  <si>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</si>
  <si>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</si>
  <si>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</si>
  <si>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</si>
  <si>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</si>
  <si>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</si>
  <si>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</si>
  <si>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</si>
  <si>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</si>
  <si>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</si>
  <si>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</si>
  <si>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</si>
  <si>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</si>
  <si>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</si>
  <si>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</si>
  <si>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</si>
  <si>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</si>
  <si>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</si>
  <si>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</si>
  <si>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</si>
  <si>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</si>
  <si>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</si>
  <si>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</si>
  <si>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</si>
  <si>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</si>
  <si>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</si>
  <si>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</si>
  <si>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</si>
  <si>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</si>
  <si>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</si>
  <si>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</si>
  <si>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</si>
  <si>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</si>
  <si>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</si>
  <si>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</si>
  <si>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</si>
  <si>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</si>
  <si>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</si>
  <si>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</si>
  <si>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</si>
  <si>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</si>
  <si>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</si>
  <si>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</si>
  <si>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</si>
  <si>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</si>
  <si>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</si>
  <si>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</si>
  <si>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</si>
  <si>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</si>
  <si>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</si>
  <si>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</si>
  <si>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</si>
  <si>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</si>
  <si>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</si>
  <si>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</si>
  <si>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</si>
  <si>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</si>
  <si>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</si>
  <si>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</si>
  <si>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</si>
  <si>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</si>
  <si>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</si>
  <si>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</si>
  <si>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</si>
  <si>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</si>
  <si>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</si>
  <si>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</si>
  <si>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</si>
  <si>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</si>
  <si>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</si>
  <si>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</si>
  <si>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</si>
  <si>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</si>
  <si>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</si>
  <si>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</si>
  <si>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</si>
  <si>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</si>
  <si>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</si>
  <si>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</si>
  <si>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</si>
  <si>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</si>
  <si>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</si>
  <si>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</si>
  <si>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</si>
  <si>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</si>
  <si>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</si>
  <si>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</si>
  <si>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</si>
  <si>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</si>
  <si>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</si>
  <si>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</si>
  <si>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</si>
  <si>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</si>
  <si>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</si>
  <si>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</si>
  <si>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</si>
  <si>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</si>
  <si>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</si>
  <si>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</si>
  <si>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</si>
  <si>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</si>
  <si>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</si>
  <si>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</si>
  <si>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</si>
  <si>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</si>
  <si>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</si>
  <si>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</si>
  <si>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</si>
  <si>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</si>
  <si>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</si>
  <si>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</si>
  <si>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</si>
  <si>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</si>
  <si>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</si>
  <si>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</si>
  <si>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</si>
  <si>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</si>
  <si>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</si>
  <si>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</si>
  <si>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</si>
  <si>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</si>
  <si>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</si>
  <si>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</si>
  <si>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</si>
  <si>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</si>
  <si>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</si>
  <si>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</si>
  <si>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</si>
  <si>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</si>
  <si>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</si>
  <si>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</si>
  <si>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</si>
  <si>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</si>
  <si>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</si>
  <si>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</si>
  <si>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</si>
  <si>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</si>
  <si>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</si>
  <si>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</si>
  <si>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</si>
  <si>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</si>
  <si>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</si>
  <si>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</si>
  <si>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</si>
  <si>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</si>
  <si>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</si>
  <si>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</si>
  <si>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</si>
  <si>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</si>
  <si>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</si>
  <si>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</si>
  <si>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</si>
  <si>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</si>
  <si>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</si>
  <si>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</si>
  <si>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</si>
  <si>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</si>
  <si>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</si>
  <si>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</si>
  <si>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</si>
  <si>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</si>
  <si>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</si>
  <si>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</si>
  <si>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</si>
  <si>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</si>
  <si>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</si>
  <si>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</si>
  <si>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</si>
  <si>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</si>
  <si>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</si>
  <si>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</si>
  <si>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</si>
  <si>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</si>
  <si>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</si>
  <si>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</si>
  <si>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</si>
  <si>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</si>
  <si>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</si>
  <si>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</si>
  <si>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</si>
  <si>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</si>
  <si>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</si>
  <si>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</si>
  <si>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</si>
  <si>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</si>
  <si>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</si>
  <si>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</si>
  <si>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</si>
  <si>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</si>
  <si>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</si>
  <si>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</si>
  <si>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</si>
  <si>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</si>
  <si>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</si>
  <si>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</si>
  <si>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</si>
  <si>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</si>
  <si>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</si>
  <si>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</si>
  <si>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</si>
  <si>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</si>
  <si>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</si>
  <si>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</si>
  <si>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</si>
  <si>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</si>
  <si>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</si>
  <si>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</si>
  <si>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</si>
  <si>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</si>
  <si>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</si>
  <si>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</si>
  <si>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</si>
  <si>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</si>
  <si>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</si>
  <si>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</si>
  <si>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</si>
  <si>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</si>
  <si>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</si>
  <si>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</si>
  <si>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</si>
  <si>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</si>
  <si>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</si>
  <si>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</si>
  <si>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</si>
  <si>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</si>
  <si>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</si>
  <si>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</si>
  <si>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</si>
  <si>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</si>
  <si>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</si>
  <si>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</si>
  <si>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</si>
  <si>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</si>
  <si>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</si>
  <si>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</si>
  <si>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</si>
  <si>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</si>
  <si>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</si>
  <si>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</si>
  <si>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</si>
  <si>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</si>
  <si>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</si>
  <si>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</si>
  <si>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</si>
  <si>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</si>
  <si>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</si>
  <si>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</si>
  <si>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</si>
  <si>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</si>
  <si>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</si>
  <si>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</si>
  <si>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</si>
  <si>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</si>
  <si>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</si>
  <si>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</si>
  <si>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</si>
  <si>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</si>
  <si>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</si>
  <si>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</si>
  <si>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</si>
  <si>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</si>
  <si>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</si>
  <si>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</si>
  <si>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</si>
  <si>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</si>
  <si>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</si>
  <si>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</si>
  <si>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</si>
  <si>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</si>
  <si>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</si>
  <si>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</si>
  <si>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</si>
  <si>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</si>
  <si>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</si>
  <si>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</si>
  <si>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</si>
  <si>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</si>
  <si>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</si>
  <si>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</si>
  <si>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</si>
  <si>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</si>
  <si>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</si>
  <si>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</si>
  <si>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</si>
  <si>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</si>
  <si>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</si>
  <si>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</si>
  <si>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</si>
  <si>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</si>
  <si>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</si>
  <si>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</si>
  <si>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</si>
  <si>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</si>
  <si>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</si>
  <si>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</si>
  <si>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</si>
  <si>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</si>
  <si>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</si>
  <si>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</si>
  <si>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</si>
  <si>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</si>
  <si>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</si>
  <si>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</si>
  <si>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</si>
  <si>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</si>
  <si>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</si>
  <si>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</si>
  <si>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</si>
  <si>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</si>
  <si>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</si>
  <si>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</si>
  <si>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</si>
  <si>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</si>
  <si>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</si>
  <si>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</si>
  <si>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</si>
  <si>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</si>
  <si>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</si>
  <si>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</si>
  <si>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</si>
  <si>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</si>
  <si>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</si>
  <si>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</si>
  <si>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</si>
  <si>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</si>
  <si>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</si>
  <si>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</si>
  <si>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</si>
  <si>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</si>
  <si>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</si>
  <si>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</si>
  <si>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</si>
  <si>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</si>
  <si>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</si>
  <si>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</si>
  <si>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</si>
  <si>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</si>
  <si>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</si>
  <si>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</si>
  <si>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</si>
  <si>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</si>
  <si>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</si>
  <si>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</si>
  <si>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</si>
  <si>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</si>
  <si>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</si>
  <si>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</si>
  <si>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</si>
  <si>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</si>
  <si>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</si>
  <si>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</si>
  <si>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</si>
  <si>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</si>
  <si>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</si>
  <si>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</si>
  <si>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</si>
  <si>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</si>
  <si>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</si>
  <si>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</si>
  <si>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</si>
  <si>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</si>
  <si>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</si>
  <si>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</si>
  <si>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</si>
  <si>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</si>
  <si>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</si>
  <si>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</si>
  <si>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</si>
  <si>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</si>
  <si>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</si>
  <si>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</si>
  <si>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</si>
  <si>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</si>
  <si>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</si>
  <si>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</si>
  <si>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</si>
  <si>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</si>
  <si>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</si>
  <si>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</si>
  <si>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</si>
  <si>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</si>
  <si>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</si>
  <si>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</si>
  <si>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</si>
  <si>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</si>
  <si>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</si>
  <si>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</si>
  <si>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</si>
  <si>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</si>
  <si>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</si>
  <si>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</si>
  <si>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</si>
  <si>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</si>
  <si>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</si>
  <si>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</si>
  <si>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</si>
  <si>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</si>
  <si>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</si>
  <si>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</si>
  <si>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</si>
  <si>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</si>
  <si>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</si>
  <si>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</si>
  <si>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</si>
  <si>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</si>
  <si>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</si>
  <si>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</si>
  <si>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</si>
  <si>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</si>
  <si>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</si>
  <si>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</si>
  <si>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</si>
  <si>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</si>
  <si>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</si>
  <si>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</si>
  <si>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</si>
  <si>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</si>
  <si>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</si>
  <si>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</si>
  <si>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</si>
  <si>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</si>
  <si>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</si>
  <si>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</si>
  <si>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</si>
  <si>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</si>
  <si>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</si>
  <si>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</si>
  <si>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</si>
  <si>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</si>
  <si>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</si>
  <si>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</si>
  <si>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</si>
  <si>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</si>
  <si>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</si>
  <si>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</si>
  <si>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</si>
  <si>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</si>
  <si>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</si>
  <si>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</si>
  <si>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</si>
  <si>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</si>
  <si>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</si>
  <si>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</si>
  <si>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</si>
  <si>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</si>
  <si>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</si>
  <si>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</si>
  <si>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</si>
  <si>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</si>
  <si>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</si>
  <si>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</si>
  <si>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</si>
  <si>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</si>
  <si>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</si>
  <si>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</si>
  <si>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</si>
  <si>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</si>
  <si>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</si>
  <si>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</si>
  <si>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</si>
  <si>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</si>
  <si>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</si>
  <si>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</si>
  <si>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</si>
  <si>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</si>
  <si>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</si>
  <si>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</si>
  <si>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</si>
  <si>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</si>
  <si>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</si>
  <si>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</si>
  <si>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</si>
  <si>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</si>
  <si>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</si>
  <si>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</si>
  <si>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</si>
  <si>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</si>
  <si>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</si>
  <si>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</si>
  <si>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</si>
  <si>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</si>
  <si>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</si>
  <si>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</si>
  <si>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</si>
  <si>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</si>
  <si>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</si>
  <si>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</si>
  <si>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</si>
  <si>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</si>
  <si>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</si>
  <si>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</si>
  <si>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</si>
  <si>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</si>
  <si>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</si>
  <si>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</si>
  <si>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</si>
  <si>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</si>
  <si>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</si>
  <si>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</si>
  <si>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</si>
  <si>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</si>
  <si>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</si>
  <si>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</si>
  <si>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</si>
  <si>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</si>
  <si>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</si>
  <si>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</si>
  <si>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</si>
  <si>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</si>
  <si>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</si>
  <si>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</si>
  <si>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</si>
  <si>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</si>
  <si>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</si>
  <si>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</si>
  <si>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</si>
  <si>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</si>
  <si>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</si>
  <si>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</si>
  <si>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</si>
  <si>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</si>
  <si>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</si>
  <si>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</si>
  <si>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</si>
  <si>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</si>
  <si>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</si>
  <si>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</si>
  <si>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</si>
  <si>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</si>
  <si>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</si>
  <si>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</si>
  <si>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</si>
  <si>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</si>
  <si>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</si>
  <si>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</si>
  <si>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</si>
  <si>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</si>
  <si>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</si>
  <si>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</si>
  <si>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</si>
  <si>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</si>
  <si>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</si>
  <si>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</si>
  <si>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</si>
  <si>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</si>
  <si>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</si>
  <si>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</si>
  <si>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</si>
  <si>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</si>
  <si>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</si>
  <si>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</si>
  <si>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</si>
  <si>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</si>
  <si>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</si>
  <si>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</si>
  <si>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</si>
  <si>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</si>
  <si>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</si>
  <si>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</si>
  <si>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</si>
  <si>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</si>
  <si>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</si>
  <si>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</si>
  <si>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</si>
  <si>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</si>
  <si>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</si>
  <si>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</si>
  <si>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</si>
  <si>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</si>
  <si>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</si>
  <si>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</si>
  <si>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</si>
  <si>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</si>
  <si>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</si>
  <si>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</si>
  <si>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</si>
  <si>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</si>
  <si>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</si>
  <si>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</si>
  <si>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</si>
  <si>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</si>
  <si>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</si>
  <si>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</si>
  <si>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</si>
  <si>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</si>
  <si>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</si>
  <si>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</si>
  <si>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</si>
  <si>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</si>
  <si>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</si>
  <si>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</si>
  <si>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</si>
  <si>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</si>
  <si>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</si>
  <si>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</si>
  <si>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</si>
  <si>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</si>
  <si>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</si>
  <si>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</si>
  <si>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</si>
  <si>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</si>
  <si>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</si>
  <si>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</si>
  <si>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</si>
  <si>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</si>
  <si>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</si>
  <si>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</si>
  <si>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</si>
  <si>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</si>
  <si>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</si>
  <si>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</si>
  <si>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</si>
  <si>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</si>
  <si>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</si>
  <si>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</si>
  <si>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42008</t>
  </si>
  <si>
    <t>HAMME</t>
  </si>
  <si>
    <t>Paarden&amp;pony's 200 - 600 kg</t>
  </si>
  <si>
    <t>Paarden&amp;pony's &lt; 200 kg</t>
  </si>
  <si>
    <t>referentietaak LNE (2017); Jaarverslag De Lijn (2015)</t>
  </si>
  <si>
    <t>op basis van VEA (maart 2018) en Inventaris Hernieuwbare Energiebronnen (juni 2018)</t>
  </si>
  <si>
    <t>VEA (januari 2017)</t>
  </si>
  <si>
    <t>VEA (juni 2018)</t>
  </si>
  <si>
    <t>SOLANI bvba</t>
  </si>
  <si>
    <t>KASTEELLAAN 25C, 9220 Moerzeke</t>
  </si>
  <si>
    <t>WKK-0015 Willaert Moerzeke</t>
  </si>
  <si>
    <t>interne verbrandingsmotor</t>
  </si>
  <si>
    <t>WKK interne verbrandinsgmotor (gas)</t>
  </si>
  <si>
    <t>Kasteellaan 25 C, 9220 Moerzeke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</si>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</sst>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177614.48262439907</c:v>
                </c:pt>
                <c:pt idx="1">
                  <c:v>49597.915622263899</c:v>
                </c:pt>
                <c:pt idx="2">
                  <c:v>1225.221</c:v>
                </c:pt>
                <c:pt idx="3">
                  <c:v>17616.427817990167</c:v>
                </c:pt>
                <c:pt idx="4">
                  <c:v>38247.16688523948</c:v>
                </c:pt>
                <c:pt idx="5">
                  <c:v>92653.793521369473</c:v>
                </c:pt>
                <c:pt idx="6">
                  <c:v>1220.0022954249828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908992"/>
        <c:axId val="179910528"/>
      </c:barChart>
      <c:catAx>
        <c:axId val="179908992"/>
        <c:scaling>
          <c:orientation val="minMax"/>
        </c:scaling>
        <c:axPos val="b"/>
        <c:numFmt formatCode="General" sourceLinked="0"/>
        <c:tickLblPos val="nextTo"/>
        <c:crossAx val="179910528"/>
        <c:crosses val="autoZero"/>
        <c:auto val="1"/>
        <c:lblAlgn val="ctr"/>
        <c:lblOffset val="100"/>
      </c:catAx>
      <c:valAx>
        <c:axId val="179910528"/>
        <c:scaling>
          <c:orientation val="minMax"/>
        </c:scaling>
        <c:axPos val="l"/>
        <c:majorGridlines/>
        <c:numFmt formatCode="#,##0" sourceLinked="1"/>
        <c:tickLblPos val="nextTo"/>
        <c:crossAx val="179908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177614.48262439907</c:v>
                </c:pt>
                <c:pt idx="1">
                  <c:v>49597.915622263899</c:v>
                </c:pt>
                <c:pt idx="2">
                  <c:v>1225.221</c:v>
                </c:pt>
                <c:pt idx="3">
                  <c:v>17616.427817990167</c:v>
                </c:pt>
                <c:pt idx="4">
                  <c:v>38247.16688523948</c:v>
                </c:pt>
                <c:pt idx="5">
                  <c:v>92653.793521369473</c:v>
                </c:pt>
                <c:pt idx="6">
                  <c:v>1220.0022954249828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30629.393488248057</c:v>
                </c:pt>
                <c:pt idx="2">
                  <c:v>9616.872728491011</c:v>
                </c:pt>
                <c:pt idx="3">
                  <c:v>226.51370095256945</c:v>
                </c:pt>
                <c:pt idx="4">
                  <c:v>4293.9767596745432</c:v>
                </c:pt>
                <c:pt idx="5">
                  <c:v>7085.5738161169784</c:v>
                </c:pt>
                <c:pt idx="6">
                  <c:v>23675.796471315974</c:v>
                </c:pt>
                <c:pt idx="7">
                  <c:v>315.94083499412949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524928"/>
        <c:axId val="182620928"/>
      </c:barChart>
      <c:catAx>
        <c:axId val="182524928"/>
        <c:scaling>
          <c:orientation val="minMax"/>
        </c:scaling>
        <c:axPos val="b"/>
        <c:numFmt formatCode="General" sourceLinked="0"/>
        <c:tickLblPos val="nextTo"/>
        <c:crossAx val="182620928"/>
        <c:crosses val="autoZero"/>
        <c:auto val="1"/>
        <c:lblAlgn val="ctr"/>
        <c:lblOffset val="100"/>
      </c:catAx>
      <c:valAx>
        <c:axId val="182620928"/>
        <c:scaling>
          <c:orientation val="minMax"/>
        </c:scaling>
        <c:axPos val="l"/>
        <c:majorGridlines/>
        <c:numFmt formatCode="#,##0" sourceLinked="1"/>
        <c:tickLblPos val="nextTo"/>
        <c:crossAx val="182524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30629.393488248057</c:v>
                </c:pt>
                <c:pt idx="2">
                  <c:v>9616.872728491011</c:v>
                </c:pt>
                <c:pt idx="3">
                  <c:v>226.51370095256945</c:v>
                </c:pt>
                <c:pt idx="4">
                  <c:v>4293.9767596745432</c:v>
                </c:pt>
                <c:pt idx="5">
                  <c:v>7085.5738161169784</c:v>
                </c:pt>
                <c:pt idx="6">
                  <c:v>23675.796471315974</c:v>
                </c:pt>
                <c:pt idx="7">
                  <c:v>315.94083499412949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42008</v>
      </c>
      <c r="B6" s="415"/>
      <c r="C6" s="416"/>
    </row>
    <row r="7" spans="1:7" s="413" customFormat="1" ht="15.75" customHeight="1">
      <c r="A7" s="417" t="str">
        <f>txtMunicipality</f>
        <v>HAMME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0.18487579053294831</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0.18487579053294831</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10234</v>
      </c>
      <c r="C9" s="342">
        <v>10562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1596.89</v>
      </c>
    </row>
    <row r="15" spans="1:6">
      <c r="A15" s="348" t="s">
        <v>184</v>
      </c>
      <c r="B15" s="334">
        <v>18</v>
      </c>
    </row>
    <row r="16" spans="1:6">
      <c r="A16" s="348" t="s">
        <v>6</v>
      </c>
      <c r="B16" s="334">
        <v>618</v>
      </c>
    </row>
    <row r="17" spans="1:6">
      <c r="A17" s="348" t="s">
        <v>7</v>
      </c>
      <c r="B17" s="334">
        <v>580</v>
      </c>
    </row>
    <row r="18" spans="1:6">
      <c r="A18" s="348" t="s">
        <v>8</v>
      </c>
      <c r="B18" s="334">
        <v>832</v>
      </c>
    </row>
    <row r="19" spans="1:6">
      <c r="A19" s="348" t="s">
        <v>9</v>
      </c>
      <c r="B19" s="334">
        <v>768</v>
      </c>
    </row>
    <row r="20" spans="1:6">
      <c r="A20" s="348" t="s">
        <v>10</v>
      </c>
      <c r="B20" s="334">
        <v>536</v>
      </c>
    </row>
    <row r="21" spans="1:6">
      <c r="A21" s="348" t="s">
        <v>11</v>
      </c>
      <c r="B21" s="334">
        <v>209</v>
      </c>
    </row>
    <row r="22" spans="1:6">
      <c r="A22" s="348" t="s">
        <v>12</v>
      </c>
      <c r="B22" s="334">
        <v>8527</v>
      </c>
    </row>
    <row r="23" spans="1:6">
      <c r="A23" s="348" t="s">
        <v>13</v>
      </c>
      <c r="B23" s="334">
        <v>124</v>
      </c>
    </row>
    <row r="24" spans="1:6">
      <c r="A24" s="348" t="s">
        <v>14</v>
      </c>
      <c r="B24" s="334">
        <v>1</v>
      </c>
    </row>
    <row r="25" spans="1:6">
      <c r="A25" s="348" t="s">
        <v>15</v>
      </c>
      <c r="B25" s="334">
        <v>71</v>
      </c>
    </row>
    <row r="26" spans="1:6">
      <c r="A26" s="348" t="s">
        <v>16</v>
      </c>
      <c r="B26" s="334">
        <v>69</v>
      </c>
    </row>
    <row r="27" spans="1:6">
      <c r="A27" s="348" t="s">
        <v>17</v>
      </c>
      <c r="B27" s="334">
        <v>6</v>
      </c>
    </row>
    <row r="28" spans="1:6" s="356" customFormat="1">
      <c r="A28" s="355" t="s">
        <v>18</v>
      </c>
      <c r="B28" s="355">
        <v>7</v>
      </c>
    </row>
    <row r="29" spans="1:6">
      <c r="A29" s="355" t="s">
        <v>884</v>
      </c>
      <c r="B29" s="355">
        <v>178</v>
      </c>
      <c r="C29" s="356"/>
      <c r="D29" s="356"/>
      <c r="E29" s="356"/>
      <c r="F29" s="356"/>
    </row>
    <row r="30" spans="1:6">
      <c r="A30" s="355" t="s">
        <v>885</v>
      </c>
      <c r="B30" s="341">
        <v>79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21267.553484</v>
      </c>
    </row>
    <row r="39" spans="1:6">
      <c r="A39" s="348" t="s">
        <v>30</v>
      </c>
      <c r="B39" s="348" t="s">
        <v>31</v>
      </c>
      <c r="C39" s="334">
        <v>8032</v>
      </c>
      <c r="D39" s="334">
        <v>118132009.39</v>
      </c>
      <c r="E39" s="334">
        <v>10143</v>
      </c>
      <c r="F39" s="334">
        <v>35410015.553000003</v>
      </c>
    </row>
    <row r="40" spans="1:6">
      <c r="A40" s="348" t="s">
        <v>30</v>
      </c>
      <c r="B40" s="348" t="s">
        <v>29</v>
      </c>
      <c r="C40" s="334">
        <v>0</v>
      </c>
      <c r="D40" s="334">
        <v>0</v>
      </c>
      <c r="E40" s="334">
        <v>0</v>
      </c>
      <c r="F40" s="334">
        <v>0</v>
      </c>
    </row>
    <row r="41" spans="1:6">
      <c r="A41" s="348" t="s">
        <v>32</v>
      </c>
      <c r="B41" s="348" t="s">
        <v>33</v>
      </c>
      <c r="C41" s="334">
        <v>126</v>
      </c>
      <c r="D41" s="334">
        <v>2184992.5301999999</v>
      </c>
      <c r="E41" s="334">
        <v>227</v>
      </c>
      <c r="F41" s="334">
        <v>1595521.3509</v>
      </c>
    </row>
    <row r="42" spans="1:6">
      <c r="A42" s="348" t="s">
        <v>32</v>
      </c>
      <c r="B42" s="348" t="s">
        <v>34</v>
      </c>
      <c r="C42" s="334">
        <v>0</v>
      </c>
      <c r="D42" s="334">
        <v>0</v>
      </c>
      <c r="E42" s="334">
        <v>3</v>
      </c>
      <c r="F42" s="334">
        <v>95440.117463999995</v>
      </c>
    </row>
    <row r="43" spans="1:6">
      <c r="A43" s="348" t="s">
        <v>32</v>
      </c>
      <c r="B43" s="348" t="s">
        <v>35</v>
      </c>
      <c r="C43" s="334">
        <v>0</v>
      </c>
      <c r="D43" s="334">
        <v>0</v>
      </c>
      <c r="E43" s="334">
        <v>0</v>
      </c>
      <c r="F43" s="334">
        <v>0</v>
      </c>
    </row>
    <row r="44" spans="1:6">
      <c r="A44" s="348" t="s">
        <v>32</v>
      </c>
      <c r="B44" s="348" t="s">
        <v>36</v>
      </c>
      <c r="C44" s="334">
        <v>9</v>
      </c>
      <c r="D44" s="334">
        <v>309622.07789000002</v>
      </c>
      <c r="E44" s="334">
        <v>24</v>
      </c>
      <c r="F44" s="334">
        <v>1379644.3517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93174.386746000004</v>
      </c>
    </row>
    <row r="48" spans="1:6">
      <c r="A48" s="348" t="s">
        <v>32</v>
      </c>
      <c r="B48" s="348" t="s">
        <v>29</v>
      </c>
      <c r="C48" s="334">
        <v>35</v>
      </c>
      <c r="D48" s="334">
        <v>8105490.3631999996</v>
      </c>
      <c r="E48" s="334">
        <v>41</v>
      </c>
      <c r="F48" s="334">
        <v>12045502.651000001</v>
      </c>
    </row>
    <row r="49" spans="1:6">
      <c r="A49" s="348" t="s">
        <v>32</v>
      </c>
      <c r="B49" s="348" t="s">
        <v>40</v>
      </c>
      <c r="C49" s="334">
        <v>3</v>
      </c>
      <c r="D49" s="334">
        <v>165693.81340000001</v>
      </c>
      <c r="E49" s="334">
        <v>8</v>
      </c>
      <c r="F49" s="334">
        <v>2681117.9846000001</v>
      </c>
    </row>
    <row r="50" spans="1:6">
      <c r="A50" s="348" t="s">
        <v>32</v>
      </c>
      <c r="B50" s="348" t="s">
        <v>41</v>
      </c>
      <c r="C50" s="334">
        <v>10</v>
      </c>
      <c r="D50" s="334">
        <v>604356.97392999998</v>
      </c>
      <c r="E50" s="334">
        <v>17</v>
      </c>
      <c r="F50" s="334">
        <v>590838.74855999998</v>
      </c>
    </row>
    <row r="51" spans="1:6">
      <c r="A51" s="348" t="s">
        <v>42</v>
      </c>
      <c r="B51" s="348" t="s">
        <v>43</v>
      </c>
      <c r="C51" s="334">
        <v>22</v>
      </c>
      <c r="D51" s="334">
        <v>22583360.103</v>
      </c>
      <c r="E51" s="334">
        <v>101</v>
      </c>
      <c r="F51" s="334">
        <v>1498971.3707000001</v>
      </c>
    </row>
    <row r="52" spans="1:6">
      <c r="A52" s="348" t="s">
        <v>42</v>
      </c>
      <c r="B52" s="348" t="s">
        <v>29</v>
      </c>
      <c r="C52" s="334">
        <v>3</v>
      </c>
      <c r="D52" s="334">
        <v>36749.770323999997</v>
      </c>
      <c r="E52" s="334">
        <v>4</v>
      </c>
      <c r="F52" s="334">
        <v>33886.268856000002</v>
      </c>
    </row>
    <row r="53" spans="1:6">
      <c r="A53" s="348" t="s">
        <v>44</v>
      </c>
      <c r="B53" s="348" t="s">
        <v>45</v>
      </c>
      <c r="C53" s="334">
        <v>191</v>
      </c>
      <c r="D53" s="334">
        <v>4126708.0063999998</v>
      </c>
      <c r="E53" s="334">
        <v>346</v>
      </c>
      <c r="F53" s="334">
        <v>2359413.3114999998</v>
      </c>
    </row>
    <row r="54" spans="1:6">
      <c r="A54" s="348" t="s">
        <v>46</v>
      </c>
      <c r="B54" s="348" t="s">
        <v>47</v>
      </c>
      <c r="C54" s="334">
        <v>0</v>
      </c>
      <c r="D54" s="334">
        <v>0</v>
      </c>
      <c r="E54" s="334">
        <v>1</v>
      </c>
      <c r="F54" s="334">
        <v>1225221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1896741.0301000001</v>
      </c>
      <c r="E57" s="334">
        <v>84</v>
      </c>
      <c r="F57" s="334">
        <v>2287276.7738000001</v>
      </c>
    </row>
    <row r="58" spans="1:6">
      <c r="A58" s="348" t="s">
        <v>49</v>
      </c>
      <c r="B58" s="348" t="s">
        <v>51</v>
      </c>
      <c r="C58" s="334">
        <v>33</v>
      </c>
      <c r="D58" s="334">
        <v>1392776.0067</v>
      </c>
      <c r="E58" s="334">
        <v>51</v>
      </c>
      <c r="F58" s="334">
        <v>571676.19842999999</v>
      </c>
    </row>
    <row r="59" spans="1:6">
      <c r="A59" s="348" t="s">
        <v>49</v>
      </c>
      <c r="B59" s="348" t="s">
        <v>52</v>
      </c>
      <c r="C59" s="334">
        <v>148</v>
      </c>
      <c r="D59" s="334">
        <v>4484973.7945999997</v>
      </c>
      <c r="E59" s="334">
        <v>279</v>
      </c>
      <c r="F59" s="334">
        <v>6440586.2819999997</v>
      </c>
    </row>
    <row r="60" spans="1:6">
      <c r="A60" s="348" t="s">
        <v>49</v>
      </c>
      <c r="B60" s="348" t="s">
        <v>53</v>
      </c>
      <c r="C60" s="334">
        <v>90</v>
      </c>
      <c r="D60" s="334">
        <v>2908884.7264</v>
      </c>
      <c r="E60" s="334">
        <v>107</v>
      </c>
      <c r="F60" s="334">
        <v>1898203.7697000001</v>
      </c>
    </row>
    <row r="61" spans="1:6">
      <c r="A61" s="348" t="s">
        <v>49</v>
      </c>
      <c r="B61" s="348" t="s">
        <v>54</v>
      </c>
      <c r="C61" s="334">
        <v>242</v>
      </c>
      <c r="D61" s="334">
        <v>9451147.2711999994</v>
      </c>
      <c r="E61" s="334">
        <v>434</v>
      </c>
      <c r="F61" s="334">
        <v>3365293.6420999998</v>
      </c>
    </row>
    <row r="62" spans="1:6">
      <c r="A62" s="348" t="s">
        <v>49</v>
      </c>
      <c r="B62" s="348" t="s">
        <v>55</v>
      </c>
      <c r="C62" s="334">
        <v>21</v>
      </c>
      <c r="D62" s="334">
        <v>2629209.2220999999</v>
      </c>
      <c r="E62" s="334">
        <v>28</v>
      </c>
      <c r="F62" s="334">
        <v>810090.02674999996</v>
      </c>
    </row>
    <row r="63" spans="1:6">
      <c r="A63" s="348" t="s">
        <v>49</v>
      </c>
      <c r="B63" s="348" t="s">
        <v>29</v>
      </c>
      <c r="C63" s="334">
        <v>85</v>
      </c>
      <c r="D63" s="334">
        <v>5532097.8668999998</v>
      </c>
      <c r="E63" s="334">
        <v>89</v>
      </c>
      <c r="F63" s="334">
        <v>1928220.8302</v>
      </c>
    </row>
    <row r="64" spans="1:6">
      <c r="A64" s="348" t="s">
        <v>56</v>
      </c>
      <c r="B64" s="348" t="s">
        <v>57</v>
      </c>
      <c r="C64" s="334">
        <v>0</v>
      </c>
      <c r="D64" s="334">
        <v>0</v>
      </c>
      <c r="E64" s="334">
        <v>0</v>
      </c>
      <c r="F64" s="334">
        <v>0</v>
      </c>
    </row>
    <row r="65" spans="1:6">
      <c r="A65" s="348" t="s">
        <v>56</v>
      </c>
      <c r="B65" s="348" t="s">
        <v>29</v>
      </c>
      <c r="C65" s="334">
        <v>2</v>
      </c>
      <c r="D65" s="334">
        <v>55536.518168000002</v>
      </c>
      <c r="E65" s="334">
        <v>5</v>
      </c>
      <c r="F65" s="334">
        <v>24425.610852000002</v>
      </c>
    </row>
    <row r="66" spans="1:6">
      <c r="A66" s="348" t="s">
        <v>56</v>
      </c>
      <c r="B66" s="348" t="s">
        <v>58</v>
      </c>
      <c r="C66" s="334">
        <v>0</v>
      </c>
      <c r="D66" s="334">
        <v>0</v>
      </c>
      <c r="E66" s="334">
        <v>8</v>
      </c>
      <c r="F66" s="334">
        <v>188199.54031000001</v>
      </c>
    </row>
    <row r="67" spans="1:6">
      <c r="A67" s="355" t="s">
        <v>56</v>
      </c>
      <c r="B67" s="355" t="s">
        <v>59</v>
      </c>
      <c r="C67" s="334">
        <v>0</v>
      </c>
      <c r="D67" s="334">
        <v>0</v>
      </c>
      <c r="E67" s="334">
        <v>0</v>
      </c>
      <c r="F67" s="334">
        <v>0</v>
      </c>
    </row>
    <row r="68" spans="1:6">
      <c r="A68" s="341" t="s">
        <v>56</v>
      </c>
      <c r="B68" s="341" t="s">
        <v>60</v>
      </c>
      <c r="C68" s="334">
        <v>12</v>
      </c>
      <c r="D68" s="334">
        <v>664867.22169999999</v>
      </c>
      <c r="E68" s="334">
        <v>19</v>
      </c>
      <c r="F68" s="334">
        <v>443482.18653000001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57647044</v>
      </c>
      <c r="E73" s="475">
        <v>59315517.856431045</v>
      </c>
    </row>
    <row r="74" spans="1:6">
      <c r="A74" s="348" t="s">
        <v>64</v>
      </c>
      <c r="B74" s="348" t="s">
        <v>667</v>
      </c>
      <c r="C74" s="1294" t="s">
        <v>669</v>
      </c>
      <c r="D74" s="475">
        <v>6147988.0079237055</v>
      </c>
      <c r="E74" s="475">
        <v>6213001.093270598</v>
      </c>
    </row>
    <row r="75" spans="1:6">
      <c r="A75" s="348" t="s">
        <v>65</v>
      </c>
      <c r="B75" s="348" t="s">
        <v>666</v>
      </c>
      <c r="C75" s="1294" t="s">
        <v>670</v>
      </c>
      <c r="D75" s="475">
        <v>43654232</v>
      </c>
      <c r="E75" s="475">
        <v>44926257.275565103</v>
      </c>
    </row>
    <row r="76" spans="1:6">
      <c r="A76" s="348" t="s">
        <v>65</v>
      </c>
      <c r="B76" s="348" t="s">
        <v>667</v>
      </c>
      <c r="C76" s="1294" t="s">
        <v>671</v>
      </c>
      <c r="D76" s="475">
        <v>662489.00792370527</v>
      </c>
      <c r="E76" s="475">
        <v>669407.18074843555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327675.98415258946</v>
      </c>
      <c r="C83" s="475">
        <v>327675.98415258946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8113.7159571026823</v>
      </c>
    </row>
    <row r="91" spans="1:6">
      <c r="A91" s="348" t="s">
        <v>68</v>
      </c>
      <c r="B91" s="334">
        <v>4063.5066487501786</v>
      </c>
    </row>
    <row r="92" spans="1:6">
      <c r="A92" s="341" t="s">
        <v>69</v>
      </c>
      <c r="B92" s="342">
        <v>1501.2867884665459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5114</v>
      </c>
    </row>
    <row r="98" spans="1:6">
      <c r="A98" s="348" t="s">
        <v>72</v>
      </c>
      <c r="B98" s="334">
        <v>0</v>
      </c>
    </row>
    <row r="99" spans="1:6">
      <c r="A99" s="348" t="s">
        <v>73</v>
      </c>
      <c r="B99" s="334">
        <v>68</v>
      </c>
    </row>
    <row r="100" spans="1:6">
      <c r="A100" s="348" t="s">
        <v>74</v>
      </c>
      <c r="B100" s="334">
        <v>557</v>
      </c>
    </row>
    <row r="101" spans="1:6">
      <c r="A101" s="348" t="s">
        <v>75</v>
      </c>
      <c r="B101" s="334">
        <v>137</v>
      </c>
    </row>
    <row r="102" spans="1:6">
      <c r="A102" s="348" t="s">
        <v>76</v>
      </c>
      <c r="B102" s="334">
        <v>190</v>
      </c>
    </row>
    <row r="103" spans="1:6">
      <c r="A103" s="348" t="s">
        <v>77</v>
      </c>
      <c r="B103" s="334">
        <v>369</v>
      </c>
    </row>
    <row r="104" spans="1:6">
      <c r="A104" s="348" t="s">
        <v>78</v>
      </c>
      <c r="B104" s="334">
        <v>2299</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124</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80397.339725854181</v>
      </c>
      <c r="C3" s="43" t="s">
        <v>170</v>
      </c>
      <c r="D3" s="43"/>
      <c r="E3" s="154"/>
      <c r="F3" s="43"/>
      <c r="G3" s="43"/>
      <c r="H3" s="43"/>
      <c r="I3" s="43"/>
      <c r="J3" s="43"/>
      <c r="K3" s="96"/>
    </row>
    <row r="4" spans="1:11">
      <c r="A4" s="383" t="s">
        <v>171</v>
      </c>
      <c r="B4" s="49">
        <f>IF(ISERROR('SEAP template'!B78+'SEAP template'!C78),0,'SEAP template'!B78+'SEAP template'!C78)</f>
        <v>20806.509394319408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1693.9482352941175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0.18487579053294831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2419.9260504201679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10182.857142857143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1225.221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1225.221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0.18487579053294831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226.51370095256945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35410.015553000005</v>
      </c>
      <c r="C5" s="17">
        <f>IF(ISERROR('Eigen informatie GS &amp; warmtenet'!B57),0,'Eigen informatie GS &amp; warmtenet'!B57)</f>
        <v>0</v>
      </c>
      <c r="D5" s="30">
        <f>(SUM(HH_hh_gas_kWh,HH_rest_gas_kWh)/1000)*0.902</f>
        <v>106555.07246978</v>
      </c>
      <c r="E5" s="17">
        <f>B46*B57</f>
        <v>4236.205717953243</v>
      </c>
      <c r="F5" s="17">
        <f>B51*B62</f>
        <v>0</v>
      </c>
      <c r="G5" s="18"/>
      <c r="H5" s="17"/>
      <c r="I5" s="17"/>
      <c r="J5" s="17">
        <f>B50*B61+C50*C61</f>
        <v>2389.6935853351911</v>
      </c>
      <c r="K5" s="17"/>
      <c r="L5" s="17"/>
      <c r="M5" s="17"/>
      <c r="N5" s="17">
        <f>B48*B59+C48*C59</f>
        <v>24239.135316247124</v>
      </c>
      <c r="O5" s="17">
        <f>B69*B70*B71</f>
        <v>225.12000000000003</v>
      </c>
      <c r="P5" s="17">
        <f>B77*B78*B79/1000-B77*B78*B79/1000/B80</f>
        <v>495.73333333333335</v>
      </c>
    </row>
    <row r="6" spans="1:16">
      <c r="A6" s="16" t="s">
        <v>624</v>
      </c>
      <c r="B6" s="788">
        <f>kWh_PV_kleiner_dan_10kW</f>
        <v>4063.5066487501786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39473.52220175018</v>
      </c>
      <c r="C8" s="21">
        <f>C5</f>
        <v>0</v>
      </c>
      <c r="D8" s="21">
        <f>D5</f>
        <v>106555.07246978</v>
      </c>
      <c r="E8" s="21">
        <f>E5</f>
        <v>4236.205717953243</v>
      </c>
      <c r="F8" s="21">
        <f>F5</f>
        <v>0</v>
      </c>
      <c r="G8" s="21"/>
      <c r="H8" s="21"/>
      <c r="I8" s="21"/>
      <c r="J8" s="21">
        <f>J5</f>
        <v>2389.6935853351911</v>
      </c>
      <c r="K8" s="21"/>
      <c r="L8" s="21">
        <f>L5</f>
        <v>0</v>
      </c>
      <c r="M8" s="21">
        <f>M5</f>
        <v>0</v>
      </c>
      <c r="N8" s="21">
        <f>N5</f>
        <v>24239.135316247124</v>
      </c>
      <c r="O8" s="21">
        <f>O5</f>
        <v>225.12000000000003</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0.18487579053294831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7297.698622168451</v>
      </c>
      <c r="C12" s="23">
        <f ca="1">C10*C8</f>
        <v>0</v>
      </c>
      <c r="D12" s="23">
        <f>D8*D10</f>
        <v>21524.124638895562</v>
      </c>
      <c r="E12" s="23">
        <f>E10*E8</f>
        <v>961.61869797538623</v>
      </c>
      <c r="F12" s="23">
        <f>F10*F8</f>
        <v>0</v>
      </c>
      <c r="G12" s="23"/>
      <c r="H12" s="23"/>
      <c r="I12" s="23"/>
      <c r="J12" s="23">
        <f>J10*J8</f>
        <v>845.95152920865758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5114</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8.9238845144356951</v>
      </c>
      <c r="D20" s="229"/>
      <c r="E20" s="15"/>
    </row>
    <row r="21" spans="1:7">
      <c r="A21" s="171" t="s">
        <v>74</v>
      </c>
      <c r="B21" s="37">
        <f>aantalw2001_elektriciteit</f>
        <v>557</v>
      </c>
      <c r="C21" s="167">
        <f>IF(ISERROR(B21/SUM($B$20,$B$21,$B$22)*100),0,B21/SUM($B$20,$B$21,$B$22)*100)</f>
        <v>73.097112860892395</v>
      </c>
      <c r="D21" s="229"/>
      <c r="E21" s="15"/>
    </row>
    <row r="22" spans="1:7">
      <c r="A22" s="171" t="s">
        <v>75</v>
      </c>
      <c r="B22" s="37">
        <f>aantalw2001_hout</f>
        <v>137</v>
      </c>
      <c r="C22" s="167">
        <f>IF(ISERROR(B22/SUM($B$20,$B$21,$B$22)*100),0,B22/SUM($B$20,$B$21,$B$22)*100)</f>
        <v>17.979002624671917</v>
      </c>
      <c r="D22" s="229"/>
      <c r="E22" s="15"/>
    </row>
    <row r="23" spans="1:7">
      <c r="A23" s="171" t="s">
        <v>76</v>
      </c>
      <c r="B23" s="37">
        <f>aantalw2001_niet_gespec</f>
        <v>190</v>
      </c>
      <c r="C23" s="166" t="s">
        <v>111</v>
      </c>
      <c r="D23" s="228"/>
      <c r="E23" s="15"/>
    </row>
    <row r="24" spans="1:7">
      <c r="A24" s="171" t="s">
        <v>77</v>
      </c>
      <c r="B24" s="37">
        <f>aantalw2001_steenkool</f>
        <v>369</v>
      </c>
      <c r="C24" s="166" t="s">
        <v>111</v>
      </c>
      <c r="D24" s="229"/>
      <c r="E24" s="15"/>
    </row>
    <row r="25" spans="1:7">
      <c r="A25" s="171" t="s">
        <v>78</v>
      </c>
      <c r="B25" s="37">
        <f>aantalw2001_stookolie</f>
        <v>2299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10234</v>
      </c>
      <c r="C28" s="36"/>
      <c r="D28" s="228"/>
    </row>
    <row r="29" spans="1:7" s="15" customFormat="1">
      <c r="A29" s="230" t="s">
        <v>699</v>
      </c>
      <c r="B29" s="37">
        <f>SUM(HH_hh_gas_aantal,HH_rest_gas_aantal)</f>
        <v>8032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8032</v>
      </c>
      <c r="C32" s="167">
        <f>IF(ISERROR(B32/SUM($B$32,$B$34,$B$35,$B$36,$B$38,$B$39)*100),0,B32/SUM($B$32,$B$34,$B$35,$B$36,$B$38,$B$39)*100)</f>
        <v>78.683385579937308</v>
      </c>
      <c r="D32" s="233"/>
      <c r="G32" s="15"/>
    </row>
    <row r="33" spans="1:7">
      <c r="A33" s="171" t="s">
        <v>72</v>
      </c>
      <c r="B33" s="34" t="s">
        <v>111</v>
      </c>
      <c r="C33" s="167"/>
      <c r="D33" s="233"/>
      <c r="G33" s="15"/>
    </row>
    <row r="34" spans="1:7">
      <c r="A34" s="171" t="s">
        <v>73</v>
      </c>
      <c r="B34" s="33">
        <f>IF((($B$28-$B$32-$B$39-$B$77-$B$38)*C20/100)&lt;0,0,($B$28-$B$32-$B$39-$B$77-$B$38)*C20/100)</f>
        <v>187.2944881889764</v>
      </c>
      <c r="C34" s="167">
        <f>IF(ISERROR(B34/SUM($B$32,$B$34,$B$35,$B$36,$B$38,$B$39)*100),0,B34/SUM($B$32,$B$34,$B$35,$B$36,$B$38,$B$39)*100)</f>
        <v>1.8347814281835462</v>
      </c>
      <c r="D34" s="233"/>
      <c r="G34" s="15"/>
    </row>
    <row r="35" spans="1:7">
      <c r="A35" s="171" t="s">
        <v>74</v>
      </c>
      <c r="B35" s="33">
        <f>IF((($B$28-$B$32-$B$39-$B$77-$B$38)*C21/100)&lt;0,0,($B$28-$B$32-$B$39-$B$77-$B$38)*C21/100)</f>
        <v>1534.1622047244098</v>
      </c>
      <c r="C35" s="167">
        <f>IF(ISERROR(B35/SUM($B$32,$B$34,$B$35,$B$36,$B$38,$B$39)*100),0,B35/SUM($B$32,$B$34,$B$35,$B$36,$B$38,$B$39)*100)</f>
        <v>15.029018463209344</v>
      </c>
      <c r="D35" s="233"/>
      <c r="G35" s="15"/>
    </row>
    <row r="36" spans="1:7">
      <c r="A36" s="171" t="s">
        <v>75</v>
      </c>
      <c r="B36" s="33">
        <f>IF((($B$28-$B$32-$B$39-$B$77-$B$38)*C22/100)&lt;0,0,($B$28-$B$32-$B$39-$B$77-$B$38)*C22/100)</f>
        <v>377.34330708661423</v>
      </c>
      <c r="C36" s="167">
        <f>IF(ISERROR(B36/SUM($B$32,$B$34,$B$35,$B$36,$B$38,$B$39)*100),0,B36/SUM($B$32,$B$34,$B$35,$B$36,$B$38,$B$39)*100)</f>
        <v>3.6965449361933209</v>
      </c>
      <c r="D36" s="233"/>
      <c r="G36" s="15"/>
    </row>
    <row r="37" spans="1:7">
      <c r="A37" s="171" t="s">
        <v>76</v>
      </c>
      <c r="B37" s="34" t="s">
        <v>111</v>
      </c>
      <c r="C37" s="167"/>
      <c r="D37" s="173"/>
      <c r="G37" s="15"/>
    </row>
    <row r="38" spans="1:7">
      <c r="A38" s="171" t="s">
        <v>77</v>
      </c>
      <c r="B38" s="33">
        <f>IF((B24-(B29-B18)*0.1)&lt;0,0,B24-(B29-B18)*0.1)</f>
        <v>77.199999999999989</v>
      </c>
      <c r="C38" s="167">
        <f>IF(ISERROR(B38/SUM($B$32,$B$34,$B$35,$B$36,$B$38,$B$39)*100),0,B38/SUM($B$32,$B$34,$B$35,$B$36,$B$38,$B$39)*100)</f>
        <v>0.75626959247648895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8032</v>
      </c>
      <c r="C44" s="34" t="s">
        <v>111</v>
      </c>
      <c r="D44" s="174"/>
    </row>
    <row r="45" spans="1:7">
      <c r="A45" s="171" t="s">
        <v>72</v>
      </c>
      <c r="B45" s="33" t="str">
        <f t="shared" si="0"/>
        <v>-</v>
      </c>
      <c r="C45" s="34" t="s">
        <v>111</v>
      </c>
      <c r="D45" s="174"/>
    </row>
    <row r="46" spans="1:7">
      <c r="A46" s="171" t="s">
        <v>73</v>
      </c>
      <c r="B46" s="33">
        <f t="shared" si="0"/>
        <v>187.2944881889764</v>
      </c>
      <c r="C46" s="34" t="s">
        <v>111</v>
      </c>
      <c r="D46" s="174"/>
    </row>
    <row r="47" spans="1:7">
      <c r="A47" s="171" t="s">
        <v>74</v>
      </c>
      <c r="B47" s="33">
        <f t="shared" si="0"/>
        <v>1534.1622047244098</v>
      </c>
      <c r="C47" s="34" t="s">
        <v>111</v>
      </c>
      <c r="D47" s="174"/>
    </row>
    <row r="48" spans="1:7">
      <c r="A48" s="171" t="s">
        <v>75</v>
      </c>
      <c r="B48" s="33">
        <f t="shared" si="0"/>
        <v>377.34330708661423</v>
      </c>
      <c r="C48" s="33">
        <f>B48*10</f>
        <v>3773.4330708661423</v>
      </c>
      <c r="D48" s="234"/>
    </row>
    <row r="49" spans="1:6">
      <c r="A49" s="171" t="s">
        <v>76</v>
      </c>
      <c r="B49" s="33" t="str">
        <f t="shared" si="0"/>
        <v>-</v>
      </c>
      <c r="C49" s="34" t="s">
        <v>111</v>
      </c>
      <c r="D49" s="234"/>
    </row>
    <row r="50" spans="1:6">
      <c r="A50" s="171" t="s">
        <v>77</v>
      </c>
      <c r="B50" s="33">
        <f t="shared" si="0"/>
        <v>77.199999999999989</v>
      </c>
      <c r="C50" s="33">
        <f>B50*2</f>
        <v>154.39999999999998</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17301.347522979999</v>
      </c>
      <c r="C5" s="17">
        <f>IF(ISERROR('Eigen informatie GS &amp; warmtenet'!B58),0,'Eigen informatie GS &amp; warmtenet'!B58)</f>
        <v>0</v>
      </c>
      <c r="D5" s="30">
        <f>SUM(D6:D12)</f>
        <v>25522.838586035999</v>
      </c>
      <c r="E5" s="17">
        <f>SUM(E6:E12)</f>
        <v>349.03817809784999</v>
      </c>
      <c r="F5" s="17">
        <f>SUM(F6:F12)</f>
        <v>4432.312236282145</v>
      </c>
      <c r="G5" s="18"/>
      <c r="H5" s="17"/>
      <c r="I5" s="17"/>
      <c r="J5" s="17">
        <f>SUM(J6:J12)</f>
        <v>0</v>
      </c>
      <c r="K5" s="17"/>
      <c r="L5" s="17"/>
      <c r="M5" s="17"/>
      <c r="N5" s="17">
        <f>SUM(N6:N12)</f>
        <v>1992.3790988679127</v>
      </c>
      <c r="O5" s="17">
        <f>B38*B39*B40</f>
        <v>0</v>
      </c>
      <c r="P5" s="17">
        <f>B46*B47*B48/1000-B46*B47*B48/1000/B49</f>
        <v>0</v>
      </c>
      <c r="R5" s="32"/>
    </row>
    <row r="6" spans="1:18">
      <c r="A6" s="32" t="s">
        <v>54</v>
      </c>
      <c r="B6" s="37">
        <f>B26</f>
        <v>3365.2936420999999</v>
      </c>
      <c r="C6" s="33"/>
      <c r="D6" s="37">
        <f>IF(ISERROR(TER_kantoor_gas_kWh/1000),0,TER_kantoor_gas_kWh/1000)*0.902</f>
        <v>8524.9348386223992</v>
      </c>
      <c r="E6" s="33">
        <f>$C$26*'E Balans VL '!I12/100/3.6*1000000</f>
        <v>44.055839215750495</v>
      </c>
      <c r="F6" s="33">
        <f>$C$26*('E Balans VL '!L12+'E Balans VL '!N12)/100/3.6*1000000</f>
        <v>858.11510309004336</v>
      </c>
      <c r="G6" s="34"/>
      <c r="H6" s="33"/>
      <c r="I6" s="33"/>
      <c r="J6" s="33">
        <f>$C$26*('E Balans VL '!D12+'E Balans VL '!E12)/100/3.6*1000000</f>
        <v>0</v>
      </c>
      <c r="K6" s="33"/>
      <c r="L6" s="33"/>
      <c r="M6" s="33"/>
      <c r="N6" s="33">
        <f>$C$26*'E Balans VL '!Y12/100/3.6*1000000</f>
        <v>3.3766260881851902</v>
      </c>
      <c r="O6" s="33"/>
      <c r="P6" s="33"/>
      <c r="R6" s="32"/>
    </row>
    <row r="7" spans="1:18">
      <c r="A7" s="32" t="s">
        <v>53</v>
      </c>
      <c r="B7" s="37">
        <f t="shared" ref="B7:B12" si="0">B27</f>
        <v>1898.2037697000001</v>
      </c>
      <c r="C7" s="33"/>
      <c r="D7" s="37">
        <f>IF(ISERROR(TER_horeca_gas_kWh/1000),0,TER_horeca_gas_kWh/1000)*0.902</f>
        <v>2623.8140232128003</v>
      </c>
      <c r="E7" s="33">
        <f>$C$27*'E Balans VL '!I9/100/3.6*1000000</f>
        <v>62.818998390873304</v>
      </c>
      <c r="F7" s="33">
        <f>$C$27*('E Balans VL '!L9+'E Balans VL '!N9)/100/3.6*1000000</f>
        <v>816.22034617297106</v>
      </c>
      <c r="G7" s="34"/>
      <c r="H7" s="33"/>
      <c r="I7" s="33"/>
      <c r="J7" s="33">
        <f>$C$27*('E Balans VL '!D9+'E Balans VL '!E9)/100/3.6*1000000</f>
        <v>0</v>
      </c>
      <c r="K7" s="33"/>
      <c r="L7" s="33"/>
      <c r="M7" s="33"/>
      <c r="N7" s="33">
        <f>$C$27*'E Balans VL '!Y9/100/3.6*1000000</f>
        <v>0.45692521231052724</v>
      </c>
      <c r="O7" s="33"/>
      <c r="P7" s="33"/>
      <c r="R7" s="32"/>
    </row>
    <row r="8" spans="1:18">
      <c r="A8" s="6" t="s">
        <v>52</v>
      </c>
      <c r="B8" s="37">
        <f t="shared" si="0"/>
        <v>6440.5862819999993</v>
      </c>
      <c r="C8" s="33"/>
      <c r="D8" s="37">
        <f>IF(ISERROR(TER_handel_gas_kWh/1000),0,TER_handel_gas_kWh/1000)*0.902</f>
        <v>4045.4463627291998</v>
      </c>
      <c r="E8" s="33">
        <f>$C$28*'E Balans VL '!I13/100/3.6*1000000</f>
        <v>203.2747439828282</v>
      </c>
      <c r="F8" s="33">
        <f>$C$28*('E Balans VL '!L13+'E Balans VL '!N13)/100/3.6*1000000</f>
        <v>1263.1123815834042</v>
      </c>
      <c r="G8" s="34"/>
      <c r="H8" s="33"/>
      <c r="I8" s="33"/>
      <c r="J8" s="33">
        <f>$C$28*('E Balans VL '!D13+'E Balans VL '!E13)/100/3.6*1000000</f>
        <v>0</v>
      </c>
      <c r="K8" s="33"/>
      <c r="L8" s="33"/>
      <c r="M8" s="33"/>
      <c r="N8" s="33">
        <f>$C$28*'E Balans VL '!Y13/100/3.6*1000000</f>
        <v>7.6437254922581417</v>
      </c>
      <c r="O8" s="33"/>
      <c r="P8" s="33"/>
      <c r="R8" s="32"/>
    </row>
    <row r="9" spans="1:18">
      <c r="A9" s="32" t="s">
        <v>51</v>
      </c>
      <c r="B9" s="37">
        <f t="shared" si="0"/>
        <v>571.67619843</v>
      </c>
      <c r="C9" s="33"/>
      <c r="D9" s="37">
        <f>IF(ISERROR(TER_gezond_gas_kWh/1000),0,TER_gezond_gas_kWh/1000)*0.902</f>
        <v>1256.2839580433999</v>
      </c>
      <c r="E9" s="33">
        <f>$C$29*'E Balans VL '!I10/100/3.6*1000000</f>
        <v>7.319127741515051E-2</v>
      </c>
      <c r="F9" s="33">
        <f>$C$29*('E Balans VL '!L10+'E Balans VL '!N10)/100/3.6*1000000</f>
        <v>119.10411327832561</v>
      </c>
      <c r="G9" s="34"/>
      <c r="H9" s="33"/>
      <c r="I9" s="33"/>
      <c r="J9" s="33">
        <f>$C$29*('E Balans VL '!D10+'E Balans VL '!E10)/100/3.6*1000000</f>
        <v>0</v>
      </c>
      <c r="K9" s="33"/>
      <c r="L9" s="33"/>
      <c r="M9" s="33"/>
      <c r="N9" s="33">
        <f>$C$29*'E Balans VL '!Y10/100/3.6*1000000</f>
        <v>6.7146071602550688</v>
      </c>
      <c r="O9" s="33"/>
      <c r="P9" s="33"/>
      <c r="R9" s="32"/>
    </row>
    <row r="10" spans="1:18">
      <c r="A10" s="32" t="s">
        <v>50</v>
      </c>
      <c r="B10" s="37">
        <f t="shared" si="0"/>
        <v>2287.2767738000002</v>
      </c>
      <c r="C10" s="33"/>
      <c r="D10" s="37">
        <f>IF(ISERROR(TER_ander_gas_kWh/1000),0,TER_ander_gas_kWh/1000)*0.902</f>
        <v>1710.8604091502</v>
      </c>
      <c r="E10" s="33">
        <f>$C$30*'E Balans VL '!I14/100/3.6*1000000</f>
        <v>3.4395263790079524</v>
      </c>
      <c r="F10" s="33">
        <f>$C$30*('E Balans VL '!L14+'E Balans VL '!N14)/100/3.6*1000000</f>
        <v>504.95698221003767</v>
      </c>
      <c r="G10" s="34"/>
      <c r="H10" s="33"/>
      <c r="I10" s="33"/>
      <c r="J10" s="33">
        <f>$C$30*('E Balans VL '!D14+'E Balans VL '!E14)/100/3.6*1000000</f>
        <v>0</v>
      </c>
      <c r="K10" s="33"/>
      <c r="L10" s="33"/>
      <c r="M10" s="33"/>
      <c r="N10" s="33">
        <f>$C$30*'E Balans VL '!Y14/100/3.6*1000000</f>
        <v>1802.5280256776168</v>
      </c>
      <c r="O10" s="33"/>
      <c r="P10" s="33"/>
      <c r="R10" s="32"/>
    </row>
    <row r="11" spans="1:18">
      <c r="A11" s="32" t="s">
        <v>55</v>
      </c>
      <c r="B11" s="37">
        <f t="shared" si="0"/>
        <v>810.09002674999999</v>
      </c>
      <c r="C11" s="33"/>
      <c r="D11" s="37">
        <f>IF(ISERROR(TER_onderwijs_gas_kWh/1000),0,TER_onderwijs_gas_kWh/1000)*0.902</f>
        <v>2371.5467183341998</v>
      </c>
      <c r="E11" s="33">
        <f>$C$31*'E Balans VL '!I11/100/3.6*1000000</f>
        <v>1.4266364224163364</v>
      </c>
      <c r="F11" s="33">
        <f>$C$31*('E Balans VL '!L11+'E Balans VL '!N11)/100/3.6*1000000</f>
        <v>374.03322390526478</v>
      </c>
      <c r="G11" s="34"/>
      <c r="H11" s="33"/>
      <c r="I11" s="33"/>
      <c r="J11" s="33">
        <f>$C$31*('E Balans VL '!D11+'E Balans VL '!E11)/100/3.6*1000000</f>
        <v>0</v>
      </c>
      <c r="K11" s="33"/>
      <c r="L11" s="33"/>
      <c r="M11" s="33"/>
      <c r="N11" s="33">
        <f>$C$31*'E Balans VL '!Y11/100/3.6*1000000</f>
        <v>1.5092089223909655</v>
      </c>
      <c r="O11" s="33"/>
      <c r="P11" s="33"/>
      <c r="R11" s="32"/>
    </row>
    <row r="12" spans="1:18">
      <c r="A12" s="32" t="s">
        <v>260</v>
      </c>
      <c r="B12" s="37">
        <f t="shared" si="0"/>
        <v>1928.2208301999999</v>
      </c>
      <c r="C12" s="33"/>
      <c r="D12" s="37">
        <f>IF(ISERROR(TER_rest_gas_kWh/1000),0,TER_rest_gas_kWh/1000)*0.902</f>
        <v>4989.9522759437996</v>
      </c>
      <c r="E12" s="33">
        <f>$C$32*'E Balans VL '!I8/100/3.6*1000000</f>
        <v>33.949242429558588</v>
      </c>
      <c r="F12" s="33">
        <f>$C$32*('E Balans VL '!L8+'E Balans VL '!N8)/100/3.6*1000000</f>
        <v>496.77008604209868</v>
      </c>
      <c r="G12" s="34"/>
      <c r="H12" s="33"/>
      <c r="I12" s="33"/>
      <c r="J12" s="33">
        <f>$C$32*('E Balans VL '!D8+'E Balans VL '!E8)/100/3.6*1000000</f>
        <v>0</v>
      </c>
      <c r="K12" s="33"/>
      <c r="L12" s="33"/>
      <c r="M12" s="33"/>
      <c r="N12" s="33">
        <f>$C$32*'E Balans VL '!Y8/100/3.6*1000000</f>
        <v>170.14998031489588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17301.347522979999</v>
      </c>
      <c r="C16" s="21">
        <f t="shared" ca="1" si="1"/>
        <v>0</v>
      </c>
      <c r="D16" s="21">
        <f t="shared" ca="1" si="1"/>
        <v>25522.838586035999</v>
      </c>
      <c r="E16" s="21">
        <f t="shared" si="1"/>
        <v>349.03817809784999</v>
      </c>
      <c r="F16" s="21">
        <f t="shared" ca="1" si="1"/>
        <v>4432.312236282145</v>
      </c>
      <c r="G16" s="21">
        <f t="shared" si="1"/>
        <v>0</v>
      </c>
      <c r="H16" s="21">
        <f t="shared" si="1"/>
        <v>0</v>
      </c>
      <c r="I16" s="21">
        <f t="shared" si="1"/>
        <v>0</v>
      </c>
      <c r="J16" s="21">
        <f t="shared" si="1"/>
        <v>0</v>
      </c>
      <c r="K16" s="21">
        <f t="shared" si="1"/>
        <v>0</v>
      </c>
      <c r="L16" s="21">
        <f t="shared" ca="1" si="1"/>
        <v>0</v>
      </c>
      <c r="M16" s="21">
        <f t="shared" si="1"/>
        <v>0</v>
      </c>
      <c r="N16" s="21">
        <f t="shared" ca="1" si="1"/>
        <v>1992.3790988679127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0.18487579053294831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3198.6003005961943</v>
      </c>
      <c r="C20" s="23">
        <f t="shared" ref="C20:P20" ca="1" si="2">C16*C18</f>
        <v>0</v>
      </c>
      <c r="D20" s="23">
        <f t="shared" ca="1" si="2"/>
        <v>5155.613394379272</v>
      </c>
      <c r="E20" s="23">
        <f t="shared" si="2"/>
        <v>79.231666428211952</v>
      </c>
      <c r="F20" s="23">
        <f t="shared" ca="1" si="2"/>
        <v>1183.4273670873329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3365.2936420999999</v>
      </c>
      <c r="C26" s="39">
        <f>IF(ISERROR(B26*3.6/1000000/'E Balans VL '!Z12*100),0,B26*3.6/1000000/'E Balans VL '!Z12*100)</f>
        <v>7.2087204208609243E-2</v>
      </c>
      <c r="D26" s="237" t="s">
        <v>660</v>
      </c>
      <c r="F26" s="6"/>
    </row>
    <row r="27" spans="1:18">
      <c r="A27" s="231" t="s">
        <v>53</v>
      </c>
      <c r="B27" s="33">
        <f>IF(ISERROR(TER_horeca_ele_kWh/1000),0,TER_horeca_ele_kWh/1000)</f>
        <v>1898.2037697000001</v>
      </c>
      <c r="C27" s="39">
        <f>IF(ISERROR(B27*3.6/1000000/'E Balans VL '!Z9*100),0,B27*3.6/1000000/'E Balans VL '!Z9*100)</f>
        <v>0.15232425442946931</v>
      </c>
      <c r="D27" s="237" t="s">
        <v>660</v>
      </c>
      <c r="F27" s="6"/>
    </row>
    <row r="28" spans="1:18">
      <c r="A28" s="171" t="s">
        <v>52</v>
      </c>
      <c r="B28" s="33">
        <f>IF(ISERROR(TER_handel_ele_kWh/1000),0,TER_handel_ele_kWh/1000)</f>
        <v>6440.5862819999993</v>
      </c>
      <c r="C28" s="39">
        <f>IF(ISERROR(B28*3.6/1000000/'E Balans VL '!Z13*100),0,B28*3.6/1000000/'E Balans VL '!Z13*100)</f>
        <v>0.18996035358957231</v>
      </c>
      <c r="D28" s="237" t="s">
        <v>660</v>
      </c>
      <c r="F28" s="6"/>
    </row>
    <row r="29" spans="1:18">
      <c r="A29" s="231" t="s">
        <v>51</v>
      </c>
      <c r="B29" s="33">
        <f>IF(ISERROR(TER_gezond_ele_kWh/1000),0,TER_gezond_ele_kWh/1000)</f>
        <v>571.67619843</v>
      </c>
      <c r="C29" s="39">
        <f>IF(ISERROR(B29*3.6/1000000/'E Balans VL '!Z10*100),0,B29*3.6/1000000/'E Balans VL '!Z10*100)</f>
        <v>6.1039690778678317E-2</v>
      </c>
      <c r="D29" s="237" t="s">
        <v>660</v>
      </c>
      <c r="F29" s="6"/>
    </row>
    <row r="30" spans="1:18">
      <c r="A30" s="231" t="s">
        <v>50</v>
      </c>
      <c r="B30" s="33">
        <f>IF(ISERROR(TER_ander_ele_kWh/1000),0,TER_ander_ele_kWh/1000)</f>
        <v>2287.2767738000002</v>
      </c>
      <c r="C30" s="39">
        <f>IF(ISERROR(B30*3.6/1000000/'E Balans VL '!Z14*100),0,B30*3.6/1000000/'E Balans VL '!Z14*100)</f>
        <v>0.17276699649870986</v>
      </c>
      <c r="D30" s="237" t="s">
        <v>660</v>
      </c>
      <c r="F30" s="6"/>
    </row>
    <row r="31" spans="1:18">
      <c r="A31" s="231" t="s">
        <v>55</v>
      </c>
      <c r="B31" s="33">
        <f>IF(ISERROR(TER_onderwijs_ele_kWh/1000),0,TER_onderwijs_ele_kWh/1000)</f>
        <v>810.09002674999999</v>
      </c>
      <c r="C31" s="39">
        <f>IF(ISERROR(B31*3.6/1000000/'E Balans VL '!Z11*100),0,B31*3.6/1000000/'E Balans VL '!Z11*100)</f>
        <v>0.16358421929509537</v>
      </c>
      <c r="D31" s="237" t="s">
        <v>660</v>
      </c>
    </row>
    <row r="32" spans="1:18">
      <c r="A32" s="231" t="s">
        <v>260</v>
      </c>
      <c r="B32" s="33">
        <f>IF(ISERROR(TER_rest_ele_kWh/1000),0,TER_rest_ele_kWh/1000)</f>
        <v>1928.2208301999999</v>
      </c>
      <c r="C32" s="39">
        <f>IF(ISERROR(B32*3.6/1000000/'E Balans VL '!Z8*100),0,B32*3.6/1000000/'E Balans VL '!Z8*100)</f>
        <v>1.5987635710493938E-2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18481.239590969999</v>
      </c>
      <c r="C5" s="17">
        <f>IF(ISERROR('Eigen informatie GS &amp; warmtenet'!B59),0,'Eigen informatie GS &amp; warmtenet'!B59)</f>
        <v>0</v>
      </c>
      <c r="D5" s="30">
        <f>SUM(D6:D15)</f>
        <v>10255.880494275239</v>
      </c>
      <c r="E5" s="17">
        <f>SUM(E6:E15)</f>
        <v>1133.5376892149552</v>
      </c>
      <c r="F5" s="17">
        <f>SUM(F6:F15)</f>
        <v>4880.3798712475927</v>
      </c>
      <c r="G5" s="18"/>
      <c r="H5" s="17"/>
      <c r="I5" s="17"/>
      <c r="J5" s="17">
        <f>SUM(J6:J15)</f>
        <v>103.89179601434118</v>
      </c>
      <c r="K5" s="17"/>
      <c r="L5" s="17"/>
      <c r="M5" s="17"/>
      <c r="N5" s="17">
        <f>SUM(N6:N15)</f>
        <v>3392.2374435173465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1379.6443517</v>
      </c>
      <c r="C8" s="33"/>
      <c r="D8" s="37">
        <f>IF( ISERROR(IND_metaal_Gas_kWH/1000),0,IND_metaal_Gas_kWH/1000)*0.902</f>
        <v>279.27911425678002</v>
      </c>
      <c r="E8" s="33">
        <f>C30*'E Balans VL '!I18/100/3.6*1000000</f>
        <v>49.643777481257175</v>
      </c>
      <c r="F8" s="33">
        <f>C30*'E Balans VL '!L18/100/3.6*1000000+C30*'E Balans VL '!N18/100/3.6*1000000</f>
        <v>602.44596512927751</v>
      </c>
      <c r="G8" s="34"/>
      <c r="H8" s="33"/>
      <c r="I8" s="33"/>
      <c r="J8" s="40">
        <f>C30*'E Balans VL '!D18/100/3.6*1000000+C30*'E Balans VL '!E18/100/3.6*1000000</f>
        <v>0</v>
      </c>
      <c r="K8" s="33"/>
      <c r="L8" s="33"/>
      <c r="M8" s="33"/>
      <c r="N8" s="33">
        <f>C30*'E Balans VL '!Y18/100/3.6*1000000</f>
        <v>69.146837339522733</v>
      </c>
      <c r="O8" s="33"/>
      <c r="P8" s="33"/>
      <c r="R8" s="32"/>
    </row>
    <row r="9" spans="1:18">
      <c r="A9" s="6" t="s">
        <v>33</v>
      </c>
      <c r="B9" s="37">
        <f t="shared" si="0"/>
        <v>1595.5213509</v>
      </c>
      <c r="C9" s="33"/>
      <c r="D9" s="37">
        <f>IF( ISERROR(IND_andere_gas_kWh/1000),0,IND_andere_gas_kWh/1000)*0.902</f>
        <v>1970.8632622404002</v>
      </c>
      <c r="E9" s="33">
        <f>C31*'E Balans VL '!I19/100/3.6*1000000</f>
        <v>407.14094906800148</v>
      </c>
      <c r="F9" s="33">
        <f>C31*'E Balans VL '!L19/100/3.6*1000000+C31*'E Balans VL '!N19/100/3.6*1000000</f>
        <v>1373.6239590779201</v>
      </c>
      <c r="G9" s="34"/>
      <c r="H9" s="33"/>
      <c r="I9" s="33"/>
      <c r="J9" s="40">
        <f>C31*'E Balans VL '!D19/100/3.6*1000000+C31*'E Balans VL '!E19/100/3.6*1000000</f>
        <v>0</v>
      </c>
      <c r="K9" s="33"/>
      <c r="L9" s="33"/>
      <c r="M9" s="33"/>
      <c r="N9" s="33">
        <f>C31*'E Balans VL '!Y19/100/3.6*1000000</f>
        <v>498.97416732606968</v>
      </c>
      <c r="O9" s="33"/>
      <c r="P9" s="33"/>
      <c r="R9" s="32"/>
    </row>
    <row r="10" spans="1:18">
      <c r="A10" s="6" t="s">
        <v>41</v>
      </c>
      <c r="B10" s="37">
        <f t="shared" si="0"/>
        <v>590.83874856</v>
      </c>
      <c r="C10" s="33"/>
      <c r="D10" s="37">
        <f>IF( ISERROR(IND_voed_gas_kWh/1000),0,IND_voed_gas_kWh/1000)*0.902</f>
        <v>545.12999048485995</v>
      </c>
      <c r="E10" s="33">
        <f>C32*'E Balans VL '!I20/100/3.6*1000000</f>
        <v>15.019932276480661</v>
      </c>
      <c r="F10" s="33">
        <f>C32*'E Balans VL '!L20/100/3.6*1000000+C32*'E Balans VL '!N20/100/3.6*1000000</f>
        <v>133.69793954462713</v>
      </c>
      <c r="G10" s="34"/>
      <c r="H10" s="33"/>
      <c r="I10" s="33"/>
      <c r="J10" s="40">
        <f>C32*'E Balans VL '!D20/100/3.6*1000000+C32*'E Balans VL '!E20/100/3.6*1000000</f>
        <v>0</v>
      </c>
      <c r="K10" s="33"/>
      <c r="L10" s="33"/>
      <c r="M10" s="33"/>
      <c r="N10" s="33">
        <f>C32*'E Balans VL '!Y20/100/3.6*1000000</f>
        <v>221.58054602422069</v>
      </c>
      <c r="O10" s="33"/>
      <c r="P10" s="33"/>
      <c r="R10" s="32"/>
    </row>
    <row r="11" spans="1:18">
      <c r="A11" s="6" t="s">
        <v>40</v>
      </c>
      <c r="B11" s="37">
        <f t="shared" si="0"/>
        <v>2681.1179846</v>
      </c>
      <c r="C11" s="33"/>
      <c r="D11" s="37">
        <f>IF( ISERROR(IND_textiel_gas_kWh/1000),0,IND_textiel_gas_kWh/1000)*0.902</f>
        <v>149.45581968680003</v>
      </c>
      <c r="E11" s="33">
        <f>C33*'E Balans VL '!I21/100/3.6*1000000</f>
        <v>7.3603898816171016</v>
      </c>
      <c r="F11" s="33">
        <f>C33*'E Balans VL '!L21/100/3.6*1000000+C33*'E Balans VL '!N21/100/3.6*1000000</f>
        <v>142.14170188508018</v>
      </c>
      <c r="G11" s="34"/>
      <c r="H11" s="33"/>
      <c r="I11" s="33"/>
      <c r="J11" s="40">
        <f>C33*'E Balans VL '!D21/100/3.6*1000000+C33*'E Balans VL '!E21/100/3.6*1000000</f>
        <v>0</v>
      </c>
      <c r="K11" s="33"/>
      <c r="L11" s="33"/>
      <c r="M11" s="33"/>
      <c r="N11" s="33">
        <f>C33*'E Balans VL '!Y21/100/3.6*1000000</f>
        <v>5.3886034706542256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93.17438674600001</v>
      </c>
      <c r="C13" s="33"/>
      <c r="D13" s="37">
        <f>IF( ISERROR(IND_papier_gas_kWh/1000),0,IND_papier_gas_kWh/1000)*0.902</f>
        <v>0</v>
      </c>
      <c r="E13" s="33">
        <f>C35*'E Balans VL '!I23/100/3.6*1000000</f>
        <v>0.3995978386675163</v>
      </c>
      <c r="F13" s="33">
        <f>C35*'E Balans VL '!L23/100/3.6*1000000+C35*'E Balans VL '!N23/100/3.6*1000000</f>
        <v>2.3417615338132811</v>
      </c>
      <c r="G13" s="34"/>
      <c r="H13" s="33"/>
      <c r="I13" s="33"/>
      <c r="J13" s="40">
        <f>C35*'E Balans VL '!D23/100/3.6*1000000+C35*'E Balans VL '!E23/100/3.6*1000000</f>
        <v>6.2375141521555406</v>
      </c>
      <c r="K13" s="33"/>
      <c r="L13" s="33"/>
      <c r="M13" s="33"/>
      <c r="N13" s="33">
        <f>C35*'E Balans VL '!Y23/100/3.6*1000000</f>
        <v>169.59954159225748</v>
      </c>
      <c r="O13" s="33"/>
      <c r="P13" s="33"/>
      <c r="R13" s="32"/>
    </row>
    <row r="14" spans="1:18">
      <c r="A14" s="6" t="s">
        <v>34</v>
      </c>
      <c r="B14" s="37">
        <f t="shared" si="0"/>
        <v>95.440117463999997</v>
      </c>
      <c r="C14" s="33"/>
      <c r="D14" s="37">
        <f>IF( ISERROR(IND_chemie_gas_kWh/1000),0,IND_chemie_gas_kWh/1000)*0.902</f>
        <v>0</v>
      </c>
      <c r="E14" s="33">
        <f>C36*'E Balans VL '!I24/100/3.6*1000000</f>
        <v>0.22880273218332317</v>
      </c>
      <c r="F14" s="33">
        <f>C36*'E Balans VL '!L24/100/3.6*1000000+C36*'E Balans VL '!N24/100/3.6*1000000</f>
        <v>0.76592853160678742</v>
      </c>
      <c r="G14" s="34"/>
      <c r="H14" s="33"/>
      <c r="I14" s="33"/>
      <c r="J14" s="40">
        <f>C36*'E Balans VL '!D24/100/3.6*1000000+C36*'E Balans VL '!E24/100/3.6*1000000</f>
        <v>0</v>
      </c>
      <c r="K14" s="33"/>
      <c r="L14" s="33"/>
      <c r="M14" s="33"/>
      <c r="N14" s="33">
        <f>C36*'E Balans VL '!Y24/100/3.6*1000000</f>
        <v>1.9726732370011943</v>
      </c>
      <c r="O14" s="33"/>
      <c r="P14" s="33"/>
      <c r="R14" s="32"/>
    </row>
    <row r="15" spans="1:18">
      <c r="A15" s="6" t="s">
        <v>270</v>
      </c>
      <c r="B15" s="37">
        <f t="shared" si="0"/>
        <v>12045.502651000001</v>
      </c>
      <c r="C15" s="33"/>
      <c r="D15" s="37">
        <f>IF( ISERROR(IND_rest_gas_kWh/1000),0,IND_rest_gas_kWh/1000)*0.902</f>
        <v>7311.1523076063995</v>
      </c>
      <c r="E15" s="33">
        <f>C37*'E Balans VL '!I15/100/3.6*1000000</f>
        <v>653.74423993674804</v>
      </c>
      <c r="F15" s="33">
        <f>C37*'E Balans VL '!L15/100/3.6*1000000+C37*'E Balans VL '!N15/100/3.6*1000000</f>
        <v>2625.3626155452671</v>
      </c>
      <c r="G15" s="34"/>
      <c r="H15" s="33"/>
      <c r="I15" s="33"/>
      <c r="J15" s="40">
        <f>C37*'E Balans VL '!D15/100/3.6*1000000+C37*'E Balans VL '!E15/100/3.6*1000000</f>
        <v>97.654281862185641</v>
      </c>
      <c r="K15" s="33"/>
      <c r="L15" s="33"/>
      <c r="M15" s="33"/>
      <c r="N15" s="33">
        <f>C37*'E Balans VL '!Y15/100/3.6*1000000</f>
        <v>2425.5750745276205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18481.239590969999</v>
      </c>
      <c r="C18" s="21">
        <f>C5+C16</f>
        <v>0</v>
      </c>
      <c r="D18" s="21">
        <f>MAX((D5+D16),0)</f>
        <v>10255.880494275239</v>
      </c>
      <c r="E18" s="21">
        <f>MAX((E5+E16),0)</f>
        <v>1133.5376892149552</v>
      </c>
      <c r="F18" s="21">
        <f>MAX((F5+F16),0)</f>
        <v>4880.3798712475927</v>
      </c>
      <c r="G18" s="21"/>
      <c r="H18" s="21"/>
      <c r="I18" s="21"/>
      <c r="J18" s="21">
        <f>MAX((J5+J16),0)</f>
        <v>103.89179601434118</v>
      </c>
      <c r="K18" s="21"/>
      <c r="L18" s="21">
        <f>MAX((L5+L16),0)</f>
        <v>0</v>
      </c>
      <c r="M18" s="21"/>
      <c r="N18" s="21">
        <f>MAX((N5+N16),0)</f>
        <v>3392.2374435173465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0.18487579053294831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3416.733779409401</v>
      </c>
      <c r="C22" s="23">
        <f ca="1">C18*C20</f>
        <v>0</v>
      </c>
      <c r="D22" s="23">
        <f>D18*D20</f>
        <v>2071.6878598435983</v>
      </c>
      <c r="E22" s="23">
        <f>E18*E20</f>
        <v>257.31305545179487</v>
      </c>
      <c r="F22" s="23">
        <f>F18*F20</f>
        <v>1303.0614256231074</v>
      </c>
      <c r="G22" s="23"/>
      <c r="H22" s="23"/>
      <c r="I22" s="23"/>
      <c r="J22" s="23">
        <f>J18*J20</f>
        <v>36.777695789076773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1379.6443517</v>
      </c>
      <c r="C30" s="39">
        <f>IF(ISERROR(B30*3.6/1000000/'E Balans VL '!Z18*100),0,B30*3.6/1000000/'E Balans VL '!Z18*100)</f>
        <v>0.29231705932989477</v>
      </c>
      <c r="D30" s="237" t="s">
        <v>660</v>
      </c>
    </row>
    <row r="31" spans="1:18">
      <c r="A31" s="6" t="s">
        <v>33</v>
      </c>
      <c r="B31" s="37">
        <f>IF( ISERROR(IND_ander_ele_kWh/1000),0,IND_ander_ele_kWh/1000)</f>
        <v>1595.5213509</v>
      </c>
      <c r="C31" s="39">
        <f>IF(ISERROR(B31*3.6/1000000/'E Balans VL '!Z19*100),0,B31*3.6/1000000/'E Balans VL '!Z19*100)</f>
        <v>6.7159116554086559E-2</v>
      </c>
      <c r="D31" s="237" t="s">
        <v>660</v>
      </c>
    </row>
    <row r="32" spans="1:18">
      <c r="A32" s="171" t="s">
        <v>41</v>
      </c>
      <c r="B32" s="37">
        <f>IF( ISERROR(IND_voed_ele_kWh/1000),0,IND_voed_ele_kWh/1000)</f>
        <v>590.83874856</v>
      </c>
      <c r="C32" s="39">
        <f>IF(ISERROR(B32*3.6/1000000/'E Balans VL '!Z20*100),0,B32*3.6/1000000/'E Balans VL '!Z20*100)</f>
        <v>9.870629782762412E-2</v>
      </c>
      <c r="D32" s="237" t="s">
        <v>660</v>
      </c>
    </row>
    <row r="33" spans="1:5">
      <c r="A33" s="171" t="s">
        <v>40</v>
      </c>
      <c r="B33" s="37">
        <f>IF( ISERROR(IND_textiel_ele_kWh/1000),0,IND_textiel_ele_kWh/1000)</f>
        <v>2681.1179846</v>
      </c>
      <c r="C33" s="39">
        <f>IF(ISERROR(B33*3.6/1000000/'E Balans VL '!Z21*100),0,B33*3.6/1000000/'E Balans VL '!Z21*100)</f>
        <v>0.15653169123178579</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93.17438674600001</v>
      </c>
      <c r="C35" s="39">
        <f>IF(ISERROR(B35*3.6/1000000/'E Balans VL '!Z22*100),0,B35*3.6/1000000/'E Balans VL '!Z22*100)</f>
        <v>1.1810356008039143E-2</v>
      </c>
      <c r="D35" s="237" t="s">
        <v>660</v>
      </c>
    </row>
    <row r="36" spans="1:5">
      <c r="A36" s="171" t="s">
        <v>34</v>
      </c>
      <c r="B36" s="37">
        <f>IF( ISERROR(IND_chemie_ele_kWh/1000),0,IND_chemie_ele_kWh/1000)</f>
        <v>95.440117463999997</v>
      </c>
      <c r="C36" s="39">
        <f>IF(ISERROR(B36*3.6/1000000/'E Balans VL '!Z24*100),0,B36*3.6/1000000/'E Balans VL '!Z24*100)</f>
        <v>3.0998980929567259E-3</v>
      </c>
      <c r="D36" s="237" t="s">
        <v>660</v>
      </c>
    </row>
    <row r="37" spans="1:5">
      <c r="A37" s="171" t="s">
        <v>270</v>
      </c>
      <c r="B37" s="37">
        <f>IF( ISERROR(IND_rest_ele_kWh/1000),0,IND_rest_ele_kWh/1000)</f>
        <v>12045.502651000001</v>
      </c>
      <c r="C37" s="39">
        <f>IF(ISERROR(B37*3.6/1000000/'E Balans VL '!Z15*100),0,B37*3.6/1000000/'E Balans VL '!Z15*100)</f>
        <v>9.7248007133928713E-2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1532.8576395560001</v>
      </c>
      <c r="C5" s="17">
        <f>'Eigen informatie GS &amp; warmtenet'!B60</f>
        <v>0</v>
      </c>
      <c r="D5" s="30">
        <f>IF(ISERROR(SUM(LB_lb_gas_kWh,LB_rest_gas_kWh)/1000),0,SUM(LB_lb_gas_kWh,LB_rest_gas_kWh)/1000)*0.902</f>
        <v>20403.339105738247</v>
      </c>
      <c r="E5" s="17">
        <f>B17*'E Balans VL '!I25/3.6*1000000/100</f>
        <v>39.526513031263178</v>
      </c>
      <c r="F5" s="17">
        <f>B17*('E Balans VL '!L25/3.6*1000000+'E Balans VL '!N25/3.6*1000000)/100</f>
        <v>5602.8865911340654</v>
      </c>
      <c r="G5" s="18"/>
      <c r="H5" s="17"/>
      <c r="I5" s="17"/>
      <c r="J5" s="17">
        <f>('E Balans VL '!D25+'E Balans VL '!E25)/3.6*1000000*landbouw!B17/100</f>
        <v>220.67511138773429</v>
      </c>
      <c r="K5" s="17"/>
      <c r="L5" s="17">
        <f>L6*(-1)</f>
        <v>0</v>
      </c>
      <c r="M5" s="17"/>
      <c r="N5" s="17">
        <f>N6*(-1)</f>
        <v>0</v>
      </c>
      <c r="O5" s="17"/>
      <c r="P5" s="17"/>
      <c r="R5" s="32"/>
    </row>
    <row r="6" spans="1:18">
      <c r="A6" s="16" t="s">
        <v>491</v>
      </c>
      <c r="B6" s="17" t="s">
        <v>211</v>
      </c>
      <c r="C6" s="17">
        <f>'lokale energieproductie'!O92+'lokale energieproductie'!O61</f>
        <v>10182.857142857143</v>
      </c>
      <c r="D6" s="310">
        <f>('lokale energieproductie'!P61+'lokale energieproductie'!P92)*(-1)</f>
        <v>-20365.714285714286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1532.8576395560001</v>
      </c>
      <c r="C8" s="21">
        <f>C5+C6</f>
        <v>10182.857142857143</v>
      </c>
      <c r="D8" s="21">
        <f>MAX((D5+D6),0)</f>
        <v>37.624820023960638</v>
      </c>
      <c r="E8" s="21">
        <f>MAX((E5+E6),0)</f>
        <v>39.526513031263178</v>
      </c>
      <c r="F8" s="21">
        <f>MAX((F5+F6),0)</f>
        <v>5602.8865911340654</v>
      </c>
      <c r="G8" s="21"/>
      <c r="H8" s="21"/>
      <c r="I8" s="21"/>
      <c r="J8" s="21">
        <f>MAX((J5+J6),0)</f>
        <v>220.67511138773429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0.18487579053294831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283.38826788738464</v>
      </c>
      <c r="C12" s="23">
        <f ca="1">C8*C10</f>
        <v>2419.9260504201679</v>
      </c>
      <c r="D12" s="23">
        <f>D8*D10</f>
        <v>7.600213644840049</v>
      </c>
      <c r="E12" s="23">
        <f>E8*E10</f>
        <v>8.9725184580967419</v>
      </c>
      <c r="F12" s="23">
        <f>F8*F10</f>
        <v>1495.9707198327956</v>
      </c>
      <c r="G12" s="23"/>
      <c r="H12" s="23"/>
      <c r="I12" s="23"/>
      <c r="J12" s="23">
        <f>J8*J10</f>
        <v>78.11898943125793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0.21614308059873158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253.80070958325575</v>
      </c>
      <c r="C26" s="247">
        <f>B26*'GWP N2O_CH4'!B5</f>
        <v>5329.8149012483709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74.93547182758337</v>
      </c>
      <c r="C27" s="247">
        <f>B27*'GWP N2O_CH4'!B5</f>
        <v>1573.6449083792509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3.3214242300909893</v>
      </c>
      <c r="C28" s="247">
        <f>B28*'GWP N2O_CH4'!B4</f>
        <v>1029.6415113282067</v>
      </c>
      <c r="D28" s="50"/>
    </row>
    <row r="29" spans="1:4">
      <c r="A29" s="41" t="s">
        <v>277</v>
      </c>
      <c r="B29" s="247">
        <f>B34*'ha_N2O bodem landbouw'!B4</f>
        <v>10.534812064674638</v>
      </c>
      <c r="C29" s="247">
        <f>B29*'GWP N2O_CH4'!B4</f>
        <v>3265.7917400491378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2.3709051928924364E-3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8.545845275282138E-5</v>
      </c>
      <c r="C5" s="463" t="s">
        <v>211</v>
      </c>
      <c r="D5" s="448">
        <f>SUM(D6:D11)</f>
        <v>2.2619937862914774E-4</v>
      </c>
      <c r="E5" s="448">
        <f>SUM(E6:E11)</f>
        <v>8.5184336531122476E-4</v>
      </c>
      <c r="F5" s="461" t="s">
        <v>211</v>
      </c>
      <c r="G5" s="448">
        <f>SUM(G6:G11)</f>
        <v>0.26213182350247133</v>
      </c>
      <c r="H5" s="448">
        <f>SUM(H6:H11)</f>
        <v>6.0196026121118545E-2</v>
      </c>
      <c r="I5" s="463" t="s">
        <v>211</v>
      </c>
      <c r="J5" s="463" t="s">
        <v>211</v>
      </c>
      <c r="K5" s="463" t="s">
        <v>211</v>
      </c>
      <c r="L5" s="463" t="s">
        <v>211</v>
      </c>
      <c r="M5" s="448">
        <f>SUM(M6:M11)</f>
        <v>1.0062305856646985E-2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4.8631442569527117E-5</v>
      </c>
      <c r="C6" s="449"/>
      <c r="D6" s="892">
        <f>vkm_2011_GW_PW*SUMIFS(TableVerdeelsleutelVkm[CNG],TableVerdeelsleutelVkm[Voertuigtype],"Lichte voertuigen")*SUMIFS(TableECFTransport[EnergieConsumptieFactor (PJ per km)],TableECFTransport[Index],CONCATENATE($A6,"_CNG_CNG"))</f>
        <v>9.6631528239990043E-5</v>
      </c>
      <c r="E6" s="892">
        <f>vkm_2011_GW_PW*SUMIFS(TableVerdeelsleutelVkm[LPG],TableVerdeelsleutelVkm[Voertuigtype],"Lichte voertuigen")*SUMIFS(TableECFTransport[EnergieConsumptieFactor (PJ per km)],TableECFTransport[Index],CONCATENATE($A6,"_LPG_LPG"))</f>
        <v>3.8027970343048028E-4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9.0417465318283305E-2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2.6161061789822651E-2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3.6326945548744789E-3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5.8911236454564225E-2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1.9030845680381028E-5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1.85620292201041E-3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3.682701018329427E-5</v>
      </c>
      <c r="C8" s="449"/>
      <c r="D8" s="451">
        <f>vkm_2011_NGW_PW*SUMIFS(TableVerdeelsleutelVkm[CNG],TableVerdeelsleutelVkm[Voertuigtype],"Lichte voertuigen")*SUMIFS(TableECFTransport[EnergieConsumptieFactor (PJ per km)],TableECFTransport[Index],CONCATENATE($A8,"_CNG_CNG"))</f>
        <v>1.2956785038915769E-4</v>
      </c>
      <c r="E8" s="451">
        <f>vkm_2011_NGW_PW*SUMIFS(TableVerdeelsleutelVkm[LPG],TableVerdeelsleutelVkm[Voertuigtype],"Lichte voertuigen")*SUMIFS(TableECFTransport[EnergieConsumptieFactor (PJ per km)],TableECFTransport[Index],CONCATENATE($A8,"_LPG_LPG"))</f>
        <v>4.7156366188074442E-4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0.10470038907468684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3.4013458032085511E-2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4.3181079328962878E-3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8.1027326549370105E-3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2.475453530007077E-6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2.55300446865808E-4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23.73845909800594</v>
      </c>
      <c r="C14" s="21"/>
      <c r="D14" s="21">
        <f t="shared" ref="D14:M14" si="0">((D5)*10^9/3600)+D12</f>
        <v>62.833160730318816</v>
      </c>
      <c r="E14" s="21">
        <f t="shared" si="0"/>
        <v>236.62315703089575</v>
      </c>
      <c r="F14" s="21"/>
      <c r="G14" s="21">
        <f t="shared" si="0"/>
        <v>72814.395417353153</v>
      </c>
      <c r="H14" s="21">
        <f t="shared" si="0"/>
        <v>16721.118366977375</v>
      </c>
      <c r="I14" s="21"/>
      <c r="J14" s="21"/>
      <c r="K14" s="21"/>
      <c r="L14" s="21"/>
      <c r="M14" s="21">
        <f t="shared" si="0"/>
        <v>2795.0849601797181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0.18487579053294831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4.3886663917779076</v>
      </c>
      <c r="C18" s="23"/>
      <c r="D18" s="23">
        <f t="shared" ref="D18:M18" si="1">D14*D16</f>
        <v>12.692298467524402</v>
      </c>
      <c r="E18" s="23">
        <f t="shared" si="1"/>
        <v>53.713456646013341</v>
      </c>
      <c r="F18" s="23"/>
      <c r="G18" s="23">
        <f t="shared" si="1"/>
        <v>19441.443576433292</v>
      </c>
      <c r="H18" s="23">
        <f t="shared" si="1"/>
        <v>4163.5584733773667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4.2598764268871386E-3</v>
      </c>
      <c r="H50" s="321">
        <f t="shared" si="2"/>
        <v>0</v>
      </c>
      <c r="I50" s="321">
        <f t="shared" si="2"/>
        <v>0</v>
      </c>
      <c r="J50" s="321">
        <f t="shared" si="2"/>
        <v>0</v>
      </c>
      <c r="K50" s="321">
        <f t="shared" si="2"/>
        <v>0</v>
      </c>
      <c r="L50" s="321">
        <f t="shared" si="2"/>
        <v>0</v>
      </c>
      <c r="M50" s="321">
        <f t="shared" si="2"/>
        <v>1.3213183664279913E-4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4.2598764268871386E-3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1.3213183664279913E-4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1183.2990074686497</v>
      </c>
      <c r="H54" s="21">
        <f t="shared" si="3"/>
        <v>0</v>
      </c>
      <c r="I54" s="21">
        <f t="shared" si="3"/>
        <v>0</v>
      </c>
      <c r="J54" s="21">
        <f t="shared" si="3"/>
        <v>0</v>
      </c>
      <c r="K54" s="21">
        <f t="shared" si="3"/>
        <v>0</v>
      </c>
      <c r="L54" s="21">
        <f t="shared" si="3"/>
        <v>0</v>
      </c>
      <c r="M54" s="21">
        <f t="shared" si="3"/>
        <v>36.703287956333092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0.18487579053294831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315.94083499412949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18526.56852298</v>
      </c>
      <c r="D10" s="1012">
        <f ca="1">tertiair!C16</f>
        <v>0</v>
      </c>
      <c r="E10" s="1012">
        <f ca="1">tertiair!D16</f>
        <v>25522.838586035999</v>
      </c>
      <c r="F10" s="1012">
        <f>tertiair!E16</f>
        <v>349.03817809784999</v>
      </c>
      <c r="G10" s="1012">
        <f ca="1">tertiair!F16</f>
        <v>4432.312236282145</v>
      </c>
      <c r="H10" s="1012">
        <f>tertiair!G16</f>
        <v>0</v>
      </c>
      <c r="I10" s="1012">
        <f>tertiair!H16</f>
        <v>0</v>
      </c>
      <c r="J10" s="1012">
        <f>tertiair!I16</f>
        <v>0</v>
      </c>
      <c r="K10" s="1012">
        <f>tertiair!J16</f>
        <v>0</v>
      </c>
      <c r="L10" s="1012">
        <f>tertiair!K16</f>
        <v>0</v>
      </c>
      <c r="M10" s="1012">
        <f ca="1">tertiair!L16</f>
        <v>0</v>
      </c>
      <c r="N10" s="1012">
        <f>tertiair!M16</f>
        <v>0</v>
      </c>
      <c r="O10" s="1012">
        <f ca="1">tertiair!N16</f>
        <v>1992.3790988679127</v>
      </c>
      <c r="P10" s="1012">
        <f>tertiair!O16</f>
        <v>0</v>
      </c>
      <c r="Q10" s="1013">
        <f>tertiair!P16</f>
        <v>0</v>
      </c>
      <c r="R10" s="700">
        <f ca="1">SUM(C10:Q10)</f>
        <v>50823.136622263904</v>
      </c>
      <c r="S10" s="67"/>
    </row>
    <row r="11" spans="1:19" s="473" customFormat="1">
      <c r="A11" s="809" t="s">
        <v>225</v>
      </c>
      <c r="B11" s="814"/>
      <c r="C11" s="1012">
        <f>huishoudens!B8</f>
        <v>39473.52220175018</v>
      </c>
      <c r="D11" s="1012">
        <f>huishoudens!C8</f>
        <v>0</v>
      </c>
      <c r="E11" s="1012">
        <f>huishoudens!D8</f>
        <v>106555.07246978</v>
      </c>
      <c r="F11" s="1012">
        <f>huishoudens!E8</f>
        <v>4236.205717953243</v>
      </c>
      <c r="G11" s="1012">
        <f>huishoudens!F8</f>
        <v>0</v>
      </c>
      <c r="H11" s="1012">
        <f>huishoudens!G8</f>
        <v>0</v>
      </c>
      <c r="I11" s="1012">
        <f>huishoudens!H8</f>
        <v>0</v>
      </c>
      <c r="J11" s="1012">
        <f>huishoudens!I8</f>
        <v>0</v>
      </c>
      <c r="K11" s="1012">
        <f>huishoudens!J8</f>
        <v>2389.6935853351911</v>
      </c>
      <c r="L11" s="1012">
        <f>huishoudens!K8</f>
        <v>0</v>
      </c>
      <c r="M11" s="1012">
        <f>huishoudens!L8</f>
        <v>0</v>
      </c>
      <c r="N11" s="1012">
        <f>huishoudens!M8</f>
        <v>0</v>
      </c>
      <c r="O11" s="1012">
        <f>huishoudens!N8</f>
        <v>24239.135316247124</v>
      </c>
      <c r="P11" s="1012">
        <f>huishoudens!O8</f>
        <v>225.12000000000003</v>
      </c>
      <c r="Q11" s="1013">
        <f>huishoudens!P8</f>
        <v>495.73333333333335</v>
      </c>
      <c r="R11" s="700">
        <f>SUM(C11:Q11)</f>
        <v>177614.48262439907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18481.239590969999</v>
      </c>
      <c r="D13" s="1012">
        <f>industrie!C18</f>
        <v>0</v>
      </c>
      <c r="E13" s="1012">
        <f>industrie!D18</f>
        <v>10255.880494275239</v>
      </c>
      <c r="F13" s="1012">
        <f>industrie!E18</f>
        <v>1133.5376892149552</v>
      </c>
      <c r="G13" s="1012">
        <f>industrie!F18</f>
        <v>4880.3798712475927</v>
      </c>
      <c r="H13" s="1012">
        <f>industrie!G18</f>
        <v>0</v>
      </c>
      <c r="I13" s="1012">
        <f>industrie!H18</f>
        <v>0</v>
      </c>
      <c r="J13" s="1012">
        <f>industrie!I18</f>
        <v>0</v>
      </c>
      <c r="K13" s="1012">
        <f>industrie!J18</f>
        <v>103.89179601434118</v>
      </c>
      <c r="L13" s="1012">
        <f>industrie!K18</f>
        <v>0</v>
      </c>
      <c r="M13" s="1012">
        <f>industrie!L18</f>
        <v>0</v>
      </c>
      <c r="N13" s="1012">
        <f>industrie!M18</f>
        <v>0</v>
      </c>
      <c r="O13" s="1012">
        <f>industrie!N18</f>
        <v>3392.2374435173465</v>
      </c>
      <c r="P13" s="1012">
        <f>industrie!O18</f>
        <v>0</v>
      </c>
      <c r="Q13" s="1013">
        <f>industrie!P18</f>
        <v>0</v>
      </c>
      <c r="R13" s="700">
        <f>SUM(C13:Q13)</f>
        <v>38247.16688523948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76481.330315700179</v>
      </c>
      <c r="D16" s="732">
        <f t="shared" ref="D16:R16" ca="1" si="0">SUM(D9:D15)</f>
        <v>0</v>
      </c>
      <c r="E16" s="732">
        <f t="shared" ca="1" si="0"/>
        <v>142333.79155009123</v>
      </c>
      <c r="F16" s="732">
        <f t="shared" si="0"/>
        <v>5718.7815852660478</v>
      </c>
      <c r="G16" s="732">
        <f t="shared" ca="1" si="0"/>
        <v>9312.6921075297378</v>
      </c>
      <c r="H16" s="732">
        <f t="shared" si="0"/>
        <v>0</v>
      </c>
      <c r="I16" s="732">
        <f t="shared" si="0"/>
        <v>0</v>
      </c>
      <c r="J16" s="732">
        <f t="shared" si="0"/>
        <v>0</v>
      </c>
      <c r="K16" s="732">
        <f t="shared" si="0"/>
        <v>2493.5853813495323</v>
      </c>
      <c r="L16" s="732">
        <f t="shared" si="0"/>
        <v>0</v>
      </c>
      <c r="M16" s="732">
        <f t="shared" ca="1" si="0"/>
        <v>0</v>
      </c>
      <c r="N16" s="732">
        <f t="shared" si="0"/>
        <v>0</v>
      </c>
      <c r="O16" s="732">
        <f t="shared" ca="1" si="0"/>
        <v>29623.751858632386</v>
      </c>
      <c r="P16" s="732">
        <f t="shared" si="0"/>
        <v>225.12000000000003</v>
      </c>
      <c r="Q16" s="732">
        <f t="shared" si="0"/>
        <v>495.73333333333335</v>
      </c>
      <c r="R16" s="732">
        <f t="shared" ca="1" si="0"/>
        <v>266684.78613190248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1183.2990074686497</v>
      </c>
      <c r="I19" s="1012">
        <f>transport!H54</f>
        <v>0</v>
      </c>
      <c r="J19" s="1012">
        <f>transport!I54</f>
        <v>0</v>
      </c>
      <c r="K19" s="1012">
        <f>transport!J54</f>
        <v>0</v>
      </c>
      <c r="L19" s="1012">
        <f>transport!K54</f>
        <v>0</v>
      </c>
      <c r="M19" s="1012">
        <f>transport!L54</f>
        <v>0</v>
      </c>
      <c r="N19" s="1012">
        <f>transport!M54</f>
        <v>36.703287956333092</v>
      </c>
      <c r="O19" s="1012">
        <f>transport!N54</f>
        <v>0</v>
      </c>
      <c r="P19" s="1012">
        <f>transport!O54</f>
        <v>0</v>
      </c>
      <c r="Q19" s="1013">
        <f>transport!P54</f>
        <v>0</v>
      </c>
      <c r="R19" s="700">
        <f>SUM(C19:Q19)</f>
        <v>1220.0022954249828</v>
      </c>
      <c r="S19" s="67"/>
    </row>
    <row r="20" spans="1:19" s="473" customFormat="1">
      <c r="A20" s="809" t="s">
        <v>307</v>
      </c>
      <c r="B20" s="814"/>
      <c r="C20" s="1012">
        <f>transport!B14</f>
        <v>23.73845909800594</v>
      </c>
      <c r="D20" s="1012">
        <f>transport!C14</f>
        <v>0</v>
      </c>
      <c r="E20" s="1012">
        <f>transport!D14</f>
        <v>62.833160730318816</v>
      </c>
      <c r="F20" s="1012">
        <f>transport!E14</f>
        <v>236.62315703089575</v>
      </c>
      <c r="G20" s="1012">
        <f>transport!F14</f>
        <v>0</v>
      </c>
      <c r="H20" s="1012">
        <f>transport!G14</f>
        <v>72814.395417353153</v>
      </c>
      <c r="I20" s="1012">
        <f>transport!H14</f>
        <v>16721.118366977375</v>
      </c>
      <c r="J20" s="1012">
        <f>transport!I14</f>
        <v>0</v>
      </c>
      <c r="K20" s="1012">
        <f>transport!J14</f>
        <v>0</v>
      </c>
      <c r="L20" s="1012">
        <f>transport!K14</f>
        <v>0</v>
      </c>
      <c r="M20" s="1012">
        <f>transport!L14</f>
        <v>0</v>
      </c>
      <c r="N20" s="1012">
        <f>transport!M14</f>
        <v>2795.0849601797181</v>
      </c>
      <c r="O20" s="1012">
        <f>transport!N14</f>
        <v>0</v>
      </c>
      <c r="P20" s="1012">
        <f>transport!O14</f>
        <v>0</v>
      </c>
      <c r="Q20" s="1013">
        <f>transport!P14</f>
        <v>0</v>
      </c>
      <c r="R20" s="700">
        <f>SUM(C20:Q20)</f>
        <v>92653.793521369473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23.73845909800594</v>
      </c>
      <c r="D22" s="812">
        <f t="shared" ref="D22:R22" si="1">SUM(D18:D21)</f>
        <v>0</v>
      </c>
      <c r="E22" s="812">
        <f t="shared" si="1"/>
        <v>62.833160730318816</v>
      </c>
      <c r="F22" s="812">
        <f t="shared" si="1"/>
        <v>236.62315703089575</v>
      </c>
      <c r="G22" s="812">
        <f t="shared" si="1"/>
        <v>0</v>
      </c>
      <c r="H22" s="812">
        <f t="shared" si="1"/>
        <v>73997.694424821806</v>
      </c>
      <c r="I22" s="812">
        <f t="shared" si="1"/>
        <v>16721.118366977375</v>
      </c>
      <c r="J22" s="812">
        <f t="shared" si="1"/>
        <v>0</v>
      </c>
      <c r="K22" s="812">
        <f t="shared" si="1"/>
        <v>0</v>
      </c>
      <c r="L22" s="812">
        <f t="shared" si="1"/>
        <v>0</v>
      </c>
      <c r="M22" s="812">
        <f t="shared" si="1"/>
        <v>0</v>
      </c>
      <c r="N22" s="812">
        <f t="shared" si="1"/>
        <v>2831.7882481360512</v>
      </c>
      <c r="O22" s="812">
        <f t="shared" si="1"/>
        <v>0</v>
      </c>
      <c r="P22" s="812">
        <f t="shared" si="1"/>
        <v>0</v>
      </c>
      <c r="Q22" s="812">
        <f t="shared" si="1"/>
        <v>0</v>
      </c>
      <c r="R22" s="812">
        <f t="shared" si="1"/>
        <v>93873.79581679446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1532.8576395560001</v>
      </c>
      <c r="D24" s="1012">
        <f>+landbouw!C8</f>
        <v>10182.857142857143</v>
      </c>
      <c r="E24" s="1012">
        <f>+landbouw!D8</f>
        <v>37.624820023960638</v>
      </c>
      <c r="F24" s="1012">
        <f>+landbouw!E8</f>
        <v>39.526513031263178</v>
      </c>
      <c r="G24" s="1012">
        <f>+landbouw!F8</f>
        <v>5602.8865911340654</v>
      </c>
      <c r="H24" s="1012">
        <f>+landbouw!G8</f>
        <v>0</v>
      </c>
      <c r="I24" s="1012">
        <f>+landbouw!H8</f>
        <v>0</v>
      </c>
      <c r="J24" s="1012">
        <f>+landbouw!I8</f>
        <v>0</v>
      </c>
      <c r="K24" s="1012">
        <f>+landbouw!J8</f>
        <v>220.67511138773429</v>
      </c>
      <c r="L24" s="1012">
        <f>+landbouw!K8</f>
        <v>0</v>
      </c>
      <c r="M24" s="1012">
        <f>+landbouw!L8</f>
        <v>0</v>
      </c>
      <c r="N24" s="1012">
        <f>+landbouw!M8</f>
        <v>0</v>
      </c>
      <c r="O24" s="1012">
        <f>+landbouw!N8</f>
        <v>0</v>
      </c>
      <c r="P24" s="1012">
        <f>+landbouw!O8</f>
        <v>0</v>
      </c>
      <c r="Q24" s="1013">
        <f>+landbouw!P8</f>
        <v>0</v>
      </c>
      <c r="R24" s="700">
        <f>SUM(C24:Q24)</f>
        <v>17616.427817990167</v>
      </c>
      <c r="S24" s="67"/>
    </row>
    <row r="25" spans="1:19" s="473" customFormat="1" ht="15" thickBot="1">
      <c r="A25" s="831" t="s">
        <v>848</v>
      </c>
      <c r="B25" s="1015"/>
      <c r="C25" s="1016">
        <f>IF(Onbekend_ele_kWh="---",0,Onbekend_ele_kWh)/1000+IF(REST_rest_ele_kWh="---",0,REST_rest_ele_kWh)/1000</f>
        <v>2359.4133115</v>
      </c>
      <c r="D25" s="1016"/>
      <c r="E25" s="1016">
        <f>IF(onbekend_gas_kWh="---",0,onbekend_gas_kWh)/1000+IF(REST_rest_gas_kWh="---",0,REST_rest_gas_kWh)/1000</f>
        <v>4126.7080064000002</v>
      </c>
      <c r="F25" s="1016"/>
      <c r="G25" s="1016"/>
      <c r="H25" s="1016"/>
      <c r="I25" s="1016"/>
      <c r="J25" s="1016"/>
      <c r="K25" s="1016"/>
      <c r="L25" s="1016"/>
      <c r="M25" s="1016"/>
      <c r="N25" s="1016"/>
      <c r="O25" s="1016"/>
      <c r="P25" s="1016"/>
      <c r="Q25" s="1017"/>
      <c r="R25" s="700">
        <f>SUM(C25:Q25)</f>
        <v>6486.1213179000006</v>
      </c>
      <c r="S25" s="67"/>
    </row>
    <row r="26" spans="1:19" s="473" customFormat="1" ht="15.75" thickBot="1">
      <c r="A26" s="705" t="s">
        <v>849</v>
      </c>
      <c r="B26" s="817"/>
      <c r="C26" s="812">
        <f>SUM(C24:C25)</f>
        <v>3892.2709510559998</v>
      </c>
      <c r="D26" s="812">
        <f t="shared" ref="D26:R26" si="2">SUM(D24:D25)</f>
        <v>10182.857142857143</v>
      </c>
      <c r="E26" s="812">
        <f t="shared" si="2"/>
        <v>4164.3328264239608</v>
      </c>
      <c r="F26" s="812">
        <f t="shared" si="2"/>
        <v>39.526513031263178</v>
      </c>
      <c r="G26" s="812">
        <f t="shared" si="2"/>
        <v>5602.8865911340654</v>
      </c>
      <c r="H26" s="812">
        <f t="shared" si="2"/>
        <v>0</v>
      </c>
      <c r="I26" s="812">
        <f t="shared" si="2"/>
        <v>0</v>
      </c>
      <c r="J26" s="812">
        <f t="shared" si="2"/>
        <v>0</v>
      </c>
      <c r="K26" s="812">
        <f t="shared" si="2"/>
        <v>220.67511138773429</v>
      </c>
      <c r="L26" s="812">
        <f t="shared" si="2"/>
        <v>0</v>
      </c>
      <c r="M26" s="812">
        <f t="shared" si="2"/>
        <v>0</v>
      </c>
      <c r="N26" s="812">
        <f t="shared" si="2"/>
        <v>0</v>
      </c>
      <c r="O26" s="812">
        <f t="shared" si="2"/>
        <v>0</v>
      </c>
      <c r="P26" s="812">
        <f t="shared" si="2"/>
        <v>0</v>
      </c>
      <c r="Q26" s="812">
        <f t="shared" si="2"/>
        <v>0</v>
      </c>
      <c r="R26" s="812">
        <f t="shared" si="2"/>
        <v>24102.549135890167</v>
      </c>
      <c r="S26" s="67"/>
    </row>
    <row r="27" spans="1:19" s="473" customFormat="1" ht="17.25" thickTop="1" thickBot="1">
      <c r="A27" s="706" t="s">
        <v>116</v>
      </c>
      <c r="B27" s="805"/>
      <c r="C27" s="707">
        <f ca="1">C22+C16+C26</f>
        <v>80397.339725854181</v>
      </c>
      <c r="D27" s="707">
        <f t="shared" ref="D27:R27" ca="1" si="3">D22+D16+D26</f>
        <v>10182.857142857143</v>
      </c>
      <c r="E27" s="707">
        <f t="shared" ca="1" si="3"/>
        <v>146560.9575372455</v>
      </c>
      <c r="F27" s="707">
        <f t="shared" si="3"/>
        <v>5994.9312553282061</v>
      </c>
      <c r="G27" s="707">
        <f t="shared" ca="1" si="3"/>
        <v>14915.578698663803</v>
      </c>
      <c r="H27" s="707">
        <f t="shared" si="3"/>
        <v>73997.694424821806</v>
      </c>
      <c r="I27" s="707">
        <f t="shared" si="3"/>
        <v>16721.118366977375</v>
      </c>
      <c r="J27" s="707">
        <f t="shared" si="3"/>
        <v>0</v>
      </c>
      <c r="K27" s="707">
        <f t="shared" si="3"/>
        <v>2714.2604927372668</v>
      </c>
      <c r="L27" s="707">
        <f t="shared" si="3"/>
        <v>0</v>
      </c>
      <c r="M27" s="707">
        <f t="shared" ca="1" si="3"/>
        <v>0</v>
      </c>
      <c r="N27" s="707">
        <f t="shared" si="3"/>
        <v>2831.7882481360512</v>
      </c>
      <c r="O27" s="707">
        <f t="shared" ca="1" si="3"/>
        <v>29623.751858632386</v>
      </c>
      <c r="P27" s="707">
        <f t="shared" si="3"/>
        <v>225.12000000000003</v>
      </c>
      <c r="Q27" s="707">
        <f t="shared" si="3"/>
        <v>495.73333333333335</v>
      </c>
      <c r="R27" s="707">
        <f t="shared" ca="1" si="3"/>
        <v>384661.13108458708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3425.1140015487636</v>
      </c>
      <c r="D40" s="1012">
        <f ca="1">tertiair!C20</f>
        <v>0</v>
      </c>
      <c r="E40" s="1012">
        <f ca="1">tertiair!D20</f>
        <v>5155.613394379272</v>
      </c>
      <c r="F40" s="1012">
        <f>tertiair!E20</f>
        <v>79.231666428211952</v>
      </c>
      <c r="G40" s="1012">
        <f ca="1">tertiair!F20</f>
        <v>1183.4273670873329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9843.3864294435807</v>
      </c>
    </row>
    <row r="41" spans="1:18">
      <c r="A41" s="822" t="s">
        <v>225</v>
      </c>
      <c r="B41" s="829"/>
      <c r="C41" s="1012">
        <f ca="1">huishoudens!B12</f>
        <v>7297.698622168451</v>
      </c>
      <c r="D41" s="1012">
        <f ca="1">huishoudens!C12</f>
        <v>0</v>
      </c>
      <c r="E41" s="1012">
        <f>huishoudens!D12</f>
        <v>21524.124638895562</v>
      </c>
      <c r="F41" s="1012">
        <f>huishoudens!E12</f>
        <v>961.61869797538623</v>
      </c>
      <c r="G41" s="1012">
        <f>huishoudens!F12</f>
        <v>0</v>
      </c>
      <c r="H41" s="1012">
        <f>huishoudens!G12</f>
        <v>0</v>
      </c>
      <c r="I41" s="1012">
        <f>huishoudens!H12</f>
        <v>0</v>
      </c>
      <c r="J41" s="1012">
        <f>huishoudens!I12</f>
        <v>0</v>
      </c>
      <c r="K41" s="1012">
        <f>huishoudens!J12</f>
        <v>845.95152920865758</v>
      </c>
      <c r="L41" s="1012">
        <f>huishoudens!K12</f>
        <v>0</v>
      </c>
      <c r="M41" s="1012">
        <f>huishoudens!L12</f>
        <v>0</v>
      </c>
      <c r="N41" s="1012">
        <f>huishoudens!M12</f>
        <v>0</v>
      </c>
      <c r="O41" s="1012">
        <f>huishoudens!N12</f>
        <v>0</v>
      </c>
      <c r="P41" s="1012">
        <f>huishoudens!O12</f>
        <v>0</v>
      </c>
      <c r="Q41" s="774">
        <f>huishoudens!P12</f>
        <v>0</v>
      </c>
      <c r="R41" s="850">
        <f t="shared" ca="1" si="4"/>
        <v>30629.393488248057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3416.733779409401</v>
      </c>
      <c r="D43" s="1012">
        <f ca="1">industrie!C22</f>
        <v>0</v>
      </c>
      <c r="E43" s="1012">
        <f>industrie!D22</f>
        <v>2071.6878598435983</v>
      </c>
      <c r="F43" s="1012">
        <f>industrie!E22</f>
        <v>257.31305545179487</v>
      </c>
      <c r="G43" s="1012">
        <f>industrie!F22</f>
        <v>1303.0614256231074</v>
      </c>
      <c r="H43" s="1012">
        <f>industrie!G22</f>
        <v>0</v>
      </c>
      <c r="I43" s="1012">
        <f>industrie!H22</f>
        <v>0</v>
      </c>
      <c r="J43" s="1012">
        <f>industrie!I22</f>
        <v>0</v>
      </c>
      <c r="K43" s="1012">
        <f>industrie!J22</f>
        <v>36.777695789076773</v>
      </c>
      <c r="L43" s="1012">
        <f>industrie!K22</f>
        <v>0</v>
      </c>
      <c r="M43" s="1012">
        <f>industrie!L22</f>
        <v>0</v>
      </c>
      <c r="N43" s="1012">
        <f>industrie!M22</f>
        <v>0</v>
      </c>
      <c r="O43" s="1012">
        <f>industrie!N22</f>
        <v>0</v>
      </c>
      <c r="P43" s="1012">
        <f>industrie!O22</f>
        <v>0</v>
      </c>
      <c r="Q43" s="774">
        <f>industrie!P22</f>
        <v>0</v>
      </c>
      <c r="R43" s="849">
        <f t="shared" ca="1" si="4"/>
        <v>7085.5738161169784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14139.546403126616</v>
      </c>
      <c r="D46" s="732">
        <f t="shared" ref="D46:Q46" ca="1" si="5">SUM(D39:D45)</f>
        <v>0</v>
      </c>
      <c r="E46" s="732">
        <f t="shared" ca="1" si="5"/>
        <v>28751.425893118434</v>
      </c>
      <c r="F46" s="732">
        <f t="shared" si="5"/>
        <v>1298.1634198553929</v>
      </c>
      <c r="G46" s="732">
        <f t="shared" ca="1" si="5"/>
        <v>2486.4887927104401</v>
      </c>
      <c r="H46" s="732">
        <f t="shared" si="5"/>
        <v>0</v>
      </c>
      <c r="I46" s="732">
        <f t="shared" si="5"/>
        <v>0</v>
      </c>
      <c r="J46" s="732">
        <f t="shared" si="5"/>
        <v>0</v>
      </c>
      <c r="K46" s="732">
        <f t="shared" si="5"/>
        <v>882.72922499773438</v>
      </c>
      <c r="L46" s="732">
        <f t="shared" si="5"/>
        <v>0</v>
      </c>
      <c r="M46" s="732">
        <f t="shared" ca="1" si="5"/>
        <v>0</v>
      </c>
      <c r="N46" s="732">
        <f t="shared" si="5"/>
        <v>0</v>
      </c>
      <c r="O46" s="732">
        <f t="shared" ca="1" si="5"/>
        <v>0</v>
      </c>
      <c r="P46" s="732">
        <f t="shared" si="5"/>
        <v>0</v>
      </c>
      <c r="Q46" s="732">
        <f t="shared" si="5"/>
        <v>0</v>
      </c>
      <c r="R46" s="732">
        <f ca="1">SUM(R39:R45)</f>
        <v>47558.353733808617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315.94083499412949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315.94083499412949</v>
      </c>
    </row>
    <row r="50" spans="1:18">
      <c r="A50" s="825" t="s">
        <v>307</v>
      </c>
      <c r="B50" s="835"/>
      <c r="C50" s="703">
        <f ca="1">transport!B18</f>
        <v>4.3886663917779076</v>
      </c>
      <c r="D50" s="703">
        <f>transport!C18</f>
        <v>0</v>
      </c>
      <c r="E50" s="703">
        <f>transport!D18</f>
        <v>12.692298467524402</v>
      </c>
      <c r="F50" s="703">
        <f>transport!E18</f>
        <v>53.713456646013341</v>
      </c>
      <c r="G50" s="703">
        <f>transport!F18</f>
        <v>0</v>
      </c>
      <c r="H50" s="703">
        <f>transport!G18</f>
        <v>19441.443576433292</v>
      </c>
      <c r="I50" s="703">
        <f>transport!H18</f>
        <v>4163.5584733773667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23675.796471315974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4.3886663917779076</v>
      </c>
      <c r="D52" s="732">
        <f t="shared" ref="D52:Q52" ca="1" si="6">SUM(D48:D51)</f>
        <v>0</v>
      </c>
      <c r="E52" s="732">
        <f t="shared" si="6"/>
        <v>12.692298467524402</v>
      </c>
      <c r="F52" s="732">
        <f t="shared" si="6"/>
        <v>53.713456646013341</v>
      </c>
      <c r="G52" s="732">
        <f t="shared" si="6"/>
        <v>0</v>
      </c>
      <c r="H52" s="732">
        <f t="shared" si="6"/>
        <v>19757.384411427422</v>
      </c>
      <c r="I52" s="732">
        <f t="shared" si="6"/>
        <v>4163.5584733773667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23991.737306310104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283.38826788738464</v>
      </c>
      <c r="D54" s="703">
        <f ca="1">+landbouw!C12</f>
        <v>2419.9260504201679</v>
      </c>
      <c r="E54" s="703">
        <f>+landbouw!D12</f>
        <v>7.600213644840049</v>
      </c>
      <c r="F54" s="703">
        <f>+landbouw!E12</f>
        <v>8.9725184580967419</v>
      </c>
      <c r="G54" s="703">
        <f>+landbouw!F12</f>
        <v>1495.9707198327956</v>
      </c>
      <c r="H54" s="703">
        <f>+landbouw!G12</f>
        <v>0</v>
      </c>
      <c r="I54" s="703">
        <f>+landbouw!H12</f>
        <v>0</v>
      </c>
      <c r="J54" s="703">
        <f>+landbouw!I12</f>
        <v>0</v>
      </c>
      <c r="K54" s="703">
        <f>+landbouw!J12</f>
        <v>78.11898943125793</v>
      </c>
      <c r="L54" s="703">
        <f>+landbouw!K12</f>
        <v>0</v>
      </c>
      <c r="M54" s="703">
        <f>+landbouw!L12</f>
        <v>0</v>
      </c>
      <c r="N54" s="703">
        <f>+landbouw!M12</f>
        <v>0</v>
      </c>
      <c r="O54" s="703">
        <f>+landbouw!N12</f>
        <v>0</v>
      </c>
      <c r="P54" s="703">
        <f>+landbouw!O12</f>
        <v>0</v>
      </c>
      <c r="Q54" s="704">
        <f>+landbouw!P12</f>
        <v>0</v>
      </c>
      <c r="R54" s="731">
        <f ca="1">SUM(C54:Q54)</f>
        <v>4293.9767596745432</v>
      </c>
    </row>
    <row r="55" spans="1:18" ht="15" thickBot="1">
      <c r="A55" s="825" t="s">
        <v>848</v>
      </c>
      <c r="B55" s="835"/>
      <c r="C55" s="703">
        <f ca="1">C25*'EF ele_warmte'!B12</f>
        <v>436.1984011575239</v>
      </c>
      <c r="D55" s="703"/>
      <c r="E55" s="703">
        <f>E25*EF_CO2_aardgas</f>
        <v>833.59501729280009</v>
      </c>
      <c r="F55" s="703"/>
      <c r="G55" s="703"/>
      <c r="H55" s="703"/>
      <c r="I55" s="703"/>
      <c r="J55" s="703"/>
      <c r="K55" s="703"/>
      <c r="L55" s="703"/>
      <c r="M55" s="703"/>
      <c r="N55" s="703"/>
      <c r="O55" s="703"/>
      <c r="P55" s="703"/>
      <c r="Q55" s="704"/>
      <c r="R55" s="731">
        <f ca="1">SUM(C55:Q55)</f>
        <v>1269.793418450324</v>
      </c>
    </row>
    <row r="56" spans="1:18" ht="15.75" thickBot="1">
      <c r="A56" s="823" t="s">
        <v>849</v>
      </c>
      <c r="B56" s="836"/>
      <c r="C56" s="732">
        <f ca="1">SUM(C54:C55)</f>
        <v>719.5866690449086</v>
      </c>
      <c r="D56" s="732">
        <f t="shared" ref="D56:Q56" ca="1" si="7">SUM(D54:D55)</f>
        <v>2419.9260504201679</v>
      </c>
      <c r="E56" s="732">
        <f t="shared" si="7"/>
        <v>841.19523093764019</v>
      </c>
      <c r="F56" s="732">
        <f t="shared" si="7"/>
        <v>8.9725184580967419</v>
      </c>
      <c r="G56" s="732">
        <f t="shared" si="7"/>
        <v>1495.9707198327956</v>
      </c>
      <c r="H56" s="732">
        <f t="shared" si="7"/>
        <v>0</v>
      </c>
      <c r="I56" s="732">
        <f t="shared" si="7"/>
        <v>0</v>
      </c>
      <c r="J56" s="732">
        <f t="shared" si="7"/>
        <v>0</v>
      </c>
      <c r="K56" s="732">
        <f t="shared" si="7"/>
        <v>78.11898943125793</v>
      </c>
      <c r="L56" s="732">
        <f t="shared" si="7"/>
        <v>0</v>
      </c>
      <c r="M56" s="732">
        <f t="shared" si="7"/>
        <v>0</v>
      </c>
      <c r="N56" s="732">
        <f t="shared" si="7"/>
        <v>0</v>
      </c>
      <c r="O56" s="732">
        <f t="shared" si="7"/>
        <v>0</v>
      </c>
      <c r="P56" s="732">
        <f t="shared" si="7"/>
        <v>0</v>
      </c>
      <c r="Q56" s="733">
        <f t="shared" si="7"/>
        <v>0</v>
      </c>
      <c r="R56" s="734">
        <f ca="1">SUM(R54:R55)</f>
        <v>5563.770178124867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14863.521738563304</v>
      </c>
      <c r="D61" s="740">
        <f t="shared" ref="D61:Q61" ca="1" si="8">D46+D52+D56</f>
        <v>2419.9260504201679</v>
      </c>
      <c r="E61" s="740">
        <f t="shared" ca="1" si="8"/>
        <v>29605.313422523599</v>
      </c>
      <c r="F61" s="740">
        <f t="shared" si="8"/>
        <v>1360.8493949595031</v>
      </c>
      <c r="G61" s="740">
        <f t="shared" ca="1" si="8"/>
        <v>3982.4595125432356</v>
      </c>
      <c r="H61" s="740">
        <f t="shared" si="8"/>
        <v>19757.384411427422</v>
      </c>
      <c r="I61" s="740">
        <f t="shared" si="8"/>
        <v>4163.5584733773667</v>
      </c>
      <c r="J61" s="740">
        <f t="shared" si="8"/>
        <v>0</v>
      </c>
      <c r="K61" s="740">
        <f t="shared" si="8"/>
        <v>960.84821442899226</v>
      </c>
      <c r="L61" s="740">
        <f t="shared" si="8"/>
        <v>0</v>
      </c>
      <c r="M61" s="740">
        <f t="shared" ca="1" si="8"/>
        <v>0</v>
      </c>
      <c r="N61" s="740">
        <f t="shared" si="8"/>
        <v>0</v>
      </c>
      <c r="O61" s="740">
        <f t="shared" ca="1" si="8"/>
        <v>0</v>
      </c>
      <c r="P61" s="740">
        <f t="shared" si="8"/>
        <v>0</v>
      </c>
      <c r="Q61" s="740">
        <f t="shared" si="8"/>
        <v>0</v>
      </c>
      <c r="R61" s="740">
        <f ca="1">R46+R52+R56</f>
        <v>77113.861218243575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0.18487579053294834</v>
      </c>
      <c r="D63" s="781">
        <f t="shared" ca="1" si="9"/>
        <v>0.23764705882352941</v>
      </c>
      <c r="E63" s="1023">
        <f t="shared" ca="1" si="9"/>
        <v>0.20200000000000004</v>
      </c>
      <c r="F63" s="781">
        <f t="shared" si="9"/>
        <v>0.22700000000000006</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8113.7159571026823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5564.7934372167247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7128</v>
      </c>
      <c r="D76" s="1033">
        <f>'lokale energieproductie'!C8</f>
        <v>8385.8823529411748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1693.9482352941175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13678.509394319408</v>
      </c>
      <c r="C78" s="755">
        <f>SUM(C72:C77)</f>
        <v>7128</v>
      </c>
      <c r="D78" s="756">
        <f t="shared" ref="D78:H78" si="10">SUM(D76:D77)</f>
        <v>8385.8823529411748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1693.9482352941175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10182.857142857143</v>
      </c>
      <c r="D87" s="777">
        <f>'lokale energieproductie'!C17</f>
        <v>11979.831932773108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2419.9260504201679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10182.857142857143</v>
      </c>
      <c r="D90" s="755">
        <f t="shared" ref="D90:H90" si="12">SUM(D87:D89)</f>
        <v>11979.831932773108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2419.9260504201679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8113.7159571026823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5564.7934372167247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7128</v>
      </c>
      <c r="C8" s="570">
        <f>B101</f>
        <v>8385.8823529411748</v>
      </c>
      <c r="D8" s="1043"/>
      <c r="E8" s="1043">
        <f>E101</f>
        <v>0</v>
      </c>
      <c r="F8" s="1044"/>
      <c r="G8" s="571"/>
      <c r="H8" s="1043">
        <f>I101</f>
        <v>0</v>
      </c>
      <c r="I8" s="1043">
        <f>G101+F101</f>
        <v>0</v>
      </c>
      <c r="J8" s="1043">
        <f>H101+D101+C101</f>
        <v>0</v>
      </c>
      <c r="K8" s="1043"/>
      <c r="L8" s="1043"/>
      <c r="M8" s="1043"/>
      <c r="N8" s="572"/>
      <c r="O8" s="573">
        <f>C8*$C$12+D8*$D$12+E8*$E$12+F8*$F$12+G8*$G$12+H8*$H$12+I8*$I$12+J8*$J$12</f>
        <v>1693.9482352941175</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20806.509394319408</v>
      </c>
      <c r="C10" s="583">
        <f t="shared" ref="C10:L10" si="0">SUM(C8:C9)</f>
        <v>8385.8823529411748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1693.9482352941175</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10182.857142857143</v>
      </c>
      <c r="C17" s="595">
        <f>B102</f>
        <v>11979.831932773108</v>
      </c>
      <c r="D17" s="596"/>
      <c r="E17" s="596">
        <f>E102</f>
        <v>0</v>
      </c>
      <c r="F17" s="1049"/>
      <c r="G17" s="597"/>
      <c r="H17" s="595">
        <f>I102</f>
        <v>0</v>
      </c>
      <c r="I17" s="596">
        <f>G102+F102</f>
        <v>0</v>
      </c>
      <c r="J17" s="596">
        <f>H102+D102+C102</f>
        <v>0</v>
      </c>
      <c r="K17" s="596"/>
      <c r="L17" s="596"/>
      <c r="M17" s="596"/>
      <c r="N17" s="1050"/>
      <c r="O17" s="598">
        <f>C17*$C$22+E17*$E$22+H17*$H$22+I17*$I$22+J17*$J$22+D17*$D$22+F17*$F$22+G17*$G$22+K17*$K$22+L17*$L$22</f>
        <v>2419.9260504201679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10182.857142857143</v>
      </c>
      <c r="C20" s="582">
        <f>SUM(C17:C19)</f>
        <v>11979.831932773108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2419.9260504201679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42008</v>
      </c>
      <c r="C28" s="796">
        <v>9220</v>
      </c>
      <c r="D28" s="653" t="s">
        <v>890</v>
      </c>
      <c r="E28" s="652" t="s">
        <v>891</v>
      </c>
      <c r="F28" s="652" t="s">
        <v>892</v>
      </c>
      <c r="G28" s="652" t="s">
        <v>893</v>
      </c>
      <c r="H28" s="652" t="s">
        <v>894</v>
      </c>
      <c r="I28" s="652" t="s">
        <v>895</v>
      </c>
      <c r="J28" s="795">
        <v>41092</v>
      </c>
      <c r="K28" s="795">
        <v>38534</v>
      </c>
      <c r="L28" s="652" t="s">
        <v>896</v>
      </c>
      <c r="M28" s="652">
        <v>1584</v>
      </c>
      <c r="N28" s="652">
        <v>7128</v>
      </c>
      <c r="O28" s="652">
        <v>10182.857142857143</v>
      </c>
      <c r="P28" s="652">
        <v>20365.714285714286</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1584</v>
      </c>
      <c r="N58" s="610">
        <f>SUM(N28:N57)</f>
        <v>7128</v>
      </c>
      <c r="O58" s="610">
        <f t="shared" ref="O58:W58" si="2">SUM(O28:O57)</f>
        <v>10182.857142857143</v>
      </c>
      <c r="P58" s="610">
        <f t="shared" si="2"/>
        <v>20365.714285714286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1584</v>
      </c>
      <c r="N61" s="615">
        <f t="shared" si="4"/>
        <v>7128</v>
      </c>
      <c r="O61" s="615">
        <f t="shared" si="4"/>
        <v>10182.857142857143</v>
      </c>
      <c r="P61" s="615">
        <f t="shared" si="4"/>
        <v>20365.714285714286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8385.8823529411748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11979.831932773108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39473.52220175018</v>
      </c>
      <c r="C4" s="477">
        <f>huishoudens!C8</f>
        <v>0</v>
      </c>
      <c r="D4" s="477">
        <f>huishoudens!D8</f>
        <v>106555.07246978</v>
      </c>
      <c r="E4" s="477">
        <f>huishoudens!E8</f>
        <v>4236.205717953243</v>
      </c>
      <c r="F4" s="477">
        <f>huishoudens!F8</f>
        <v>0</v>
      </c>
      <c r="G4" s="477">
        <f>huishoudens!G8</f>
        <v>0</v>
      </c>
      <c r="H4" s="477">
        <f>huishoudens!H8</f>
        <v>0</v>
      </c>
      <c r="I4" s="477">
        <f>huishoudens!I8</f>
        <v>0</v>
      </c>
      <c r="J4" s="477">
        <f>huishoudens!J8</f>
        <v>2389.6935853351911</v>
      </c>
      <c r="K4" s="477">
        <f>huishoudens!K8</f>
        <v>0</v>
      </c>
      <c r="L4" s="477">
        <f>huishoudens!L8</f>
        <v>0</v>
      </c>
      <c r="M4" s="477">
        <f>huishoudens!M8</f>
        <v>0</v>
      </c>
      <c r="N4" s="477">
        <f>huishoudens!N8</f>
        <v>24239.135316247124</v>
      </c>
      <c r="O4" s="477">
        <f>huishoudens!O8</f>
        <v>225.12000000000003</v>
      </c>
      <c r="P4" s="478">
        <f>huishoudens!P8</f>
        <v>495.73333333333335</v>
      </c>
      <c r="Q4" s="479">
        <f>SUM(B4:P4)</f>
        <v>177614.48262439907</v>
      </c>
    </row>
    <row r="5" spans="1:17">
      <c r="A5" s="476" t="s">
        <v>156</v>
      </c>
      <c r="B5" s="477">
        <f ca="1">tertiair!B16</f>
        <v>17301.347522979999</v>
      </c>
      <c r="C5" s="477">
        <f ca="1">tertiair!C16</f>
        <v>0</v>
      </c>
      <c r="D5" s="477">
        <f ca="1">tertiair!D16</f>
        <v>25522.838586035999</v>
      </c>
      <c r="E5" s="477">
        <f>tertiair!E16</f>
        <v>349.03817809784999</v>
      </c>
      <c r="F5" s="477">
        <f ca="1">tertiair!F16</f>
        <v>4432.312236282145</v>
      </c>
      <c r="G5" s="477">
        <f>tertiair!G16</f>
        <v>0</v>
      </c>
      <c r="H5" s="477">
        <f>tertiair!H16</f>
        <v>0</v>
      </c>
      <c r="I5" s="477">
        <f>tertiair!I16</f>
        <v>0</v>
      </c>
      <c r="J5" s="477">
        <f>tertiair!J16</f>
        <v>0</v>
      </c>
      <c r="K5" s="477">
        <f>tertiair!K16</f>
        <v>0</v>
      </c>
      <c r="L5" s="477">
        <f ca="1">tertiair!L16</f>
        <v>0</v>
      </c>
      <c r="M5" s="477">
        <f>tertiair!M16</f>
        <v>0</v>
      </c>
      <c r="N5" s="477">
        <f ca="1">tertiair!N16</f>
        <v>1992.3790988679127</v>
      </c>
      <c r="O5" s="477">
        <f>tertiair!O16</f>
        <v>0</v>
      </c>
      <c r="P5" s="478">
        <f>tertiair!P16</f>
        <v>0</v>
      </c>
      <c r="Q5" s="476">
        <f t="shared" ref="Q5:Q14" ca="1" si="0">SUM(B5:P5)</f>
        <v>49597.915622263899</v>
      </c>
    </row>
    <row r="6" spans="1:17">
      <c r="A6" s="476" t="s">
        <v>194</v>
      </c>
      <c r="B6" s="477">
        <f>'openbare verlichting'!B8</f>
        <v>1225.221</v>
      </c>
      <c r="C6" s="477"/>
      <c r="D6" s="477"/>
      <c r="E6" s="477"/>
      <c r="F6" s="477"/>
      <c r="G6" s="477"/>
      <c r="H6" s="477"/>
      <c r="I6" s="477"/>
      <c r="J6" s="477"/>
      <c r="K6" s="477"/>
      <c r="L6" s="477"/>
      <c r="M6" s="477"/>
      <c r="N6" s="477"/>
      <c r="O6" s="477"/>
      <c r="P6" s="478"/>
      <c r="Q6" s="476">
        <f t="shared" si="0"/>
        <v>1225.221</v>
      </c>
    </row>
    <row r="7" spans="1:17">
      <c r="A7" s="476" t="s">
        <v>112</v>
      </c>
      <c r="B7" s="477">
        <f>landbouw!B8</f>
        <v>1532.8576395560001</v>
      </c>
      <c r="C7" s="477">
        <f>landbouw!C8</f>
        <v>10182.857142857143</v>
      </c>
      <c r="D7" s="477">
        <f>landbouw!D8</f>
        <v>37.624820023960638</v>
      </c>
      <c r="E7" s="477">
        <f>landbouw!E8</f>
        <v>39.526513031263178</v>
      </c>
      <c r="F7" s="477">
        <f>landbouw!F8</f>
        <v>5602.8865911340654</v>
      </c>
      <c r="G7" s="477">
        <f>landbouw!G8</f>
        <v>0</v>
      </c>
      <c r="H7" s="477">
        <f>landbouw!H8</f>
        <v>0</v>
      </c>
      <c r="I7" s="477">
        <f>landbouw!I8</f>
        <v>0</v>
      </c>
      <c r="J7" s="477">
        <f>landbouw!J8</f>
        <v>220.67511138773429</v>
      </c>
      <c r="K7" s="477">
        <f>landbouw!K8</f>
        <v>0</v>
      </c>
      <c r="L7" s="477">
        <f>landbouw!L8</f>
        <v>0</v>
      </c>
      <c r="M7" s="477">
        <f>landbouw!M8</f>
        <v>0</v>
      </c>
      <c r="N7" s="477">
        <f>landbouw!N8</f>
        <v>0</v>
      </c>
      <c r="O7" s="477">
        <f>landbouw!O8</f>
        <v>0</v>
      </c>
      <c r="P7" s="478">
        <f>landbouw!P8</f>
        <v>0</v>
      </c>
      <c r="Q7" s="476">
        <f t="shared" si="0"/>
        <v>17616.427817990167</v>
      </c>
    </row>
    <row r="8" spans="1:17">
      <c r="A8" s="476" t="s">
        <v>638</v>
      </c>
      <c r="B8" s="477">
        <f>industrie!B18</f>
        <v>18481.239590969999</v>
      </c>
      <c r="C8" s="477">
        <f>industrie!C18</f>
        <v>0</v>
      </c>
      <c r="D8" s="477">
        <f>industrie!D18</f>
        <v>10255.880494275239</v>
      </c>
      <c r="E8" s="477">
        <f>industrie!E18</f>
        <v>1133.5376892149552</v>
      </c>
      <c r="F8" s="477">
        <f>industrie!F18</f>
        <v>4880.3798712475927</v>
      </c>
      <c r="G8" s="477">
        <f>industrie!G18</f>
        <v>0</v>
      </c>
      <c r="H8" s="477">
        <f>industrie!H18</f>
        <v>0</v>
      </c>
      <c r="I8" s="477">
        <f>industrie!I18</f>
        <v>0</v>
      </c>
      <c r="J8" s="477">
        <f>industrie!J18</f>
        <v>103.89179601434118</v>
      </c>
      <c r="K8" s="477">
        <f>industrie!K18</f>
        <v>0</v>
      </c>
      <c r="L8" s="477">
        <f>industrie!L18</f>
        <v>0</v>
      </c>
      <c r="M8" s="477">
        <f>industrie!M18</f>
        <v>0</v>
      </c>
      <c r="N8" s="477">
        <f>industrie!N18</f>
        <v>3392.2374435173465</v>
      </c>
      <c r="O8" s="477">
        <f>industrie!O18</f>
        <v>0</v>
      </c>
      <c r="P8" s="478">
        <f>industrie!P18</f>
        <v>0</v>
      </c>
      <c r="Q8" s="476">
        <f t="shared" si="0"/>
        <v>38247.16688523948</v>
      </c>
    </row>
    <row r="9" spans="1:17" s="482" customFormat="1">
      <c r="A9" s="480" t="s">
        <v>564</v>
      </c>
      <c r="B9" s="481">
        <f>transport!B14</f>
        <v>23.73845909800594</v>
      </c>
      <c r="C9" s="481">
        <f>transport!C14</f>
        <v>0</v>
      </c>
      <c r="D9" s="481">
        <f>transport!D14</f>
        <v>62.833160730318816</v>
      </c>
      <c r="E9" s="481">
        <f>transport!E14</f>
        <v>236.62315703089575</v>
      </c>
      <c r="F9" s="481">
        <f>transport!F14</f>
        <v>0</v>
      </c>
      <c r="G9" s="481">
        <f>transport!G14</f>
        <v>72814.395417353153</v>
      </c>
      <c r="H9" s="481">
        <f>transport!H14</f>
        <v>16721.118366977375</v>
      </c>
      <c r="I9" s="481">
        <f>transport!I14</f>
        <v>0</v>
      </c>
      <c r="J9" s="481">
        <f>transport!J14</f>
        <v>0</v>
      </c>
      <c r="K9" s="481">
        <f>transport!K14</f>
        <v>0</v>
      </c>
      <c r="L9" s="481">
        <f>transport!L14</f>
        <v>0</v>
      </c>
      <c r="M9" s="481">
        <f>transport!M14</f>
        <v>2795.0849601797181</v>
      </c>
      <c r="N9" s="481">
        <f>transport!N14</f>
        <v>0</v>
      </c>
      <c r="O9" s="481">
        <f>transport!O14</f>
        <v>0</v>
      </c>
      <c r="P9" s="481">
        <f>transport!P14</f>
        <v>0</v>
      </c>
      <c r="Q9" s="480">
        <f>SUM(B9:P9)</f>
        <v>92653.793521369473</v>
      </c>
    </row>
    <row r="10" spans="1:17">
      <c r="A10" s="476" t="s">
        <v>554</v>
      </c>
      <c r="B10" s="477">
        <f>transport!B54</f>
        <v>0</v>
      </c>
      <c r="C10" s="477">
        <f>transport!C54</f>
        <v>0</v>
      </c>
      <c r="D10" s="477">
        <f>transport!D54</f>
        <v>0</v>
      </c>
      <c r="E10" s="477">
        <f>transport!E54</f>
        <v>0</v>
      </c>
      <c r="F10" s="477">
        <f>transport!F54</f>
        <v>0</v>
      </c>
      <c r="G10" s="477">
        <f>transport!G54</f>
        <v>1183.2990074686497</v>
      </c>
      <c r="H10" s="477">
        <f>transport!H54</f>
        <v>0</v>
      </c>
      <c r="I10" s="477">
        <f>transport!I54</f>
        <v>0</v>
      </c>
      <c r="J10" s="477">
        <f>transport!J54</f>
        <v>0</v>
      </c>
      <c r="K10" s="477">
        <f>transport!K54</f>
        <v>0</v>
      </c>
      <c r="L10" s="477">
        <f>transport!L54</f>
        <v>0</v>
      </c>
      <c r="M10" s="477">
        <f>transport!M54</f>
        <v>36.703287956333092</v>
      </c>
      <c r="N10" s="477">
        <f>transport!N54</f>
        <v>0</v>
      </c>
      <c r="O10" s="477">
        <f>transport!O54</f>
        <v>0</v>
      </c>
      <c r="P10" s="478">
        <f>transport!P54</f>
        <v>0</v>
      </c>
      <c r="Q10" s="476">
        <f t="shared" si="0"/>
        <v>1220.0022954249828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2359.4133115</v>
      </c>
      <c r="C14" s="484"/>
      <c r="D14" s="484">
        <f>'SEAP template'!E25</f>
        <v>4126.7080064000002</v>
      </c>
      <c r="E14" s="484"/>
      <c r="F14" s="484"/>
      <c r="G14" s="484"/>
      <c r="H14" s="484"/>
      <c r="I14" s="484"/>
      <c r="J14" s="484"/>
      <c r="K14" s="484"/>
      <c r="L14" s="484"/>
      <c r="M14" s="484"/>
      <c r="N14" s="484"/>
      <c r="O14" s="484"/>
      <c r="P14" s="485"/>
      <c r="Q14" s="476">
        <f t="shared" si="0"/>
        <v>6486.1213179000006</v>
      </c>
    </row>
    <row r="15" spans="1:17" s="486" customFormat="1">
      <c r="A15" s="1038" t="s">
        <v>558</v>
      </c>
      <c r="B15" s="978">
        <f ca="1">SUM(B4:B14)</f>
        <v>80397.339725854181</v>
      </c>
      <c r="C15" s="978">
        <f t="shared" ref="C15:Q15" ca="1" si="1">SUM(C4:C14)</f>
        <v>10182.857142857143</v>
      </c>
      <c r="D15" s="978">
        <f t="shared" ca="1" si="1"/>
        <v>146560.9575372455</v>
      </c>
      <c r="E15" s="978">
        <f t="shared" si="1"/>
        <v>5994.9312553282061</v>
      </c>
      <c r="F15" s="978">
        <f t="shared" ca="1" si="1"/>
        <v>14915.578698663803</v>
      </c>
      <c r="G15" s="978">
        <f t="shared" si="1"/>
        <v>73997.694424821806</v>
      </c>
      <c r="H15" s="978">
        <f t="shared" si="1"/>
        <v>16721.118366977375</v>
      </c>
      <c r="I15" s="978">
        <f t="shared" si="1"/>
        <v>0</v>
      </c>
      <c r="J15" s="978">
        <f t="shared" si="1"/>
        <v>2714.2604927372668</v>
      </c>
      <c r="K15" s="978">
        <f t="shared" si="1"/>
        <v>0</v>
      </c>
      <c r="L15" s="978">
        <f t="shared" ca="1" si="1"/>
        <v>0</v>
      </c>
      <c r="M15" s="978">
        <f t="shared" si="1"/>
        <v>2831.7882481360512</v>
      </c>
      <c r="N15" s="978">
        <f t="shared" ca="1" si="1"/>
        <v>29623.751858632386</v>
      </c>
      <c r="O15" s="978">
        <f t="shared" si="1"/>
        <v>225.12000000000003</v>
      </c>
      <c r="P15" s="978">
        <f t="shared" si="1"/>
        <v>495.73333333333335</v>
      </c>
      <c r="Q15" s="978">
        <f t="shared" ca="1" si="1"/>
        <v>384661.13108458708</v>
      </c>
    </row>
    <row r="17" spans="1:17">
      <c r="A17" s="487" t="s">
        <v>559</v>
      </c>
      <c r="B17" s="786">
        <f ca="1">huishoudens!B10</f>
        <v>0.18487579053294831</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7297.698622168451</v>
      </c>
      <c r="C22" s="477">
        <f t="shared" ref="C22:C32" ca="1" si="3">C4*$C$17</f>
        <v>0</v>
      </c>
      <c r="D22" s="477">
        <f t="shared" ref="D22:D32" si="4">D4*$D$17</f>
        <v>21524.124638895562</v>
      </c>
      <c r="E22" s="477">
        <f t="shared" ref="E22:E32" si="5">E4*$E$17</f>
        <v>961.61869797538623</v>
      </c>
      <c r="F22" s="477">
        <f t="shared" ref="F22:F32" si="6">F4*$F$17</f>
        <v>0</v>
      </c>
      <c r="G22" s="477">
        <f t="shared" ref="G22:G32" si="7">G4*$G$17</f>
        <v>0</v>
      </c>
      <c r="H22" s="477">
        <f t="shared" ref="H22:H32" si="8">H4*$H$17</f>
        <v>0</v>
      </c>
      <c r="I22" s="477">
        <f t="shared" ref="I22:I32" si="9">I4*$I$17</f>
        <v>0</v>
      </c>
      <c r="J22" s="477">
        <f t="shared" ref="J22:J32" si="10">J4*$J$17</f>
        <v>845.95152920865758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30629.393488248057</v>
      </c>
    </row>
    <row r="23" spans="1:17">
      <c r="A23" s="476" t="s">
        <v>156</v>
      </c>
      <c r="B23" s="477">
        <f t="shared" ca="1" si="2"/>
        <v>3198.6003005961943</v>
      </c>
      <c r="C23" s="477">
        <f t="shared" ca="1" si="3"/>
        <v>0</v>
      </c>
      <c r="D23" s="477">
        <f t="shared" ca="1" si="4"/>
        <v>5155.613394379272</v>
      </c>
      <c r="E23" s="477">
        <f t="shared" si="5"/>
        <v>79.231666428211952</v>
      </c>
      <c r="F23" s="477">
        <f t="shared" ca="1" si="6"/>
        <v>1183.4273670873329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9616.872728491011</v>
      </c>
    </row>
    <row r="24" spans="1:17">
      <c r="A24" s="476" t="s">
        <v>194</v>
      </c>
      <c r="B24" s="477">
        <f t="shared" ca="1" si="2"/>
        <v>226.51370095256945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226.51370095256945</v>
      </c>
    </row>
    <row r="25" spans="1:17">
      <c r="A25" s="476" t="s">
        <v>112</v>
      </c>
      <c r="B25" s="477">
        <f t="shared" ca="1" si="2"/>
        <v>283.38826788738464</v>
      </c>
      <c r="C25" s="477">
        <f t="shared" ca="1" si="3"/>
        <v>2419.9260504201679</v>
      </c>
      <c r="D25" s="477">
        <f t="shared" si="4"/>
        <v>7.600213644840049</v>
      </c>
      <c r="E25" s="477">
        <f t="shared" si="5"/>
        <v>8.9725184580967419</v>
      </c>
      <c r="F25" s="477">
        <f t="shared" si="6"/>
        <v>1495.9707198327956</v>
      </c>
      <c r="G25" s="477">
        <f t="shared" si="7"/>
        <v>0</v>
      </c>
      <c r="H25" s="477">
        <f t="shared" si="8"/>
        <v>0</v>
      </c>
      <c r="I25" s="477">
        <f t="shared" si="9"/>
        <v>0</v>
      </c>
      <c r="J25" s="477">
        <f t="shared" si="10"/>
        <v>78.11898943125793</v>
      </c>
      <c r="K25" s="477">
        <f t="shared" si="11"/>
        <v>0</v>
      </c>
      <c r="L25" s="477">
        <f t="shared" si="12"/>
        <v>0</v>
      </c>
      <c r="M25" s="477">
        <f t="shared" si="13"/>
        <v>0</v>
      </c>
      <c r="N25" s="477">
        <f t="shared" si="14"/>
        <v>0</v>
      </c>
      <c r="O25" s="477">
        <f t="shared" si="15"/>
        <v>0</v>
      </c>
      <c r="P25" s="478">
        <f t="shared" si="16"/>
        <v>0</v>
      </c>
      <c r="Q25" s="476">
        <f t="shared" ca="1" si="17"/>
        <v>4293.9767596745432</v>
      </c>
    </row>
    <row r="26" spans="1:17">
      <c r="A26" s="476" t="s">
        <v>638</v>
      </c>
      <c r="B26" s="477">
        <f t="shared" ca="1" si="2"/>
        <v>3416.733779409401</v>
      </c>
      <c r="C26" s="477">
        <f t="shared" ca="1" si="3"/>
        <v>0</v>
      </c>
      <c r="D26" s="477">
        <f t="shared" si="4"/>
        <v>2071.6878598435983</v>
      </c>
      <c r="E26" s="477">
        <f t="shared" si="5"/>
        <v>257.31305545179487</v>
      </c>
      <c r="F26" s="477">
        <f t="shared" si="6"/>
        <v>1303.0614256231074</v>
      </c>
      <c r="G26" s="477">
        <f t="shared" si="7"/>
        <v>0</v>
      </c>
      <c r="H26" s="477">
        <f t="shared" si="8"/>
        <v>0</v>
      </c>
      <c r="I26" s="477">
        <f t="shared" si="9"/>
        <v>0</v>
      </c>
      <c r="J26" s="477">
        <f t="shared" si="10"/>
        <v>36.777695789076773</v>
      </c>
      <c r="K26" s="477">
        <f t="shared" si="11"/>
        <v>0</v>
      </c>
      <c r="L26" s="477">
        <f t="shared" si="12"/>
        <v>0</v>
      </c>
      <c r="M26" s="477">
        <f t="shared" si="13"/>
        <v>0</v>
      </c>
      <c r="N26" s="477">
        <f t="shared" si="14"/>
        <v>0</v>
      </c>
      <c r="O26" s="477">
        <f t="shared" si="15"/>
        <v>0</v>
      </c>
      <c r="P26" s="478">
        <f t="shared" si="16"/>
        <v>0</v>
      </c>
      <c r="Q26" s="476">
        <f t="shared" ca="1" si="17"/>
        <v>7085.5738161169784</v>
      </c>
    </row>
    <row r="27" spans="1:17" s="482" customFormat="1">
      <c r="A27" s="480" t="s">
        <v>564</v>
      </c>
      <c r="B27" s="780">
        <f t="shared" ca="1" si="2"/>
        <v>4.3886663917779076</v>
      </c>
      <c r="C27" s="481">
        <f t="shared" ca="1" si="3"/>
        <v>0</v>
      </c>
      <c r="D27" s="481">
        <f t="shared" si="4"/>
        <v>12.692298467524402</v>
      </c>
      <c r="E27" s="481">
        <f t="shared" si="5"/>
        <v>53.713456646013341</v>
      </c>
      <c r="F27" s="481">
        <f t="shared" si="6"/>
        <v>0</v>
      </c>
      <c r="G27" s="481">
        <f t="shared" si="7"/>
        <v>19441.443576433292</v>
      </c>
      <c r="H27" s="481">
        <f t="shared" si="8"/>
        <v>4163.5584733773667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23675.796471315974</v>
      </c>
    </row>
    <row r="28" spans="1:17">
      <c r="A28" s="476" t="s">
        <v>554</v>
      </c>
      <c r="B28" s="477">
        <f t="shared" ca="1" si="2"/>
        <v>0</v>
      </c>
      <c r="C28" s="477">
        <f t="shared" ca="1" si="3"/>
        <v>0</v>
      </c>
      <c r="D28" s="477">
        <f t="shared" si="4"/>
        <v>0</v>
      </c>
      <c r="E28" s="477">
        <f t="shared" si="5"/>
        <v>0</v>
      </c>
      <c r="F28" s="477">
        <f t="shared" si="6"/>
        <v>0</v>
      </c>
      <c r="G28" s="477">
        <f t="shared" si="7"/>
        <v>315.94083499412949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315.94083499412949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436.1984011575239</v>
      </c>
      <c r="C32" s="477">
        <f t="shared" ca="1" si="3"/>
        <v>0</v>
      </c>
      <c r="D32" s="477">
        <f t="shared" si="4"/>
        <v>833.59501729280009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1269.793418450324</v>
      </c>
    </row>
    <row r="33" spans="1:17" s="486" customFormat="1">
      <c r="A33" s="1038" t="s">
        <v>558</v>
      </c>
      <c r="B33" s="978">
        <f ca="1">SUM(B22:B32)</f>
        <v>14863.521738563304</v>
      </c>
      <c r="C33" s="978">
        <f t="shared" ref="C33:Q33" ca="1" si="18">SUM(C22:C32)</f>
        <v>2419.9260504201679</v>
      </c>
      <c r="D33" s="978">
        <f t="shared" ca="1" si="18"/>
        <v>29605.313422523599</v>
      </c>
      <c r="E33" s="978">
        <f t="shared" si="18"/>
        <v>1360.8493949595033</v>
      </c>
      <c r="F33" s="978">
        <f t="shared" ca="1" si="18"/>
        <v>3982.4595125432361</v>
      </c>
      <c r="G33" s="978">
        <f t="shared" si="18"/>
        <v>19757.384411427422</v>
      </c>
      <c r="H33" s="978">
        <f t="shared" si="18"/>
        <v>4163.5584733773667</v>
      </c>
      <c r="I33" s="978">
        <f t="shared" si="18"/>
        <v>0</v>
      </c>
      <c r="J33" s="978">
        <f t="shared" si="18"/>
        <v>960.84821442899226</v>
      </c>
      <c r="K33" s="978">
        <f t="shared" si="18"/>
        <v>0</v>
      </c>
      <c r="L33" s="978">
        <f t="shared" ca="1" si="18"/>
        <v>0</v>
      </c>
      <c r="M33" s="978">
        <f t="shared" si="18"/>
        <v>0</v>
      </c>
      <c r="N33" s="978">
        <f t="shared" ca="1" si="18"/>
        <v>0</v>
      </c>
      <c r="O33" s="978">
        <f t="shared" si="18"/>
        <v>0</v>
      </c>
      <c r="P33" s="978">
        <f t="shared" si="18"/>
        <v>0</v>
      </c>
      <c r="Q33" s="978">
        <f t="shared" ca="1" si="18"/>
        <v>77113.861218243575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8113.7159571026823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5564.7934372167247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7128</v>
      </c>
      <c r="D8" s="1055">
        <f>'SEAP template'!D76</f>
        <v>8385.8823529411748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1693.9482352941175</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13678.509394319408</v>
      </c>
      <c r="C10" s="1059">
        <f>SUM(C4:C9)</f>
        <v>7128</v>
      </c>
      <c r="D10" s="1059">
        <f t="shared" ref="D10:H10" si="0">SUM(D8:D9)</f>
        <v>8385.8823529411748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1693.9482352941175</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0.18487579053294831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10182.857142857143</v>
      </c>
      <c r="D17" s="1056">
        <f>'SEAP template'!D87</f>
        <v>11979.831932773108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2419.9260504201679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10182.857142857143</v>
      </c>
      <c r="D20" s="1059">
        <f t="shared" ref="D20:H20" si="2">SUM(D17:D19)</f>
        <v>11979.831932773108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2419.9260504201679</v>
      </c>
    </row>
    <row r="22" spans="1:16">
      <c r="A22" s="487" t="s">
        <v>871</v>
      </c>
      <c r="B22" s="786" t="s">
        <v>865</v>
      </c>
      <c r="C22" s="786">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0.18487579053294831</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2019-08-12T08:25:15Z</dcterms:modified>
</cp:coreProperties>
</file>