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D19"/>
  <c r="E89" i="14" s="1"/>
  <c r="E19" i="59" s="1"/>
  <c r="C19" i="18"/>
  <c r="D89" i="14" s="1"/>
  <c r="D19" i="59" s="1"/>
  <c r="B19" i="18"/>
  <c r="N18"/>
  <c r="M18"/>
  <c r="L18"/>
  <c r="O88" i="14" s="1"/>
  <c r="K18" i="18"/>
  <c r="N88" i="14" s="1"/>
  <c r="N18" i="59" s="1"/>
  <c r="J18" i="18"/>
  <c r="J88" i="14" s="1"/>
  <c r="J18" i="59" s="1"/>
  <c r="I18" i="18"/>
  <c r="H18"/>
  <c r="M88" i="14" s="1"/>
  <c r="M18" i="59" s="1"/>
  <c r="G18" i="18"/>
  <c r="F18"/>
  <c r="E18"/>
  <c r="D18"/>
  <c r="D20" s="1"/>
  <c r="C18"/>
  <c r="D88" i="14" s="1"/>
  <c r="D18" i="59" s="1"/>
  <c r="B18" i="18"/>
  <c r="L9"/>
  <c r="O77" i="14" s="1"/>
  <c r="K9" i="18"/>
  <c r="N77" i="14" s="1"/>
  <c r="N9" i="59" s="1"/>
  <c r="G9" i="18"/>
  <c r="G10" s="1"/>
  <c r="F9"/>
  <c r="D9"/>
  <c r="D10" s="1"/>
  <c r="C9"/>
  <c r="D77" i="14" s="1"/>
  <c r="D9" i="59" s="1"/>
  <c r="K22" i="18"/>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I9" s="1"/>
  <c r="I77" i="14" s="1"/>
  <c r="I9" i="59" s="1"/>
  <c r="T89" i="18"/>
  <c r="S89"/>
  <c r="E9" s="1"/>
  <c r="F77" i="14" s="1"/>
  <c r="F9" i="59" s="1"/>
  <c r="R89" i="18"/>
  <c r="Q89"/>
  <c r="P89"/>
  <c r="O89"/>
  <c r="N89"/>
  <c r="B9" s="1"/>
  <c r="M89"/>
  <c r="W61"/>
  <c r="V61"/>
  <c r="N6" i="17" s="1"/>
  <c r="U61" i="18"/>
  <c r="T61"/>
  <c r="L6" i="17" s="1"/>
  <c r="S61" i="18"/>
  <c r="R61"/>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F10"/>
  <c r="B6"/>
  <c r="B74" i="14" s="1"/>
  <c r="B6" i="59" s="1"/>
  <c r="B5" i="18"/>
  <c r="B73" i="14" s="1"/>
  <c r="B5" i="59" s="1"/>
  <c r="B4" i="18"/>
  <c r="F6" i="17"/>
  <c r="D5"/>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Q11" s="1"/>
  <c r="B11"/>
  <c r="Q12"/>
  <c r="P28"/>
  <c r="O28"/>
  <c r="M89" i="14"/>
  <c r="M19" i="59" s="1"/>
  <c r="L89" i="14"/>
  <c r="L19" i="59" s="1"/>
  <c r="K89" i="14"/>
  <c r="K19" i="59" s="1"/>
  <c r="G89" i="14"/>
  <c r="G19" i="59" s="1"/>
  <c r="L88" i="14"/>
  <c r="L18" i="59" s="1"/>
  <c r="K88" i="14"/>
  <c r="K18" i="59" s="1"/>
  <c r="I88" i="14"/>
  <c r="I18" i="59" s="1"/>
  <c r="H88" i="14"/>
  <c r="F88"/>
  <c r="F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J22" s="1"/>
  <c r="G20"/>
  <c r="D20"/>
  <c r="Q19"/>
  <c r="P19"/>
  <c r="O19"/>
  <c r="M19"/>
  <c r="L19"/>
  <c r="K19"/>
  <c r="J19"/>
  <c r="I19"/>
  <c r="G19"/>
  <c r="G22" s="1"/>
  <c r="F19"/>
  <c r="E19"/>
  <c r="D19"/>
  <c r="Q48"/>
  <c r="P48"/>
  <c r="P52" s="1"/>
  <c r="O48"/>
  <c r="M48"/>
  <c r="L48"/>
  <c r="K48"/>
  <c r="J48"/>
  <c r="G48"/>
  <c r="D48"/>
  <c r="Q18"/>
  <c r="Q22" s="1"/>
  <c r="P18"/>
  <c r="O18"/>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L56"/>
  <c r="I56"/>
  <c r="Q52"/>
  <c r="R44"/>
  <c r="E25"/>
  <c r="E55" s="1"/>
  <c r="C25"/>
  <c r="B14" i="48" s="1"/>
  <c r="Q26" i="14"/>
  <c r="P26"/>
  <c r="N26"/>
  <c r="L26"/>
  <c r="L22"/>
  <c r="P22"/>
  <c r="O22"/>
  <c r="R12"/>
  <c r="O18" i="59" l="1"/>
  <c r="O20" s="1"/>
  <c r="O90" i="14"/>
  <c r="O78"/>
  <c r="O9" i="59"/>
  <c r="N20"/>
  <c r="L78" i="14"/>
  <c r="L8" i="59"/>
  <c r="L10" s="1"/>
  <c r="H78" i="14"/>
  <c r="H8" i="59"/>
  <c r="H10" s="1"/>
  <c r="H20"/>
  <c r="C98" i="18"/>
  <c r="G101" s="1"/>
  <c r="P29" i="48"/>
  <c r="L10" i="18"/>
  <c r="K90" i="14"/>
  <c r="E20" i="59"/>
  <c r="E88" i="14"/>
  <c r="E18" i="59" s="1"/>
  <c r="O29" i="48"/>
  <c r="P31"/>
  <c r="K10" i="18"/>
  <c r="F20"/>
  <c r="N90" i="14"/>
  <c r="E10" i="59"/>
  <c r="E77" i="14"/>
  <c r="E9" i="59" s="1"/>
  <c r="B17" i="18"/>
  <c r="B20" s="1"/>
  <c r="H90" i="14"/>
  <c r="H18" i="59"/>
  <c r="K10"/>
  <c r="K20"/>
  <c r="P25" i="48"/>
  <c r="R25" i="14"/>
  <c r="O10" i="59"/>
  <c r="F13" i="15"/>
  <c r="G78" i="14"/>
  <c r="N10" i="59"/>
  <c r="L20"/>
  <c r="B8" i="18"/>
  <c r="B10" s="1"/>
  <c r="O19"/>
  <c r="L13" i="15"/>
  <c r="N13"/>
  <c r="O9" i="18"/>
  <c r="O18"/>
  <c r="B89" i="14"/>
  <c r="B19" i="59" s="1"/>
  <c r="G88" i="14"/>
  <c r="F89"/>
  <c r="I101" i="18"/>
  <c r="H8" s="1"/>
  <c r="E101"/>
  <c r="E8" s="1"/>
  <c r="C101"/>
  <c r="F101"/>
  <c r="B101"/>
  <c r="C8" s="1"/>
  <c r="I102"/>
  <c r="H17" s="1"/>
  <c r="E102"/>
  <c r="E17" s="1"/>
  <c r="H102"/>
  <c r="D102"/>
  <c r="G102"/>
  <c r="C102"/>
  <c r="F102"/>
  <c r="B102"/>
  <c r="C17" s="1"/>
  <c r="Q14" i="48"/>
  <c r="O24"/>
  <c r="O30"/>
  <c r="P24"/>
  <c r="P30"/>
  <c r="N78" i="14"/>
  <c r="G90" l="1"/>
  <c r="G18" i="59"/>
  <c r="G20" s="1"/>
  <c r="C89" i="14"/>
  <c r="C19" i="59" s="1"/>
  <c r="F19"/>
  <c r="Q88" i="14"/>
  <c r="P18" i="59" s="1"/>
  <c r="E78" i="14"/>
  <c r="B88"/>
  <c r="B18" i="59" s="1"/>
  <c r="E90" i="14"/>
  <c r="B77"/>
  <c r="B9" i="59" s="1"/>
  <c r="H101" i="18"/>
  <c r="J8" s="1"/>
  <c r="Q77" i="14"/>
  <c r="P9" i="59" s="1"/>
  <c r="C77" i="14"/>
  <c r="C9" i="59" s="1"/>
  <c r="D101" i="18"/>
  <c r="C88" i="14"/>
  <c r="C18" i="59" s="1"/>
  <c r="Q89" i="14"/>
  <c r="P19" i="59" s="1"/>
  <c r="C20" i="18"/>
  <c r="D87" i="14"/>
  <c r="D17" i="59" s="1"/>
  <c r="D20" s="1"/>
  <c r="D76" i="14"/>
  <c r="D8" i="59" s="1"/>
  <c r="D10" s="1"/>
  <c r="C10" i="18"/>
  <c r="J17"/>
  <c r="F87" i="14"/>
  <c r="E20" i="18"/>
  <c r="E10"/>
  <c r="F76" i="14"/>
  <c r="F8" i="59" s="1"/>
  <c r="F10" s="1"/>
  <c r="I17" i="18"/>
  <c r="O17" s="1"/>
  <c r="O20" s="1"/>
  <c r="H20"/>
  <c r="M87" i="14"/>
  <c r="I8" i="18"/>
  <c r="M76" i="14"/>
  <c r="H10" i="18"/>
  <c r="H14" i="15"/>
  <c r="H16" s="1"/>
  <c r="G14"/>
  <c r="G16" s="1"/>
  <c r="H5" i="48" l="1"/>
  <c r="I10" i="14"/>
  <c r="I16" s="1"/>
  <c r="G5" i="48"/>
  <c r="H10" i="14"/>
  <c r="H16" s="1"/>
  <c r="M90"/>
  <c r="M17" i="59"/>
  <c r="M20" s="1"/>
  <c r="M78" i="14"/>
  <c r="M8" i="59"/>
  <c r="M10" s="1"/>
  <c r="F90" i="14"/>
  <c r="F17" i="59"/>
  <c r="F20" s="1"/>
  <c r="O8" i="18"/>
  <c r="O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32"/>
  <c r="J31"/>
  <c r="J29"/>
  <c r="J24"/>
  <c r="J27"/>
  <c r="J30"/>
  <c r="P4"/>
  <c r="Q11" i="14"/>
  <c r="O4" i="48"/>
  <c r="P11" i="14"/>
  <c r="I27" i="48"/>
  <c r="I22"/>
  <c r="I29"/>
  <c r="I26"/>
  <c r="I32"/>
  <c r="I31"/>
  <c r="I25"/>
  <c r="I28"/>
  <c r="I30"/>
  <c r="I24"/>
  <c r="E11" i="14"/>
  <c r="D4" i="48"/>
  <c r="D22" s="1"/>
  <c r="H32"/>
  <c r="H28"/>
  <c r="H29"/>
  <c r="H26"/>
  <c r="H22"/>
  <c r="H25"/>
  <c r="H30"/>
  <c r="H24"/>
  <c r="H23"/>
  <c r="C4"/>
  <c r="D11" i="14"/>
  <c r="G32" i="48"/>
  <c r="G29"/>
  <c r="G26"/>
  <c r="G24"/>
  <c r="G22"/>
  <c r="G30"/>
  <c r="G25"/>
  <c r="G23"/>
  <c r="C11" i="14"/>
  <c r="B4" i="48"/>
  <c r="F32"/>
  <c r="F27"/>
  <c r="F28"/>
  <c r="F29"/>
  <c r="F31"/>
  <c r="F24"/>
  <c r="F30"/>
  <c r="N32"/>
  <c r="N28"/>
  <c r="N27"/>
  <c r="N31"/>
  <c r="N29"/>
  <c r="N24"/>
  <c r="N30"/>
  <c r="B10"/>
  <c r="C19" i="14"/>
  <c r="E32" i="48"/>
  <c r="E28"/>
  <c r="E29"/>
  <c r="E30"/>
  <c r="E31"/>
  <c r="E24"/>
  <c r="M32"/>
  <c r="M29"/>
  <c r="M30"/>
  <c r="M25"/>
  <c r="M24"/>
  <c r="M26"/>
  <c r="M22"/>
  <c r="M23"/>
  <c r="L10" i="14"/>
  <c r="L16" s="1"/>
  <c r="L27" s="1"/>
  <c r="K5" i="48"/>
  <c r="D30"/>
  <c r="D32"/>
  <c r="D28"/>
  <c r="D31"/>
  <c r="D24"/>
  <c r="D29"/>
  <c r="L27"/>
  <c r="L32"/>
  <c r="L22"/>
  <c r="L30"/>
  <c r="L31"/>
  <c r="L28"/>
  <c r="L24"/>
  <c r="L29"/>
  <c r="P5"/>
  <c r="P23" s="1"/>
  <c r="Q10" i="14"/>
  <c r="K28" i="48"/>
  <c r="K25"/>
  <c r="K32"/>
  <c r="K31"/>
  <c r="K26"/>
  <c r="K22"/>
  <c r="K29"/>
  <c r="K27"/>
  <c r="K30"/>
  <c r="K24"/>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O22" i="48"/>
  <c r="H18" i="14"/>
  <c r="G13" i="48"/>
  <c r="H13"/>
  <c r="H31" s="1"/>
  <c r="I18" i="14"/>
  <c r="K23" i="48"/>
  <c r="K33" s="1"/>
  <c r="K15"/>
  <c r="C22" i="14"/>
  <c r="P8" i="48"/>
  <c r="P26" s="1"/>
  <c r="Q13" i="14"/>
  <c r="Q16" s="1"/>
  <c r="Q27" s="1"/>
  <c r="Q63" s="1"/>
  <c r="F20"/>
  <c r="F22" s="1"/>
  <c r="E9" i="48"/>
  <c r="E27" s="1"/>
  <c r="E20" i="14"/>
  <c r="E22" s="1"/>
  <c r="D9" i="48"/>
  <c r="D27" s="1"/>
  <c r="O5"/>
  <c r="O23" s="1"/>
  <c r="P10" i="14"/>
  <c r="J7" i="48"/>
  <c r="J25" s="1"/>
  <c r="K24" i="14"/>
  <c r="K26" s="1"/>
  <c r="C20"/>
  <c r="B9" i="48"/>
  <c r="P15"/>
  <c r="P22"/>
  <c r="P33" s="1"/>
  <c r="F4"/>
  <c r="F22" s="1"/>
  <c r="G11" i="14"/>
  <c r="I5" i="48"/>
  <c r="J10" i="14"/>
  <c r="J16" s="1"/>
  <c r="J27" s="1"/>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F11"/>
  <c r="R11" s="1"/>
  <c r="E4" i="48"/>
  <c r="N4"/>
  <c r="N22" s="1"/>
  <c r="O11" i="14"/>
  <c r="J4" i="48"/>
  <c r="K11" i="14"/>
  <c r="E7" i="48"/>
  <c r="E25" s="1"/>
  <c r="F24" i="14"/>
  <c r="F26" s="1"/>
  <c r="N20"/>
  <c r="N22" s="1"/>
  <c r="N27" s="1"/>
  <c r="M9" i="48"/>
  <c r="O22" i="16"/>
  <c r="P43" i="14" s="1"/>
  <c r="P46" s="1"/>
  <c r="P61" s="1"/>
  <c r="P63" s="1"/>
  <c r="O8" i="48"/>
  <c r="O26" s="1"/>
  <c r="O33" s="1"/>
  <c r="P13" i="14"/>
  <c r="P16" s="1"/>
  <c r="P27" s="1"/>
  <c r="I23" i="48"/>
  <c r="I33" s="1"/>
  <c r="I15"/>
  <c r="R18" i="14"/>
  <c r="I20"/>
  <c r="I22" s="1"/>
  <c r="I27" s="1"/>
  <c r="H9" i="48"/>
  <c r="Q13"/>
  <c r="G31"/>
  <c r="M10"/>
  <c r="M28" s="1"/>
  <c r="N19" i="14"/>
  <c r="H19"/>
  <c r="G10" i="48"/>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20"/>
  <c r="R20" s="1"/>
  <c r="R22" s="1"/>
  <c r="G9" i="48"/>
  <c r="G28"/>
  <c r="Q10"/>
  <c r="M27"/>
  <c r="M33" s="1"/>
  <c r="M15"/>
  <c r="E22"/>
  <c r="Q4"/>
  <c r="H27"/>
  <c r="H33" s="1"/>
  <c r="H15"/>
  <c r="J22"/>
  <c r="E5"/>
  <c r="E23" s="1"/>
  <c r="F10" i="14"/>
  <c r="J5" i="48"/>
  <c r="J23" s="1"/>
  <c r="K10" i="14"/>
  <c r="R24"/>
  <c r="R26" s="1"/>
  <c r="O15" i="48"/>
  <c r="R19" i="14"/>
  <c r="Q7" i="48"/>
  <c r="E20" i="15"/>
  <c r="F40" i="14" s="1"/>
  <c r="J18" i="16"/>
  <c r="E18"/>
  <c r="F18"/>
  <c r="F22" s="1"/>
  <c r="G43" i="14" s="1"/>
  <c r="N18" i="16"/>
  <c r="G18" i="22"/>
  <c r="H50" i="14" s="1"/>
  <c r="H52" s="1"/>
  <c r="H61" s="1"/>
  <c r="H18" i="22"/>
  <c r="I50" i="14" s="1"/>
  <c r="I52" s="1"/>
  <c r="I61" s="1"/>
  <c r="I63" s="1"/>
  <c r="J22" i="16" l="1"/>
  <c r="K43" i="14" s="1"/>
  <c r="K46" s="1"/>
  <c r="K61" s="1"/>
  <c r="J8" i="48"/>
  <c r="J26" s="1"/>
  <c r="J33" s="1"/>
  <c r="K13" i="14"/>
  <c r="G27" i="48"/>
  <c r="G33" s="1"/>
  <c r="G15"/>
  <c r="Q9"/>
  <c r="E8"/>
  <c r="F13" i="14"/>
  <c r="K16"/>
  <c r="K27" s="1"/>
  <c r="H63"/>
  <c r="E22" i="16"/>
  <c r="F43" i="14" s="1"/>
  <c r="F46" s="1"/>
  <c r="F61" s="1"/>
  <c r="F63" s="1"/>
  <c r="H22"/>
  <c r="H27" s="1"/>
  <c r="F16"/>
  <c r="F27" s="1"/>
  <c r="N8" i="48"/>
  <c r="N26" s="1"/>
  <c r="O13" i="14"/>
  <c r="N22" i="16"/>
  <c r="O43" i="14" s="1"/>
  <c r="G13"/>
  <c r="F8" i="48"/>
  <c r="E26" l="1"/>
  <c r="E33" s="1"/>
  <c r="E15"/>
  <c r="J15"/>
  <c r="R13" i="14"/>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<sst xmlns="http://schemas.openxmlformats.org/spreadsheetml/2006/main" count="2417" uniqueCount="905">
  <si>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</si>
  <si>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</si>
  <si>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</si>
  <si>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</si>
  <si>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</si>
  <si>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</si>
  <si>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</si>
  <si>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</si>
  <si>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</si>
  <si>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</si>
  <si>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</si>
  <si>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</si>
  <si>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</si>
  <si>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</si>
  <si>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</si>
  <si>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</si>
  <si>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</si>
  <si>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</si>
  <si>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</si>
  <si>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</si>
  <si>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</si>
  <si>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</si>
  <si>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</si>
  <si>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</si>
  <si>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</si>
  <si>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</si>
  <si>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</si>
  <si>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</si>
  <si>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</si>
  <si>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</si>
  <si>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</si>
  <si>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</si>
  <si>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</si>
  <si>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</si>
  <si>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</si>
  <si>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</si>
  <si>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</si>
  <si>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</si>
  <si>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</si>
  <si>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</si>
  <si>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</si>
  <si>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</si>
  <si>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</si>
  <si>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</si>
  <si>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</si>
  <si>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</si>
  <si>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</si>
  <si>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</si>
  <si>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</si>
  <si>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</si>
  <si>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</si>
  <si>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</si>
  <si>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</si>
  <si>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</si>
  <si>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</si>
  <si>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</si>
  <si>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</si>
  <si>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</si>
  <si>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</si>
  <si>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</si>
  <si>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</si>
  <si>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</si>
  <si>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</si>
  <si>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</si>
  <si>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</si>
  <si>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</si>
  <si>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</si>
  <si>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</si>
  <si>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</si>
  <si>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</si>
  <si>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</si>
  <si>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</si>
  <si>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</si>
  <si>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</si>
  <si>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</si>
  <si>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</si>
  <si>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</si>
  <si>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</si>
  <si>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</si>
  <si>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</si>
  <si>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</si>
  <si>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</si>
  <si>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</si>
  <si>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</si>
  <si>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</si>
  <si>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</si>
  <si>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</si>
  <si>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</si>
  <si>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</si>
  <si>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</si>
  <si>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</si>
  <si>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</si>
  <si>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</si>
  <si>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</si>
  <si>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</si>
  <si>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</si>
  <si>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</si>
  <si>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</si>
  <si>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</si>
  <si>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</si>
  <si>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</si>
  <si>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</si>
  <si>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</si>
  <si>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</si>
  <si>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</si>
  <si>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</si>
  <si>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</si>
  <si>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</si>
  <si>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</si>
  <si>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</si>
  <si>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</si>
  <si>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</si>
  <si>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</si>
  <si>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</si>
  <si>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</si>
  <si>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</si>
  <si>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</si>
  <si>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</si>
  <si>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</si>
  <si>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</si>
  <si>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</si>
  <si>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</si>
  <si>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</si>
  <si>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</si>
  <si>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</si>
  <si>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</si>
  <si>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</si>
  <si>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</si>
  <si>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</si>
  <si>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</si>
  <si>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</si>
  <si>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</si>
  <si>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</si>
  <si>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</si>
  <si>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</si>
  <si>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</si>
  <si>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</si>
  <si>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</si>
  <si>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</si>
  <si>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</si>
  <si>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</si>
  <si>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</si>
  <si>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</si>
  <si>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</si>
  <si>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</si>
  <si>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</si>
  <si>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</si>
  <si>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</si>
  <si>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</si>
  <si>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</si>
  <si>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</si>
  <si>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</si>
  <si>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</si>
  <si>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</si>
  <si>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</si>
  <si>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</si>
  <si>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</si>
  <si>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</si>
  <si>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</si>
  <si>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</si>
  <si>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</si>
  <si>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</si>
  <si>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</si>
  <si>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</si>
  <si>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</si>
  <si>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</si>
  <si>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</si>
  <si>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</si>
  <si>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</si>
  <si>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</si>
  <si>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</si>
  <si>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</si>
  <si>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</si>
  <si>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</si>
  <si>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</si>
  <si>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</si>
  <si>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</si>
  <si>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</si>
  <si>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</si>
  <si>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</si>
  <si>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</si>
  <si>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</si>
  <si>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</si>
  <si>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</si>
  <si>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</si>
  <si>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</si>
  <si>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</si>
  <si>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</si>
  <si>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</si>
  <si>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</si>
  <si>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</si>
  <si>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</si>
  <si>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</si>
  <si>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</si>
  <si>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</si>
  <si>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</si>
  <si>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</si>
  <si>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</si>
  <si>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</si>
  <si>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</si>
  <si>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</si>
  <si>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</si>
  <si>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</si>
  <si>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</si>
  <si>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</si>
  <si>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</si>
  <si>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</si>
  <si>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</si>
  <si>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</si>
  <si>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</si>
  <si>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</si>
  <si>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</si>
  <si>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</si>
  <si>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</si>
  <si>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</si>
  <si>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</si>
  <si>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</si>
  <si>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</si>
  <si>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</si>
  <si>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</si>
  <si>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</si>
  <si>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</si>
  <si>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</si>
  <si>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</si>
  <si>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</si>
  <si>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</si>
  <si>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</si>
  <si>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</si>
  <si>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</si>
  <si>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</si>
  <si>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</si>
  <si>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</si>
  <si>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</si>
  <si>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</si>
  <si>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</si>
  <si>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</si>
  <si>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</si>
  <si>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</si>
  <si>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</si>
  <si>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</si>
  <si>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</si>
  <si>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</si>
  <si>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</si>
  <si>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</si>
  <si>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</si>
  <si>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</si>
  <si>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</si>
  <si>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</si>
  <si>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</si>
  <si>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</si>
  <si>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</si>
  <si>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</si>
  <si>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</si>
  <si>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</si>
  <si>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</si>
  <si>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</si>
  <si>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</si>
  <si>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</si>
  <si>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</si>
  <si>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</si>
  <si>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</si>
  <si>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</si>
  <si>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</si>
  <si>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</si>
  <si>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</si>
  <si>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</si>
  <si>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</si>
  <si>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</si>
  <si>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</si>
  <si>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</si>
  <si>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</si>
  <si>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</si>
  <si>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</si>
  <si>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</si>
  <si>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</si>
  <si>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</si>
  <si>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</si>
  <si>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</si>
  <si>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</si>
  <si>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</si>
  <si>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</si>
  <si>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</si>
  <si>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</si>
  <si>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</si>
  <si>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</si>
  <si>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</si>
  <si>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</si>
  <si>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</si>
  <si>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</si>
  <si>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</si>
  <si>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</si>
  <si>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</si>
  <si>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</si>
  <si>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</si>
  <si>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</si>
  <si>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</si>
  <si>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</si>
  <si>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</si>
  <si>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</si>
  <si>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</si>
  <si>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</si>
  <si>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</si>
  <si>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</si>
  <si>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</si>
  <si>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</si>
  <si>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</si>
  <si>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</si>
  <si>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</si>
  <si>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</si>
  <si>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</si>
  <si>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</si>
  <si>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</si>
  <si>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</si>
  <si>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</si>
  <si>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</si>
  <si>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</si>
  <si>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</si>
  <si>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</si>
  <si>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</si>
  <si>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</si>
  <si>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</si>
  <si>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</si>
  <si>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</si>
  <si>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</si>
  <si>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</si>
  <si>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</si>
  <si>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</si>
  <si>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</si>
  <si>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</si>
  <si>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</si>
  <si>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</si>
  <si>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</si>
  <si>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</si>
  <si>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</si>
  <si>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</si>
  <si>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</si>
  <si>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</si>
  <si>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</si>
  <si>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</si>
  <si>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</si>
  <si>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</si>
  <si>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</si>
  <si>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</si>
  <si>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</si>
  <si>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</si>
  <si>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</si>
  <si>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</si>
  <si>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</si>
  <si>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</si>
  <si>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</si>
  <si>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</si>
  <si>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</si>
  <si>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</si>
  <si>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</si>
  <si>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</si>
  <si>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</si>
  <si>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</si>
  <si>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</si>
  <si>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</si>
  <si>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</si>
  <si>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</si>
  <si>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</si>
  <si>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</si>
  <si>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</si>
  <si>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</si>
  <si>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</si>
  <si>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</si>
  <si>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</si>
  <si>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</si>
  <si>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</si>
  <si>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</si>
  <si>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</si>
  <si>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</si>
  <si>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</si>
  <si>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</si>
  <si>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</si>
  <si>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</si>
  <si>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</si>
  <si>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</si>
  <si>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</si>
  <si>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</si>
  <si>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</si>
  <si>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</si>
  <si>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</si>
  <si>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</si>
  <si>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</si>
  <si>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</si>
  <si>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</si>
  <si>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</si>
  <si>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</si>
  <si>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</si>
  <si>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</si>
  <si>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</si>
  <si>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</si>
  <si>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</si>
  <si>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</si>
  <si>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</si>
  <si>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</si>
  <si>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</si>
  <si>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</si>
  <si>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</si>
  <si>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</si>
  <si>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</si>
  <si>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</si>
  <si>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</si>
  <si>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</si>
  <si>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</si>
  <si>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</si>
  <si>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</si>
  <si>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</si>
  <si>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</si>
  <si>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</si>
  <si>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</si>
  <si>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</si>
  <si>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</si>
  <si>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</si>
  <si>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</si>
  <si>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</si>
  <si>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</si>
  <si>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</si>
  <si>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</si>
  <si>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</si>
  <si>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</si>
  <si>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</si>
  <si>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</si>
  <si>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</si>
  <si>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</si>
  <si>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</si>
  <si>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</si>
  <si>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</si>
  <si>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</si>
  <si>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</si>
  <si>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</si>
  <si>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</si>
  <si>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</si>
  <si>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</si>
  <si>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</si>
  <si>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</si>
  <si>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</si>
  <si>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</si>
  <si>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</si>
  <si>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</si>
  <si>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</si>
  <si>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</si>
  <si>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</si>
  <si>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</si>
  <si>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</si>
  <si>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</si>
  <si>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</si>
  <si>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</si>
  <si>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</si>
  <si>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</si>
  <si>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</si>
  <si>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</si>
  <si>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</si>
  <si>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</si>
  <si>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</si>
  <si>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</si>
  <si>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</si>
  <si>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</si>
  <si>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</si>
  <si>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</si>
  <si>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</si>
  <si>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</si>
  <si>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</si>
  <si>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</si>
  <si>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</si>
  <si>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</si>
  <si>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</si>
  <si>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</si>
  <si>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</si>
  <si>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</si>
  <si>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</si>
  <si>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</si>
  <si>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</si>
  <si>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</si>
  <si>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</si>
  <si>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</si>
  <si>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</si>
  <si>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</si>
  <si>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</si>
  <si>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</si>
  <si>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</si>
  <si>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</si>
  <si>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</si>
  <si>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</si>
  <si>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</si>
  <si>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</si>
  <si>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</si>
  <si>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</si>
  <si>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</si>
  <si>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</si>
  <si>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</si>
  <si>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</si>
  <si>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</si>
  <si>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</si>
  <si>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</si>
  <si>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</si>
  <si>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</si>
  <si>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</si>
  <si>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</si>
  <si>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</si>
  <si>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</si>
  <si>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</si>
  <si>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</si>
  <si>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</si>
  <si>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</si>
  <si>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</si>
  <si>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</si>
  <si>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</si>
  <si>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</si>
  <si>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</si>
  <si>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</si>
  <si>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</si>
  <si>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</si>
  <si>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</si>
  <si>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</si>
  <si>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</si>
  <si>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</si>
  <si>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</si>
  <si>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</si>
  <si>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</si>
  <si>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</si>
  <si>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</si>
  <si>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</si>
  <si>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</si>
  <si>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</si>
  <si>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</si>
  <si>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</si>
  <si>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</si>
  <si>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</si>
  <si>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</si>
  <si>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</si>
  <si>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</si>
  <si>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</si>
  <si>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</si>
  <si>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</si>
  <si>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</si>
  <si>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</si>
  <si>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</si>
  <si>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</si>
  <si>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</si>
  <si>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</si>
  <si>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</si>
  <si>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</si>
  <si>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</si>
  <si>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</si>
  <si>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</si>
  <si>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</si>
  <si>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</si>
  <si>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</si>
  <si>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</si>
  <si>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</si>
  <si>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</si>
  <si>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</si>
  <si>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</si>
  <si>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</si>
  <si>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</si>
  <si>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</si>
  <si>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</si>
  <si>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</si>
  <si>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</si>
  <si>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</si>
  <si>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</si>
  <si>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</si>
  <si>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</si>
  <si>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</si>
  <si>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</si>
  <si>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</si>
  <si>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</si>
  <si>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</si>
  <si>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</si>
  <si>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</si>
  <si>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</si>
  <si>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</si>
  <si>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</si>
  <si>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</si>
  <si>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</si>
  <si>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</si>
  <si>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</si>
  <si>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</si>
  <si>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</si>
  <si>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</si>
  <si>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</si>
  <si>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</si>
  <si>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</si>
  <si>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</si>
  <si>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</si>
  <si>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</si>
  <si>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</si>
  <si>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</si>
  <si>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</si>
  <si>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</si>
  <si>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</si>
  <si>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</si>
  <si>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</si>
  <si>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</si>
  <si>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</si>
  <si>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</si>
  <si>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</si>
  <si>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</si>
  <si>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</si>
  <si>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</si>
  <si>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</si>
  <si>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</si>
  <si>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</si>
  <si>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</si>
  <si>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</si>
  <si>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</si>
  <si>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</si>
  <si>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</si>
  <si>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</si>
  <si>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</si>
  <si>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</si>
  <si>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</si>
  <si>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</si>
  <si>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</si>
  <si>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</si>
  <si>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</si>
  <si>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</si>
  <si>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</si>
  <si>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</si>
  <si>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</si>
  <si>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</si>
  <si>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</si>
  <si>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</si>
  <si>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</si>
  <si>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</si>
  <si>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</si>
  <si>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</si>
  <si>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</si>
  <si>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</si>
  <si>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</si>
  <si>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</si>
  <si>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</si>
  <si>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</si>
  <si>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</si>
  <si>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</si>
  <si>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</si>
  <si>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</si>
  <si>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</si>
  <si>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</si>
  <si>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</si>
  <si>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</si>
  <si>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</si>
  <si>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</si>
  <si>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</si>
  <si>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</si>
  <si>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</si>
  <si>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</si>
  <si>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</si>
  <si>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</si>
  <si>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</si>
  <si>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</si>
  <si>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</si>
  <si>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</si>
  <si>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</si>
  <si>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</si>
  <si>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</si>
  <si>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</si>
  <si>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</si>
  <si>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</si>
  <si>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</si>
  <si>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</si>
  <si>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</si>
  <si>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</si>
  <si>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</si>
  <si>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</si>
  <si>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</si>
  <si>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</si>
  <si>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</si>
  <si>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</si>
  <si>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</si>
  <si>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</si>
  <si>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</si>
  <si>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</si>
  <si>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</si>
  <si>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</si>
  <si>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</si>
  <si>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</si>
  <si>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</si>
  <si>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</si>
  <si>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</si>
  <si>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</si>
  <si>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</si>
  <si>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</si>
  <si>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</si>
  <si>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</si>
  <si>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</si>
  <si>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</si>
  <si>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</si>
  <si>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</si>
  <si>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</si>
  <si>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</si>
  <si>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</si>
  <si>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</si>
  <si>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</si>
  <si>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</si>
  <si>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</si>
  <si>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</si>
  <si>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</si>
  <si>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</si>
  <si>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</si>
  <si>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</si>
  <si>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</si>
  <si>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</si>
  <si>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</si>
  <si>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</si>
  <si>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</si>
  <si>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</si>
  <si>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</si>
  <si>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</si>
  <si>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</si>
  <si>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</si>
  <si>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</si>
  <si>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</si>
  <si>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</si>
  <si>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</si>
  <si>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</si>
  <si>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</si>
  <si>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</si>
  <si>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</si>
  <si>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</si>
  <si>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</si>
  <si>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</si>
  <si>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</si>
  <si>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</si>
  <si>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</si>
  <si>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</si>
  <si>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</si>
  <si>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</si>
  <si>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</si>
  <si>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</si>
  <si>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</si>
  <si>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</si>
  <si>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</si>
  <si>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</si>
  <si>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</si>
  <si>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</si>
  <si>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</si>
  <si>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</si>
  <si>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</si>
  <si>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</si>
  <si>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</si>
  <si>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</si>
  <si>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</si>
  <si>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</si>
  <si>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</si>
  <si>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</si>
  <si>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</si>
  <si>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</si>
  <si>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</si>
  <si>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</si>
  <si>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</si>
  <si>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</si>
  <si>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</si>
  <si>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</si>
  <si>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</si>
  <si>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</si>
  <si>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</si>
  <si>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</si>
  <si>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</si>
  <si>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</si>
  <si>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</si>
  <si>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</si>
  <si>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</si>
  <si>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</si>
  <si>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</si>
  <si>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</si>
  <si>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</si>
  <si>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</si>
  <si>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</si>
  <si>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</si>
  <si>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</si>
  <si>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</si>
  <si>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</si>
  <si>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</si>
  <si>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</si>
  <si>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</si>
  <si>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</si>
  <si>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</si>
  <si>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</si>
  <si>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</si>
  <si>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</si>
  <si>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</si>
  <si>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</si>
  <si>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</si>
  <si>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</si>
  <si>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</si>
  <si>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</si>
  <si>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</si>
  <si>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</si>
  <si>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</si>
  <si>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</si>
  <si>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</si>
  <si>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</si>
  <si>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</si>
  <si>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</si>
  <si>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</si>
  <si>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</si>
  <si>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</si>
  <si>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</si>
  <si>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</si>
  <si>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</si>
  <si>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</si>
  <si>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</si>
  <si>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</si>
  <si>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</si>
  <si>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</si>
  <si>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</si>
  <si>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</si>
  <si>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</si>
  <si>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</si>
  <si>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</si>
  <si>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</si>
  <si>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</si>
  <si>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</si>
  <si>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</si>
  <si>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</si>
  <si>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</si>
  <si>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</si>
  <si>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</si>
  <si>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</si>
  <si>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</si>
  <si>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</si>
  <si>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</si>
  <si>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</si>
  <si>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</si>
  <si>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</si>
  <si>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</si>
  <si>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</si>
  <si>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</si>
  <si>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</si>
  <si>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</si>
  <si>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</si>
  <si>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</si>
  <si>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</si>
  <si>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</si>
  <si>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</si>
  <si>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</si>
  <si>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</si>
  <si>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</si>
  <si>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</si>
  <si>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</si>
  <si>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</si>
  <si>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</si>
  <si>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</si>
  <si>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</si>
  <si>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</si>
  <si>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</si>
  <si>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</si>
  <si>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</si>
  <si>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</si>
  <si>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</si>
  <si>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</si>
  <si>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</si>
  <si>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</si>
  <si>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</si>
  <si>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</si>
  <si>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</si>
  <si>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</si>
  <si>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</si>
  <si>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</si>
  <si>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</si>
  <si>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</si>
  <si>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</si>
  <si>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</si>
  <si>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</si>
  <si>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</si>
  <si>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</si>
  <si>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</si>
  <si>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</si>
  <si>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</si>
  <si>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</si>
  <si>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</si>
  <si>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</si>
  <si>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</si>
  <si>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</si>
  <si>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</si>
  <si>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</si>
  <si>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</si>
  <si>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</si>
  <si>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42006</t>
  </si>
  <si>
    <t>DENDERMONDE</t>
  </si>
  <si>
    <t>Paarden&amp;pony's 200 - 600 kg</t>
  </si>
  <si>
    <t>Paarden&amp;pony's &lt; 200 kg</t>
  </si>
  <si>
    <t>referentietaak LNE (2017); Jaarverslag De Lijn (2015)</t>
  </si>
  <si>
    <t>op basis van VEA (maart 2018) en Inventaris Hernieuwbare Energiebronnen (juni 2018)</t>
  </si>
  <si>
    <t>VEA (januari 2017)</t>
  </si>
  <si>
    <t>VEA (juni 2018)</t>
  </si>
  <si>
    <t>Herman Fierlafijn</t>
  </si>
  <si>
    <t>Lindestraat 64 , 9200 Dendermonde</t>
  </si>
  <si>
    <t>WKK-0346 Herman Fierlafijn</t>
  </si>
  <si>
    <t>interne verbrandingsmotor</t>
  </si>
  <si>
    <t>WKK interne verbrandinsgmotor (gas)</t>
  </si>
  <si>
    <t>INTERGEM</t>
  </si>
  <si>
    <t>WKK-0487 AZ Sint-Blasius</t>
  </si>
  <si>
    <t>Kroonveldlaan 50 , 9200 Dendermonde</t>
  </si>
  <si>
    <t>Aquafin NV</t>
  </si>
  <si>
    <t>Dijkstraat 8 , 2630 Aartselaar</t>
  </si>
  <si>
    <t>BGS-0021 RWZI Dendermonde (NAI)</t>
  </si>
  <si>
    <t>biogas - RWZI</t>
  </si>
  <si>
    <t>niet WKK interne verbrandingsmotor (gas)</t>
  </si>
  <si>
    <t>Driebek 9 , 9200 Dendermonde</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</si>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</sst>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320009.98819581594</c:v>
                </c:pt>
                <c:pt idx="1">
                  <c:v>210275.41383761616</c:v>
                </c:pt>
                <c:pt idx="2">
                  <c:v>2967.9189999999999</c:v>
                </c:pt>
                <c:pt idx="3">
                  <c:v>7502.6392031481701</c:v>
                </c:pt>
                <c:pt idx="4">
                  <c:v>177753.82676102716</c:v>
                </c:pt>
                <c:pt idx="5">
                  <c:v>210757.27543980893</c:v>
                </c:pt>
                <c:pt idx="6">
                  <c:v>3980.0707379084979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79872128"/>
        <c:axId val="179873664"/>
      </c:barChart>
      <c:catAx>
        <c:axId val="179872128"/>
        <c:scaling>
          <c:orientation val="minMax"/>
        </c:scaling>
        <c:axPos val="b"/>
        <c:numFmt formatCode="General" sourceLinked="0"/>
        <c:tickLblPos val="nextTo"/>
        <c:crossAx val="179873664"/>
        <c:crosses val="autoZero"/>
        <c:auto val="1"/>
        <c:lblAlgn val="ctr"/>
        <c:lblOffset val="100"/>
      </c:catAx>
      <c:valAx>
        <c:axId val="179873664"/>
        <c:scaling>
          <c:orientation val="minMax"/>
        </c:scaling>
        <c:axPos val="l"/>
        <c:majorGridlines/>
        <c:numFmt formatCode="#,##0" sourceLinked="1"/>
        <c:tickLblPos val="nextTo"/>
        <c:crossAx val="1798721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320009.98819581594</c:v>
                </c:pt>
                <c:pt idx="1">
                  <c:v>210275.41383761616</c:v>
                </c:pt>
                <c:pt idx="2">
                  <c:v>2967.9189999999999</c:v>
                </c:pt>
                <c:pt idx="3">
                  <c:v>7502.6392031481701</c:v>
                </c:pt>
                <c:pt idx="4">
                  <c:v>177753.82676102716</c:v>
                </c:pt>
                <c:pt idx="5">
                  <c:v>210757.27543980893</c:v>
                </c:pt>
                <c:pt idx="6">
                  <c:v>3980.0707379084979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59990.707812287459</c:v>
                </c:pt>
                <c:pt idx="2">
                  <c:v>42020.07070741761</c:v>
                </c:pt>
                <c:pt idx="3">
                  <c:v>557.57682834244372</c:v>
                </c:pt>
                <c:pt idx="4">
                  <c:v>1793.0712784920768</c:v>
                </c:pt>
                <c:pt idx="5">
                  <c:v>33728.024052005145</c:v>
                </c:pt>
                <c:pt idx="6">
                  <c:v>53942.563235732625</c:v>
                </c:pt>
                <c:pt idx="7">
                  <c:v>1030.7086117673889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2463488"/>
        <c:axId val="182592256"/>
      </c:barChart>
      <c:catAx>
        <c:axId val="182463488"/>
        <c:scaling>
          <c:orientation val="minMax"/>
        </c:scaling>
        <c:axPos val="b"/>
        <c:numFmt formatCode="General" sourceLinked="0"/>
        <c:tickLblPos val="nextTo"/>
        <c:crossAx val="182592256"/>
        <c:crosses val="autoZero"/>
        <c:auto val="1"/>
        <c:lblAlgn val="ctr"/>
        <c:lblOffset val="100"/>
      </c:catAx>
      <c:valAx>
        <c:axId val="182592256"/>
        <c:scaling>
          <c:orientation val="minMax"/>
        </c:scaling>
        <c:axPos val="l"/>
        <c:majorGridlines/>
        <c:numFmt formatCode="#,##0" sourceLinked="1"/>
        <c:tickLblPos val="nextTo"/>
        <c:crossAx val="1824634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59990.707812287459</c:v>
                </c:pt>
                <c:pt idx="2">
                  <c:v>42020.07070741761</c:v>
                </c:pt>
                <c:pt idx="3">
                  <c:v>557.57682834244372</c:v>
                </c:pt>
                <c:pt idx="4">
                  <c:v>1793.0712784920768</c:v>
                </c:pt>
                <c:pt idx="5">
                  <c:v>33728.024052005145</c:v>
                </c:pt>
                <c:pt idx="6">
                  <c:v>53942.563235732625</c:v>
                </c:pt>
                <c:pt idx="7">
                  <c:v>1030.7086117673889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42006</v>
      </c>
      <c r="B6" s="415"/>
      <c r="C6" s="416"/>
    </row>
    <row r="7" spans="1:7" s="413" customFormat="1" ht="15.75" customHeight="1">
      <c r="A7" s="417" t="str">
        <f>txtMunicipality</f>
        <v>DENDERMONDE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87758.499845999992</v>
      </c>
      <c r="D10" s="1012">
        <f ca="1">tertiair!C16</f>
        <v>3535.7142857142858</v>
      </c>
      <c r="E10" s="1012">
        <f ca="1">tertiair!D16</f>
        <v>97753.563323766444</v>
      </c>
      <c r="F10" s="1012">
        <f>tertiair!E16</f>
        <v>1349.9615758964787</v>
      </c>
      <c r="G10" s="1012">
        <f ca="1">tertiair!F16</f>
        <v>19534.333769074397</v>
      </c>
      <c r="H10" s="1012">
        <f>tertiair!G16</f>
        <v>0</v>
      </c>
      <c r="I10" s="1012">
        <f>tertiair!H16</f>
        <v>0</v>
      </c>
      <c r="J10" s="1012">
        <f>tertiair!I16</f>
        <v>0</v>
      </c>
      <c r="K10" s="1012">
        <f>tertiair!J16</f>
        <v>0</v>
      </c>
      <c r="L10" s="1012">
        <f>tertiair!K16</f>
        <v>0</v>
      </c>
      <c r="M10" s="1012">
        <f ca="1">tertiair!L16</f>
        <v>0</v>
      </c>
      <c r="N10" s="1012">
        <f>tertiair!M16</f>
        <v>0</v>
      </c>
      <c r="O10" s="1012">
        <f ca="1">tertiair!N16</f>
        <v>3250.9333704978708</v>
      </c>
      <c r="P10" s="1012">
        <f>tertiair!O16</f>
        <v>3.1266666666666669</v>
      </c>
      <c r="Q10" s="1013">
        <f>tertiair!P16</f>
        <v>57.2</v>
      </c>
      <c r="R10" s="700">
        <f ca="1">SUM(C10:Q10)</f>
        <v>213243.33283761615</v>
      </c>
      <c r="S10" s="67"/>
    </row>
    <row r="11" spans="1:19" s="473" customFormat="1">
      <c r="A11" s="809" t="s">
        <v>225</v>
      </c>
      <c r="B11" s="814"/>
      <c r="C11" s="1012">
        <f>huishoudens!B8</f>
        <v>73904.420705005206</v>
      </c>
      <c r="D11" s="1012">
        <f>huishoudens!C8</f>
        <v>0</v>
      </c>
      <c r="E11" s="1012">
        <f>huishoudens!D8</f>
        <v>194088.11681160002</v>
      </c>
      <c r="F11" s="1012">
        <f>huishoudens!E8</f>
        <v>9818.5670673853037</v>
      </c>
      <c r="G11" s="1012">
        <f>huishoudens!F8</f>
        <v>11526.009984457072</v>
      </c>
      <c r="H11" s="1012">
        <f>huishoudens!G8</f>
        <v>0</v>
      </c>
      <c r="I11" s="1012">
        <f>huishoudens!H8</f>
        <v>0</v>
      </c>
      <c r="J11" s="1012">
        <f>huishoudens!I8</f>
        <v>0</v>
      </c>
      <c r="K11" s="1012">
        <f>huishoudens!J8</f>
        <v>4503.8914075941757</v>
      </c>
      <c r="L11" s="1012">
        <f>huishoudens!K8</f>
        <v>0</v>
      </c>
      <c r="M11" s="1012">
        <f>huishoudens!L8</f>
        <v>0</v>
      </c>
      <c r="N11" s="1012">
        <f>huishoudens!M8</f>
        <v>0</v>
      </c>
      <c r="O11" s="1012">
        <f>huishoudens!N8</f>
        <v>24255.328886440835</v>
      </c>
      <c r="P11" s="1012">
        <f>huishoudens!O8</f>
        <v>350.18666666666672</v>
      </c>
      <c r="Q11" s="1013">
        <f>huishoudens!P8</f>
        <v>1563.4666666666667</v>
      </c>
      <c r="R11" s="700">
        <f>SUM(C11:Q11)</f>
        <v>320009.98819581594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62523.796068809999</v>
      </c>
      <c r="D13" s="1012">
        <f>industrie!C18</f>
        <v>0</v>
      </c>
      <c r="E13" s="1012">
        <f>industrie!D18</f>
        <v>70035.725784545415</v>
      </c>
      <c r="F13" s="1012">
        <f>industrie!E18</f>
        <v>5547.6826624886053</v>
      </c>
      <c r="G13" s="1012">
        <f>industrie!F18</f>
        <v>24268.324397555873</v>
      </c>
      <c r="H13" s="1012">
        <f>industrie!G18</f>
        <v>0</v>
      </c>
      <c r="I13" s="1012">
        <f>industrie!H18</f>
        <v>0</v>
      </c>
      <c r="J13" s="1012">
        <f>industrie!I18</f>
        <v>0</v>
      </c>
      <c r="K13" s="1012">
        <f>industrie!J18</f>
        <v>270.12458290454225</v>
      </c>
      <c r="L13" s="1012">
        <f>industrie!K18</f>
        <v>0</v>
      </c>
      <c r="M13" s="1012">
        <f>industrie!L18</f>
        <v>0</v>
      </c>
      <c r="N13" s="1012">
        <f>industrie!M18</f>
        <v>0</v>
      </c>
      <c r="O13" s="1012">
        <f>industrie!N18</f>
        <v>15108.173264722755</v>
      </c>
      <c r="P13" s="1012">
        <f>industrie!O18</f>
        <v>0</v>
      </c>
      <c r="Q13" s="1013">
        <f>industrie!P18</f>
        <v>0</v>
      </c>
      <c r="R13" s="700">
        <f>SUM(C13:Q13)</f>
        <v>177753.82676102716</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224186.71661981521</v>
      </c>
      <c r="D16" s="732">
        <f t="shared" ref="D16:R16" ca="1" si="0">SUM(D9:D15)</f>
        <v>3535.7142857142858</v>
      </c>
      <c r="E16" s="732">
        <f t="shared" ca="1" si="0"/>
        <v>361877.40591991186</v>
      </c>
      <c r="F16" s="732">
        <f t="shared" si="0"/>
        <v>16716.21130577039</v>
      </c>
      <c r="G16" s="732">
        <f t="shared" ca="1" si="0"/>
        <v>55328.668151087346</v>
      </c>
      <c r="H16" s="732">
        <f t="shared" si="0"/>
        <v>0</v>
      </c>
      <c r="I16" s="732">
        <f t="shared" si="0"/>
        <v>0</v>
      </c>
      <c r="J16" s="732">
        <f t="shared" si="0"/>
        <v>0</v>
      </c>
      <c r="K16" s="732">
        <f t="shared" si="0"/>
        <v>4774.0159904987177</v>
      </c>
      <c r="L16" s="732">
        <f t="shared" si="0"/>
        <v>0</v>
      </c>
      <c r="M16" s="732">
        <f t="shared" ca="1" si="0"/>
        <v>0</v>
      </c>
      <c r="N16" s="732">
        <f t="shared" si="0"/>
        <v>0</v>
      </c>
      <c r="O16" s="732">
        <f t="shared" ca="1" si="0"/>
        <v>42614.435521661464</v>
      </c>
      <c r="P16" s="732">
        <f t="shared" si="0"/>
        <v>353.31333333333339</v>
      </c>
      <c r="Q16" s="732">
        <f t="shared" si="0"/>
        <v>1620.6666666666667</v>
      </c>
      <c r="R16" s="732">
        <f t="shared" ca="1" si="0"/>
        <v>711007.14779445925</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3860.3318792786099</v>
      </c>
      <c r="I19" s="1012">
        <f>transport!H54</f>
        <v>0</v>
      </c>
      <c r="J19" s="1012">
        <f>transport!I54</f>
        <v>0</v>
      </c>
      <c r="K19" s="1012">
        <f>transport!J54</f>
        <v>0</v>
      </c>
      <c r="L19" s="1012">
        <f>transport!K54</f>
        <v>0</v>
      </c>
      <c r="M19" s="1012">
        <f>transport!L54</f>
        <v>0</v>
      </c>
      <c r="N19" s="1012">
        <f>transport!M54</f>
        <v>119.7388586298879</v>
      </c>
      <c r="O19" s="1012">
        <f>transport!N54</f>
        <v>0</v>
      </c>
      <c r="P19" s="1012">
        <f>transport!O54</f>
        <v>0</v>
      </c>
      <c r="Q19" s="1013">
        <f>transport!P54</f>
        <v>0</v>
      </c>
      <c r="R19" s="700">
        <f>SUM(C19:Q19)</f>
        <v>3980.0707379084979</v>
      </c>
      <c r="S19" s="67"/>
    </row>
    <row r="20" spans="1:19" s="473" customFormat="1">
      <c r="A20" s="809" t="s">
        <v>307</v>
      </c>
      <c r="B20" s="814"/>
      <c r="C20" s="1012">
        <f>transport!B14</f>
        <v>53.028801185997992</v>
      </c>
      <c r="D20" s="1012">
        <f>transport!C14</f>
        <v>0</v>
      </c>
      <c r="E20" s="1012">
        <f>transport!D14</f>
        <v>123.99301412138342</v>
      </c>
      <c r="F20" s="1012">
        <f>transport!E14</f>
        <v>475.29743882149654</v>
      </c>
      <c r="G20" s="1012">
        <f>transport!F14</f>
        <v>0</v>
      </c>
      <c r="H20" s="1012">
        <f>transport!G14</f>
        <v>170501.17829414195</v>
      </c>
      <c r="I20" s="1012">
        <f>transport!H14</f>
        <v>33236.333783522685</v>
      </c>
      <c r="J20" s="1012">
        <f>transport!I14</f>
        <v>0</v>
      </c>
      <c r="K20" s="1012">
        <f>transport!J14</f>
        <v>0</v>
      </c>
      <c r="L20" s="1012">
        <f>transport!K14</f>
        <v>0</v>
      </c>
      <c r="M20" s="1012">
        <f>transport!L14</f>
        <v>0</v>
      </c>
      <c r="N20" s="1012">
        <f>transport!M14</f>
        <v>6367.4441080154093</v>
      </c>
      <c r="O20" s="1012">
        <f>transport!N14</f>
        <v>0</v>
      </c>
      <c r="P20" s="1012">
        <f>transport!O14</f>
        <v>0</v>
      </c>
      <c r="Q20" s="1013">
        <f>transport!P14</f>
        <v>0</v>
      </c>
      <c r="R20" s="700">
        <f>SUM(C20:Q20)</f>
        <v>210757.27543980893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53.028801185997992</v>
      </c>
      <c r="D22" s="812">
        <f t="shared" ref="D22:R22" si="1">SUM(D18:D21)</f>
        <v>0</v>
      </c>
      <c r="E22" s="812">
        <f t="shared" si="1"/>
        <v>123.99301412138342</v>
      </c>
      <c r="F22" s="812">
        <f t="shared" si="1"/>
        <v>475.29743882149654</v>
      </c>
      <c r="G22" s="812">
        <f t="shared" si="1"/>
        <v>0</v>
      </c>
      <c r="H22" s="812">
        <f t="shared" si="1"/>
        <v>174361.51017342057</v>
      </c>
      <c r="I22" s="812">
        <f t="shared" si="1"/>
        <v>33236.333783522685</v>
      </c>
      <c r="J22" s="812">
        <f t="shared" si="1"/>
        <v>0</v>
      </c>
      <c r="K22" s="812">
        <f t="shared" si="1"/>
        <v>0</v>
      </c>
      <c r="L22" s="812">
        <f t="shared" si="1"/>
        <v>0</v>
      </c>
      <c r="M22" s="812">
        <f t="shared" si="1"/>
        <v>0</v>
      </c>
      <c r="N22" s="812">
        <f t="shared" si="1"/>
        <v>6487.1829666452968</v>
      </c>
      <c r="O22" s="812">
        <f t="shared" si="1"/>
        <v>0</v>
      </c>
      <c r="P22" s="812">
        <f t="shared" si="1"/>
        <v>0</v>
      </c>
      <c r="Q22" s="812">
        <f t="shared" si="1"/>
        <v>0</v>
      </c>
      <c r="R22" s="812">
        <f t="shared" si="1"/>
        <v>214737.34617771744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1118.69675173</v>
      </c>
      <c r="D24" s="1012">
        <f>+landbouw!C8</f>
        <v>77.142857142857139</v>
      </c>
      <c r="E24" s="1012">
        <f>+landbouw!D8</f>
        <v>2027.8518481914002</v>
      </c>
      <c r="F24" s="1012">
        <f>+landbouw!E8</f>
        <v>28.846893928190003</v>
      </c>
      <c r="G24" s="1012">
        <f>+landbouw!F8</f>
        <v>4089.0496730203786</v>
      </c>
      <c r="H24" s="1012">
        <f>+landbouw!G8</f>
        <v>0</v>
      </c>
      <c r="I24" s="1012">
        <f>+landbouw!H8</f>
        <v>0</v>
      </c>
      <c r="J24" s="1012">
        <f>+landbouw!I8</f>
        <v>0</v>
      </c>
      <c r="K24" s="1012">
        <f>+landbouw!J8</f>
        <v>161.0511791353442</v>
      </c>
      <c r="L24" s="1012">
        <f>+landbouw!K8</f>
        <v>0</v>
      </c>
      <c r="M24" s="1012">
        <f>+landbouw!L8</f>
        <v>0</v>
      </c>
      <c r="N24" s="1012">
        <f>+landbouw!M8</f>
        <v>0</v>
      </c>
      <c r="O24" s="1012">
        <f>+landbouw!N8</f>
        <v>0</v>
      </c>
      <c r="P24" s="1012">
        <f>+landbouw!O8</f>
        <v>0</v>
      </c>
      <c r="Q24" s="1013">
        <f>+landbouw!P8</f>
        <v>0</v>
      </c>
      <c r="R24" s="700">
        <f>SUM(C24:Q24)</f>
        <v>7502.6392031481701</v>
      </c>
      <c r="S24" s="67"/>
    </row>
    <row r="25" spans="1:19" s="473" customFormat="1" ht="15" thickBot="1">
      <c r="A25" s="831" t="s">
        <v>848</v>
      </c>
      <c r="B25" s="1015"/>
      <c r="C25" s="1016">
        <f>IF(Onbekend_ele_kWh="---",0,Onbekend_ele_kWh)/1000+IF(REST_rest_ele_kWh="---",0,REST_rest_ele_kWh)/1000</f>
        <v>2227.8449158999997</v>
      </c>
      <c r="D25" s="1016"/>
      <c r="E25" s="1016">
        <f>IF(onbekend_gas_kWh="---",0,onbekend_gas_kWh)/1000+IF(REST_rest_gas_kWh="---",0,REST_rest_gas_kWh)/1000</f>
        <v>7185.1878908999997</v>
      </c>
      <c r="F25" s="1016"/>
      <c r="G25" s="1016"/>
      <c r="H25" s="1016"/>
      <c r="I25" s="1016"/>
      <c r="J25" s="1016"/>
      <c r="K25" s="1016"/>
      <c r="L25" s="1016"/>
      <c r="M25" s="1016"/>
      <c r="N25" s="1016"/>
      <c r="O25" s="1016"/>
      <c r="P25" s="1016"/>
      <c r="Q25" s="1017"/>
      <c r="R25" s="700">
        <f>SUM(C25:Q25)</f>
        <v>9413.0328067999999</v>
      </c>
      <c r="S25" s="67"/>
    </row>
    <row r="26" spans="1:19" s="473" customFormat="1" ht="15.75" thickBot="1">
      <c r="A26" s="705" t="s">
        <v>849</v>
      </c>
      <c r="B26" s="817"/>
      <c r="C26" s="812">
        <f>SUM(C24:C25)</f>
        <v>3346.5416676299997</v>
      </c>
      <c r="D26" s="812">
        <f t="shared" ref="D26:R26" si="2">SUM(D24:D25)</f>
        <v>77.142857142857139</v>
      </c>
      <c r="E26" s="812">
        <f t="shared" si="2"/>
        <v>9213.0397390914004</v>
      </c>
      <c r="F26" s="812">
        <f t="shared" si="2"/>
        <v>28.846893928190003</v>
      </c>
      <c r="G26" s="812">
        <f t="shared" si="2"/>
        <v>4089.0496730203786</v>
      </c>
      <c r="H26" s="812">
        <f t="shared" si="2"/>
        <v>0</v>
      </c>
      <c r="I26" s="812">
        <f t="shared" si="2"/>
        <v>0</v>
      </c>
      <c r="J26" s="812">
        <f t="shared" si="2"/>
        <v>0</v>
      </c>
      <c r="K26" s="812">
        <f t="shared" si="2"/>
        <v>161.0511791353442</v>
      </c>
      <c r="L26" s="812">
        <f t="shared" si="2"/>
        <v>0</v>
      </c>
      <c r="M26" s="812">
        <f t="shared" si="2"/>
        <v>0</v>
      </c>
      <c r="N26" s="812">
        <f t="shared" si="2"/>
        <v>0</v>
      </c>
      <c r="O26" s="812">
        <f t="shared" si="2"/>
        <v>0</v>
      </c>
      <c r="P26" s="812">
        <f t="shared" si="2"/>
        <v>0</v>
      </c>
      <c r="Q26" s="812">
        <f t="shared" si="2"/>
        <v>0</v>
      </c>
      <c r="R26" s="812">
        <f t="shared" si="2"/>
        <v>16915.672009948168</v>
      </c>
      <c r="S26" s="67"/>
    </row>
    <row r="27" spans="1:19" s="473" customFormat="1" ht="17.25" thickTop="1" thickBot="1">
      <c r="A27" s="706" t="s">
        <v>116</v>
      </c>
      <c r="B27" s="805"/>
      <c r="C27" s="707">
        <f ca="1">C22+C16+C26</f>
        <v>227586.28708863122</v>
      </c>
      <c r="D27" s="707">
        <f t="shared" ref="D27:R27" ca="1" si="3">D22+D16+D26</f>
        <v>3612.8571428571431</v>
      </c>
      <c r="E27" s="707">
        <f t="shared" ca="1" si="3"/>
        <v>371214.43867312465</v>
      </c>
      <c r="F27" s="707">
        <f t="shared" si="3"/>
        <v>17220.355638520075</v>
      </c>
      <c r="G27" s="707">
        <f t="shared" ca="1" si="3"/>
        <v>59417.717824107727</v>
      </c>
      <c r="H27" s="707">
        <f t="shared" si="3"/>
        <v>174361.51017342057</v>
      </c>
      <c r="I27" s="707">
        <f t="shared" si="3"/>
        <v>33236.333783522685</v>
      </c>
      <c r="J27" s="707">
        <f t="shared" si="3"/>
        <v>0</v>
      </c>
      <c r="K27" s="707">
        <f t="shared" si="3"/>
        <v>4935.0671696340614</v>
      </c>
      <c r="L27" s="707">
        <f t="shared" si="3"/>
        <v>0</v>
      </c>
      <c r="M27" s="707">
        <f t="shared" ca="1" si="3"/>
        <v>0</v>
      </c>
      <c r="N27" s="707">
        <f t="shared" si="3"/>
        <v>6487.1829666452968</v>
      </c>
      <c r="O27" s="707">
        <f t="shared" ca="1" si="3"/>
        <v>42614.435521661464</v>
      </c>
      <c r="P27" s="707">
        <f t="shared" si="3"/>
        <v>353.31333333333339</v>
      </c>
      <c r="Q27" s="707">
        <f t="shared" si="3"/>
        <v>1620.6666666666667</v>
      </c>
      <c r="R27" s="707">
        <f t="shared" ca="1" si="3"/>
        <v>942660.16598212486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16487.008575444113</v>
      </c>
      <c r="D40" s="1012">
        <f ca="1">tertiair!C20</f>
        <v>822.31077484374532</v>
      </c>
      <c r="E40" s="1012">
        <f ca="1">tertiair!D20</f>
        <v>19746.219791400825</v>
      </c>
      <c r="F40" s="1012">
        <f>tertiair!E20</f>
        <v>306.44127772850067</v>
      </c>
      <c r="G40" s="1012">
        <f ca="1">tertiair!F20</f>
        <v>5215.6671163428646</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42577.64753576005</v>
      </c>
    </row>
    <row r="41" spans="1:18">
      <c r="A41" s="822" t="s">
        <v>225</v>
      </c>
      <c r="B41" s="829"/>
      <c r="C41" s="1012">
        <f ca="1">huishoudens!B12</f>
        <v>13884.271267909411</v>
      </c>
      <c r="D41" s="1012">
        <f ca="1">huishoudens!C12</f>
        <v>0</v>
      </c>
      <c r="E41" s="1012">
        <f>huishoudens!D12</f>
        <v>39205.799595943208</v>
      </c>
      <c r="F41" s="1012">
        <f>huishoudens!E12</f>
        <v>2228.8147242964642</v>
      </c>
      <c r="G41" s="1012">
        <f>huishoudens!F12</f>
        <v>3077.4446658500383</v>
      </c>
      <c r="H41" s="1012">
        <f>huishoudens!G12</f>
        <v>0</v>
      </c>
      <c r="I41" s="1012">
        <f>huishoudens!H12</f>
        <v>0</v>
      </c>
      <c r="J41" s="1012">
        <f>huishoudens!I12</f>
        <v>0</v>
      </c>
      <c r="K41" s="1012">
        <f>huishoudens!J12</f>
        <v>1594.3775582883382</v>
      </c>
      <c r="L41" s="1012">
        <f>huishoudens!K12</f>
        <v>0</v>
      </c>
      <c r="M41" s="1012">
        <f>huishoudens!L12</f>
        <v>0</v>
      </c>
      <c r="N41" s="1012">
        <f>huishoudens!M12</f>
        <v>0</v>
      </c>
      <c r="O41" s="1012">
        <f>huishoudens!N12</f>
        <v>0</v>
      </c>
      <c r="P41" s="1012">
        <f>huishoudens!O12</f>
        <v>0</v>
      </c>
      <c r="Q41" s="774">
        <f>huishoudens!P12</f>
        <v>0</v>
      </c>
      <c r="R41" s="850">
        <f t="shared" ca="1" si="4"/>
        <v>59990.707812287459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11746.216762646431</v>
      </c>
      <c r="D43" s="1012">
        <f ca="1">industrie!C22</f>
        <v>0</v>
      </c>
      <c r="E43" s="1012">
        <f>industrie!D22</f>
        <v>14147.216608478175</v>
      </c>
      <c r="F43" s="1012">
        <f>industrie!E22</f>
        <v>1259.3239643849133</v>
      </c>
      <c r="G43" s="1012">
        <f>industrie!F22</f>
        <v>6479.6426141474185</v>
      </c>
      <c r="H43" s="1012">
        <f>industrie!G22</f>
        <v>0</v>
      </c>
      <c r="I43" s="1012">
        <f>industrie!H22</f>
        <v>0</v>
      </c>
      <c r="J43" s="1012">
        <f>industrie!I22</f>
        <v>0</v>
      </c>
      <c r="K43" s="1012">
        <f>industrie!J22</f>
        <v>95.624102348207956</v>
      </c>
      <c r="L43" s="1012">
        <f>industrie!K22</f>
        <v>0</v>
      </c>
      <c r="M43" s="1012">
        <f>industrie!L22</f>
        <v>0</v>
      </c>
      <c r="N43" s="1012">
        <f>industrie!M22</f>
        <v>0</v>
      </c>
      <c r="O43" s="1012">
        <f>industrie!N22</f>
        <v>0</v>
      </c>
      <c r="P43" s="1012">
        <f>industrie!O22</f>
        <v>0</v>
      </c>
      <c r="Q43" s="774">
        <f>industrie!P22</f>
        <v>0</v>
      </c>
      <c r="R43" s="849">
        <f t="shared" ca="1" si="4"/>
        <v>33728.024052005145</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42117.496605999957</v>
      </c>
      <c r="D46" s="732">
        <f t="shared" ref="D46:Q46" ca="1" si="5">SUM(D39:D45)</f>
        <v>822.31077484374532</v>
      </c>
      <c r="E46" s="732">
        <f t="shared" ca="1" si="5"/>
        <v>73099.235995822208</v>
      </c>
      <c r="F46" s="732">
        <f t="shared" si="5"/>
        <v>3794.5799664098781</v>
      </c>
      <c r="G46" s="732">
        <f t="shared" ca="1" si="5"/>
        <v>14772.754396340322</v>
      </c>
      <c r="H46" s="732">
        <f t="shared" si="5"/>
        <v>0</v>
      </c>
      <c r="I46" s="732">
        <f t="shared" si="5"/>
        <v>0</v>
      </c>
      <c r="J46" s="732">
        <f t="shared" si="5"/>
        <v>0</v>
      </c>
      <c r="K46" s="732">
        <f t="shared" si="5"/>
        <v>1690.0016606365461</v>
      </c>
      <c r="L46" s="732">
        <f t="shared" si="5"/>
        <v>0</v>
      </c>
      <c r="M46" s="732">
        <f t="shared" ca="1" si="5"/>
        <v>0</v>
      </c>
      <c r="N46" s="732">
        <f t="shared" si="5"/>
        <v>0</v>
      </c>
      <c r="O46" s="732">
        <f t="shared" ca="1" si="5"/>
        <v>0</v>
      </c>
      <c r="P46" s="732">
        <f t="shared" si="5"/>
        <v>0</v>
      </c>
      <c r="Q46" s="732">
        <f t="shared" si="5"/>
        <v>0</v>
      </c>
      <c r="R46" s="732">
        <f ca="1">SUM(R39:R45)</f>
        <v>136296.37940005265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1030.7086117673889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1030.7086117673889</v>
      </c>
    </row>
    <row r="50" spans="1:18">
      <c r="A50" s="825" t="s">
        <v>307</v>
      </c>
      <c r="B50" s="835"/>
      <c r="C50" s="703">
        <f ca="1">transport!B18</f>
        <v>9.9624116345799116</v>
      </c>
      <c r="D50" s="703">
        <f>transport!C18</f>
        <v>0</v>
      </c>
      <c r="E50" s="703">
        <f>transport!D18</f>
        <v>25.046588852519452</v>
      </c>
      <c r="F50" s="703">
        <f>transport!E18</f>
        <v>107.89251861247972</v>
      </c>
      <c r="G50" s="703">
        <f>transport!F18</f>
        <v>0</v>
      </c>
      <c r="H50" s="703">
        <f>transport!G18</f>
        <v>45523.814604535903</v>
      </c>
      <c r="I50" s="703">
        <f>transport!H18</f>
        <v>8275.8471120971481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53942.563235732625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9.9624116345799116</v>
      </c>
      <c r="D52" s="732">
        <f t="shared" ref="D52:Q52" ca="1" si="6">SUM(D48:D51)</f>
        <v>0</v>
      </c>
      <c r="E52" s="732">
        <f t="shared" si="6"/>
        <v>25.046588852519452</v>
      </c>
      <c r="F52" s="732">
        <f t="shared" si="6"/>
        <v>107.89251861247972</v>
      </c>
      <c r="G52" s="732">
        <f t="shared" si="6"/>
        <v>0</v>
      </c>
      <c r="H52" s="732">
        <f t="shared" si="6"/>
        <v>46554.523216303292</v>
      </c>
      <c r="I52" s="732">
        <f t="shared" si="6"/>
        <v>8275.8471120971481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54973.271847500015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210.16725412877091</v>
      </c>
      <c r="D54" s="703">
        <f ca="1">+landbouw!C12</f>
        <v>17.941325996590805</v>
      </c>
      <c r="E54" s="703">
        <f>+landbouw!D12</f>
        <v>409.62607333466286</v>
      </c>
      <c r="F54" s="703">
        <f>+landbouw!E12</f>
        <v>6.5482449216991307</v>
      </c>
      <c r="G54" s="703">
        <f>+landbouw!F12</f>
        <v>1091.7762626964411</v>
      </c>
      <c r="H54" s="703">
        <f>+landbouw!G12</f>
        <v>0</v>
      </c>
      <c r="I54" s="703">
        <f>+landbouw!H12</f>
        <v>0</v>
      </c>
      <c r="J54" s="703">
        <f>+landbouw!I12</f>
        <v>0</v>
      </c>
      <c r="K54" s="703">
        <f>+landbouw!J12</f>
        <v>57.012117413911845</v>
      </c>
      <c r="L54" s="703">
        <f>+landbouw!K12</f>
        <v>0</v>
      </c>
      <c r="M54" s="703">
        <f>+landbouw!L12</f>
        <v>0</v>
      </c>
      <c r="N54" s="703">
        <f>+landbouw!M12</f>
        <v>0</v>
      </c>
      <c r="O54" s="703">
        <f>+landbouw!N12</f>
        <v>0</v>
      </c>
      <c r="P54" s="703">
        <f>+landbouw!O12</f>
        <v>0</v>
      </c>
      <c r="Q54" s="704">
        <f>+landbouw!P12</f>
        <v>0</v>
      </c>
      <c r="R54" s="731">
        <f ca="1">SUM(C54:Q54)</f>
        <v>1793.0712784920768</v>
      </c>
    </row>
    <row r="55" spans="1:18" ht="15" thickBot="1">
      <c r="A55" s="825" t="s">
        <v>848</v>
      </c>
      <c r="B55" s="835"/>
      <c r="C55" s="703">
        <f ca="1">C25*'EF ele_warmte'!B12</f>
        <v>418.5406347836178</v>
      </c>
      <c r="D55" s="703"/>
      <c r="E55" s="703">
        <f>E25*EF_CO2_aardgas</f>
        <v>1451.4079539618001</v>
      </c>
      <c r="F55" s="703"/>
      <c r="G55" s="703"/>
      <c r="H55" s="703"/>
      <c r="I55" s="703"/>
      <c r="J55" s="703"/>
      <c r="K55" s="703"/>
      <c r="L55" s="703"/>
      <c r="M55" s="703"/>
      <c r="N55" s="703"/>
      <c r="O55" s="703"/>
      <c r="P55" s="703"/>
      <c r="Q55" s="704"/>
      <c r="R55" s="731">
        <f ca="1">SUM(C55:Q55)</f>
        <v>1869.948588745418</v>
      </c>
    </row>
    <row r="56" spans="1:18" ht="15.75" thickBot="1">
      <c r="A56" s="823" t="s">
        <v>849</v>
      </c>
      <c r="B56" s="836"/>
      <c r="C56" s="732">
        <f ca="1">SUM(C54:C55)</f>
        <v>628.70788891238874</v>
      </c>
      <c r="D56" s="732">
        <f t="shared" ref="D56:Q56" ca="1" si="7">SUM(D54:D55)</f>
        <v>17.941325996590805</v>
      </c>
      <c r="E56" s="732">
        <f t="shared" si="7"/>
        <v>1861.0340272964629</v>
      </c>
      <c r="F56" s="732">
        <f t="shared" si="7"/>
        <v>6.5482449216991307</v>
      </c>
      <c r="G56" s="732">
        <f t="shared" si="7"/>
        <v>1091.7762626964411</v>
      </c>
      <c r="H56" s="732">
        <f t="shared" si="7"/>
        <v>0</v>
      </c>
      <c r="I56" s="732">
        <f t="shared" si="7"/>
        <v>0</v>
      </c>
      <c r="J56" s="732">
        <f t="shared" si="7"/>
        <v>0</v>
      </c>
      <c r="K56" s="732">
        <f t="shared" si="7"/>
        <v>57.012117413911845</v>
      </c>
      <c r="L56" s="732">
        <f t="shared" si="7"/>
        <v>0</v>
      </c>
      <c r="M56" s="732">
        <f t="shared" si="7"/>
        <v>0</v>
      </c>
      <c r="N56" s="732">
        <f t="shared" si="7"/>
        <v>0</v>
      </c>
      <c r="O56" s="732">
        <f t="shared" si="7"/>
        <v>0</v>
      </c>
      <c r="P56" s="732">
        <f t="shared" si="7"/>
        <v>0</v>
      </c>
      <c r="Q56" s="733">
        <f t="shared" si="7"/>
        <v>0</v>
      </c>
      <c r="R56" s="734">
        <f ca="1">SUM(R54:R55)</f>
        <v>3663.0198672374945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42756.166906546925</v>
      </c>
      <c r="D61" s="740">
        <f t="shared" ref="D61:Q61" ca="1" si="8">D46+D52+D56</f>
        <v>840.25210084033608</v>
      </c>
      <c r="E61" s="740">
        <f t="shared" ca="1" si="8"/>
        <v>74985.316611971197</v>
      </c>
      <c r="F61" s="740">
        <f t="shared" si="8"/>
        <v>3909.0207299440572</v>
      </c>
      <c r="G61" s="740">
        <f t="shared" ca="1" si="8"/>
        <v>15864.530659036764</v>
      </c>
      <c r="H61" s="740">
        <f t="shared" si="8"/>
        <v>46554.523216303292</v>
      </c>
      <c r="I61" s="740">
        <f t="shared" si="8"/>
        <v>8275.8471120971481</v>
      </c>
      <c r="J61" s="740">
        <f t="shared" si="8"/>
        <v>0</v>
      </c>
      <c r="K61" s="740">
        <f t="shared" si="8"/>
        <v>1747.0137780504581</v>
      </c>
      <c r="L61" s="740">
        <f t="shared" si="8"/>
        <v>0</v>
      </c>
      <c r="M61" s="740">
        <f t="shared" ca="1" si="8"/>
        <v>0</v>
      </c>
      <c r="N61" s="740">
        <f t="shared" si="8"/>
        <v>0</v>
      </c>
      <c r="O61" s="740">
        <f t="shared" ca="1" si="8"/>
        <v>0</v>
      </c>
      <c r="P61" s="740">
        <f t="shared" si="8"/>
        <v>0</v>
      </c>
      <c r="Q61" s="740">
        <f t="shared" si="8"/>
        <v>0</v>
      </c>
      <c r="R61" s="740">
        <f ca="1">R46+R52+R56</f>
        <v>194932.67111479014</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0.18786793990753917</v>
      </c>
      <c r="D63" s="781">
        <f t="shared" ca="1" si="9"/>
        <v>0.23257274440025116</v>
      </c>
      <c r="E63" s="1023">
        <f t="shared" ca="1" si="9"/>
        <v>0.20200000000000004</v>
      </c>
      <c r="F63" s="781">
        <f t="shared" si="9"/>
        <v>0.22700000000000001</v>
      </c>
      <c r="G63" s="781">
        <f t="shared" ca="1" si="9"/>
        <v>0.26700000000000002</v>
      </c>
      <c r="H63" s="781">
        <f t="shared" si="9"/>
        <v>0.26700000000000002</v>
      </c>
      <c r="I63" s="781">
        <f t="shared" si="9"/>
        <v>0.249</v>
      </c>
      <c r="J63" s="781">
        <f t="shared" si="9"/>
        <v>0</v>
      </c>
      <c r="K63" s="781">
        <f t="shared" si="9"/>
        <v>0.35400000000000009</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15698.276525698666</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16114.623974884193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54.000000000000007</v>
      </c>
      <c r="C76" s="750">
        <f>'lokale energieproductie'!B8*IFERROR(SUM(D76:H76)/SUM(D76:O76),0)</f>
        <v>2475</v>
      </c>
      <c r="D76" s="1033">
        <f>'lokale energieproductie'!C8</f>
        <v>2911.7647058823527</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63.529411764705891</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588.17647058823525</v>
      </c>
      <c r="R76" s="852">
        <v>0</v>
      </c>
    </row>
    <row r="77" spans="1:18" ht="30.75" thickBot="1">
      <c r="A77" s="753" t="s">
        <v>353</v>
      </c>
      <c r="B77" s="750">
        <f>'lokale energieproductie'!B9*IFERROR(SUM(I77:O77)/SUM(D77:O77),0)</f>
        <v>2439</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6968.5714285714294</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34305.900500582859</v>
      </c>
      <c r="C78" s="755">
        <f>SUM(C72:C77)</f>
        <v>2475</v>
      </c>
      <c r="D78" s="756">
        <f t="shared" ref="D78:H78" si="10">SUM(D76:D77)</f>
        <v>2911.7647058823527</v>
      </c>
      <c r="E78" s="756">
        <f t="shared" si="10"/>
        <v>0</v>
      </c>
      <c r="F78" s="756">
        <f t="shared" si="10"/>
        <v>0</v>
      </c>
      <c r="G78" s="756">
        <f t="shared" si="10"/>
        <v>0</v>
      </c>
      <c r="H78" s="756">
        <f t="shared" si="10"/>
        <v>0</v>
      </c>
      <c r="I78" s="756">
        <f>SUM(I76:I77)</f>
        <v>0</v>
      </c>
      <c r="J78" s="756">
        <f>SUM(J76:J77)</f>
        <v>7032.1008403361357</v>
      </c>
      <c r="K78" s="756">
        <f t="shared" ref="K78:L78" si="11">SUM(K76:K77)</f>
        <v>0</v>
      </c>
      <c r="L78" s="756">
        <f t="shared" si="11"/>
        <v>0</v>
      </c>
      <c r="M78" s="756">
        <f>SUM(M76:M77)</f>
        <v>0</v>
      </c>
      <c r="N78" s="756">
        <f>SUM(N76:N77)</f>
        <v>0</v>
      </c>
      <c r="O78" s="860">
        <f>SUM(O76:O77)</f>
        <v>0</v>
      </c>
      <c r="P78" s="757">
        <v>0</v>
      </c>
      <c r="Q78" s="757">
        <f>SUM(Q76:Q77)</f>
        <v>588.17647058823525</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77.142857142857167</v>
      </c>
      <c r="C87" s="766">
        <f>'lokale energieproductie'!B17*IFERROR(SUM(D87:H87)/SUM(D87:O87),0)</f>
        <v>3535.7142857142858</v>
      </c>
      <c r="D87" s="777">
        <f>'lokale energieproductie'!C17</f>
        <v>4159.6638655462184</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90.756302521008422</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840.2521008403362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77.142857142857167</v>
      </c>
      <c r="C90" s="755">
        <f>SUM(C87:C89)</f>
        <v>3535.7142857142858</v>
      </c>
      <c r="D90" s="755">
        <f t="shared" ref="D90:H90" si="12">SUM(D87:D89)</f>
        <v>4159.6638655462184</v>
      </c>
      <c r="E90" s="755">
        <f t="shared" si="12"/>
        <v>0</v>
      </c>
      <c r="F90" s="755">
        <f t="shared" si="12"/>
        <v>0</v>
      </c>
      <c r="G90" s="755">
        <f t="shared" si="12"/>
        <v>0</v>
      </c>
      <c r="H90" s="755">
        <f t="shared" si="12"/>
        <v>0</v>
      </c>
      <c r="I90" s="755">
        <f>SUM(I87:I89)</f>
        <v>0</v>
      </c>
      <c r="J90" s="755">
        <f>SUM(J87:J89)</f>
        <v>90.756302521008422</v>
      </c>
      <c r="K90" s="755">
        <f t="shared" ref="K90:L90" si="13">SUM(K87:K89)</f>
        <v>0</v>
      </c>
      <c r="L90" s="755">
        <f t="shared" si="13"/>
        <v>0</v>
      </c>
      <c r="M90" s="755">
        <f>SUM(M87:M89)</f>
        <v>0</v>
      </c>
      <c r="N90" s="755">
        <f>SUM(N87:N89)</f>
        <v>0</v>
      </c>
      <c r="O90" s="755">
        <f>SUM(O87:O89)</f>
        <v>0</v>
      </c>
      <c r="P90" s="755">
        <v>0</v>
      </c>
      <c r="Q90" s="755">
        <f>SUM(Q87:Q89)</f>
        <v>840.2521008403362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73904.420705005206</v>
      </c>
      <c r="C4" s="477">
        <f>huishoudens!C8</f>
        <v>0</v>
      </c>
      <c r="D4" s="477">
        <f>huishoudens!D8</f>
        <v>194088.11681160002</v>
      </c>
      <c r="E4" s="477">
        <f>huishoudens!E8</f>
        <v>9818.5670673853037</v>
      </c>
      <c r="F4" s="477">
        <f>huishoudens!F8</f>
        <v>11526.009984457072</v>
      </c>
      <c r="G4" s="477">
        <f>huishoudens!G8</f>
        <v>0</v>
      </c>
      <c r="H4" s="477">
        <f>huishoudens!H8</f>
        <v>0</v>
      </c>
      <c r="I4" s="477">
        <f>huishoudens!I8</f>
        <v>0</v>
      </c>
      <c r="J4" s="477">
        <f>huishoudens!J8</f>
        <v>4503.8914075941757</v>
      </c>
      <c r="K4" s="477">
        <f>huishoudens!K8</f>
        <v>0</v>
      </c>
      <c r="L4" s="477">
        <f>huishoudens!L8</f>
        <v>0</v>
      </c>
      <c r="M4" s="477">
        <f>huishoudens!M8</f>
        <v>0</v>
      </c>
      <c r="N4" s="477">
        <f>huishoudens!N8</f>
        <v>24255.328886440835</v>
      </c>
      <c r="O4" s="477">
        <f>huishoudens!O8</f>
        <v>350.18666666666672</v>
      </c>
      <c r="P4" s="478">
        <f>huishoudens!P8</f>
        <v>1563.4666666666667</v>
      </c>
      <c r="Q4" s="479">
        <f>SUM(B4:P4)</f>
        <v>320009.98819581594</v>
      </c>
    </row>
    <row r="5" spans="1:17">
      <c r="A5" s="476" t="s">
        <v>156</v>
      </c>
      <c r="B5" s="477">
        <f ca="1">tertiair!B16</f>
        <v>84790.580845999997</v>
      </c>
      <c r="C5" s="477">
        <f ca="1">tertiair!C16</f>
        <v>3535.7142857142858</v>
      </c>
      <c r="D5" s="477">
        <f ca="1">tertiair!D16</f>
        <v>97753.563323766444</v>
      </c>
      <c r="E5" s="477">
        <f>tertiair!E16</f>
        <v>1349.9615758964787</v>
      </c>
      <c r="F5" s="477">
        <f ca="1">tertiair!F16</f>
        <v>19534.333769074397</v>
      </c>
      <c r="G5" s="477">
        <f>tertiair!G16</f>
        <v>0</v>
      </c>
      <c r="H5" s="477">
        <f>tertiair!H16</f>
        <v>0</v>
      </c>
      <c r="I5" s="477">
        <f>tertiair!I16</f>
        <v>0</v>
      </c>
      <c r="J5" s="477">
        <f>tertiair!J16</f>
        <v>0</v>
      </c>
      <c r="K5" s="477">
        <f>tertiair!K16</f>
        <v>0</v>
      </c>
      <c r="L5" s="477">
        <f ca="1">tertiair!L16</f>
        <v>0</v>
      </c>
      <c r="M5" s="477">
        <f>tertiair!M16</f>
        <v>0</v>
      </c>
      <c r="N5" s="477">
        <f ca="1">tertiair!N16</f>
        <v>3250.9333704978708</v>
      </c>
      <c r="O5" s="477">
        <f>tertiair!O16</f>
        <v>3.1266666666666669</v>
      </c>
      <c r="P5" s="478">
        <f>tertiair!P16</f>
        <v>57.2</v>
      </c>
      <c r="Q5" s="476">
        <f t="shared" ref="Q5:Q14" ca="1" si="0">SUM(B5:P5)</f>
        <v>210275.41383761616</v>
      </c>
    </row>
    <row r="6" spans="1:17">
      <c r="A6" s="476" t="s">
        <v>194</v>
      </c>
      <c r="B6" s="477">
        <f>'openbare verlichting'!B8</f>
        <v>2967.9189999999999</v>
      </c>
      <c r="C6" s="477"/>
      <c r="D6" s="477"/>
      <c r="E6" s="477"/>
      <c r="F6" s="477"/>
      <c r="G6" s="477"/>
      <c r="H6" s="477"/>
      <c r="I6" s="477"/>
      <c r="J6" s="477"/>
      <c r="K6" s="477"/>
      <c r="L6" s="477"/>
      <c r="M6" s="477"/>
      <c r="N6" s="477"/>
      <c r="O6" s="477"/>
      <c r="P6" s="478"/>
      <c r="Q6" s="476">
        <f t="shared" si="0"/>
        <v>2967.9189999999999</v>
      </c>
    </row>
    <row r="7" spans="1:17">
      <c r="A7" s="476" t="s">
        <v>112</v>
      </c>
      <c r="B7" s="477">
        <f>landbouw!B8</f>
        <v>1118.69675173</v>
      </c>
      <c r="C7" s="477">
        <f>landbouw!C8</f>
        <v>77.142857142857139</v>
      </c>
      <c r="D7" s="477">
        <f>landbouw!D8</f>
        <v>2027.8518481914002</v>
      </c>
      <c r="E7" s="477">
        <f>landbouw!E8</f>
        <v>28.846893928190003</v>
      </c>
      <c r="F7" s="477">
        <f>landbouw!F8</f>
        <v>4089.0496730203786</v>
      </c>
      <c r="G7" s="477">
        <f>landbouw!G8</f>
        <v>0</v>
      </c>
      <c r="H7" s="477">
        <f>landbouw!H8</f>
        <v>0</v>
      </c>
      <c r="I7" s="477">
        <f>landbouw!I8</f>
        <v>0</v>
      </c>
      <c r="J7" s="477">
        <f>landbouw!J8</f>
        <v>161.0511791353442</v>
      </c>
      <c r="K7" s="477">
        <f>landbouw!K8</f>
        <v>0</v>
      </c>
      <c r="L7" s="477">
        <f>landbouw!L8</f>
        <v>0</v>
      </c>
      <c r="M7" s="477">
        <f>landbouw!M8</f>
        <v>0</v>
      </c>
      <c r="N7" s="477">
        <f>landbouw!N8</f>
        <v>0</v>
      </c>
      <c r="O7" s="477">
        <f>landbouw!O8</f>
        <v>0</v>
      </c>
      <c r="P7" s="478">
        <f>landbouw!P8</f>
        <v>0</v>
      </c>
      <c r="Q7" s="476">
        <f t="shared" si="0"/>
        <v>7502.6392031481701</v>
      </c>
    </row>
    <row r="8" spans="1:17">
      <c r="A8" s="476" t="s">
        <v>638</v>
      </c>
      <c r="B8" s="477">
        <f>industrie!B18</f>
        <v>62523.796068809999</v>
      </c>
      <c r="C8" s="477">
        <f>industrie!C18</f>
        <v>0</v>
      </c>
      <c r="D8" s="477">
        <f>industrie!D18</f>
        <v>70035.725784545415</v>
      </c>
      <c r="E8" s="477">
        <f>industrie!E18</f>
        <v>5547.6826624886053</v>
      </c>
      <c r="F8" s="477">
        <f>industrie!F18</f>
        <v>24268.324397555873</v>
      </c>
      <c r="G8" s="477">
        <f>industrie!G18</f>
        <v>0</v>
      </c>
      <c r="H8" s="477">
        <f>industrie!H18</f>
        <v>0</v>
      </c>
      <c r="I8" s="477">
        <f>industrie!I18</f>
        <v>0</v>
      </c>
      <c r="J8" s="477">
        <f>industrie!J18</f>
        <v>270.12458290454225</v>
      </c>
      <c r="K8" s="477">
        <f>industrie!K18</f>
        <v>0</v>
      </c>
      <c r="L8" s="477">
        <f>industrie!L18</f>
        <v>0</v>
      </c>
      <c r="M8" s="477">
        <f>industrie!M18</f>
        <v>0</v>
      </c>
      <c r="N8" s="477">
        <f>industrie!N18</f>
        <v>15108.173264722755</v>
      </c>
      <c r="O8" s="477">
        <f>industrie!O18</f>
        <v>0</v>
      </c>
      <c r="P8" s="478">
        <f>industrie!P18</f>
        <v>0</v>
      </c>
      <c r="Q8" s="476">
        <f t="shared" si="0"/>
        <v>177753.82676102716</v>
      </c>
    </row>
    <row r="9" spans="1:17" s="482" customFormat="1">
      <c r="A9" s="480" t="s">
        <v>564</v>
      </c>
      <c r="B9" s="481">
        <f>transport!B14</f>
        <v>53.028801185997992</v>
      </c>
      <c r="C9" s="481">
        <f>transport!C14</f>
        <v>0</v>
      </c>
      <c r="D9" s="481">
        <f>transport!D14</f>
        <v>123.99301412138342</v>
      </c>
      <c r="E9" s="481">
        <f>transport!E14</f>
        <v>475.29743882149654</v>
      </c>
      <c r="F9" s="481">
        <f>transport!F14</f>
        <v>0</v>
      </c>
      <c r="G9" s="481">
        <f>transport!G14</f>
        <v>170501.17829414195</v>
      </c>
      <c r="H9" s="481">
        <f>transport!H14</f>
        <v>33236.333783522685</v>
      </c>
      <c r="I9" s="481">
        <f>transport!I14</f>
        <v>0</v>
      </c>
      <c r="J9" s="481">
        <f>transport!J14</f>
        <v>0</v>
      </c>
      <c r="K9" s="481">
        <f>transport!K14</f>
        <v>0</v>
      </c>
      <c r="L9" s="481">
        <f>transport!L14</f>
        <v>0</v>
      </c>
      <c r="M9" s="481">
        <f>transport!M14</f>
        <v>6367.4441080154093</v>
      </c>
      <c r="N9" s="481">
        <f>transport!N14</f>
        <v>0</v>
      </c>
      <c r="O9" s="481">
        <f>transport!O14</f>
        <v>0</v>
      </c>
      <c r="P9" s="481">
        <f>transport!P14</f>
        <v>0</v>
      </c>
      <c r="Q9" s="480">
        <f>SUM(B9:P9)</f>
        <v>210757.27543980893</v>
      </c>
    </row>
    <row r="10" spans="1:17">
      <c r="A10" s="476" t="s">
        <v>554</v>
      </c>
      <c r="B10" s="477">
        <f>transport!B54</f>
        <v>0</v>
      </c>
      <c r="C10" s="477">
        <f>transport!C54</f>
        <v>0</v>
      </c>
      <c r="D10" s="477">
        <f>transport!D54</f>
        <v>0</v>
      </c>
      <c r="E10" s="477">
        <f>transport!E54</f>
        <v>0</v>
      </c>
      <c r="F10" s="477">
        <f>transport!F54</f>
        <v>0</v>
      </c>
      <c r="G10" s="477">
        <f>transport!G54</f>
        <v>3860.3318792786099</v>
      </c>
      <c r="H10" s="477">
        <f>transport!H54</f>
        <v>0</v>
      </c>
      <c r="I10" s="477">
        <f>transport!I54</f>
        <v>0</v>
      </c>
      <c r="J10" s="477">
        <f>transport!J54</f>
        <v>0</v>
      </c>
      <c r="K10" s="477">
        <f>transport!K54</f>
        <v>0</v>
      </c>
      <c r="L10" s="477">
        <f>transport!L54</f>
        <v>0</v>
      </c>
      <c r="M10" s="477">
        <f>transport!M54</f>
        <v>119.7388586298879</v>
      </c>
      <c r="N10" s="477">
        <f>transport!N54</f>
        <v>0</v>
      </c>
      <c r="O10" s="477">
        <f>transport!O54</f>
        <v>0</v>
      </c>
      <c r="P10" s="478">
        <f>transport!P54</f>
        <v>0</v>
      </c>
      <c r="Q10" s="476">
        <f t="shared" si="0"/>
        <v>3980.0707379084979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2227.8449158999997</v>
      </c>
      <c r="C14" s="484"/>
      <c r="D14" s="484">
        <f>'SEAP template'!E25</f>
        <v>7185.1878908999997</v>
      </c>
      <c r="E14" s="484"/>
      <c r="F14" s="484"/>
      <c r="G14" s="484"/>
      <c r="H14" s="484"/>
      <c r="I14" s="484"/>
      <c r="J14" s="484"/>
      <c r="K14" s="484"/>
      <c r="L14" s="484"/>
      <c r="M14" s="484"/>
      <c r="N14" s="484"/>
      <c r="O14" s="484"/>
      <c r="P14" s="485"/>
      <c r="Q14" s="476">
        <f t="shared" si="0"/>
        <v>9413.0328067999999</v>
      </c>
    </row>
    <row r="15" spans="1:17" s="486" customFormat="1">
      <c r="A15" s="1038" t="s">
        <v>558</v>
      </c>
      <c r="B15" s="978">
        <f ca="1">SUM(B4:B14)</f>
        <v>227586.28708863122</v>
      </c>
      <c r="C15" s="978">
        <f t="shared" ref="C15:Q15" ca="1" si="1">SUM(C4:C14)</f>
        <v>3612.8571428571431</v>
      </c>
      <c r="D15" s="978">
        <f t="shared" ca="1" si="1"/>
        <v>371214.43867312465</v>
      </c>
      <c r="E15" s="978">
        <f t="shared" si="1"/>
        <v>17220.355638520075</v>
      </c>
      <c r="F15" s="978">
        <f t="shared" ca="1" si="1"/>
        <v>59417.71782410772</v>
      </c>
      <c r="G15" s="978">
        <f t="shared" si="1"/>
        <v>174361.51017342057</v>
      </c>
      <c r="H15" s="978">
        <f t="shared" si="1"/>
        <v>33236.333783522685</v>
      </c>
      <c r="I15" s="978">
        <f t="shared" si="1"/>
        <v>0</v>
      </c>
      <c r="J15" s="978">
        <f t="shared" si="1"/>
        <v>4935.0671696340614</v>
      </c>
      <c r="K15" s="978">
        <f t="shared" si="1"/>
        <v>0</v>
      </c>
      <c r="L15" s="978">
        <f t="shared" ca="1" si="1"/>
        <v>0</v>
      </c>
      <c r="M15" s="978">
        <f t="shared" si="1"/>
        <v>6487.1829666452968</v>
      </c>
      <c r="N15" s="978">
        <f t="shared" ca="1" si="1"/>
        <v>42614.435521661464</v>
      </c>
      <c r="O15" s="978">
        <f t="shared" si="1"/>
        <v>353.31333333333339</v>
      </c>
      <c r="P15" s="978">
        <f t="shared" si="1"/>
        <v>1620.6666666666667</v>
      </c>
      <c r="Q15" s="978">
        <f t="shared" ca="1" si="1"/>
        <v>942660.16598212486</v>
      </c>
    </row>
    <row r="17" spans="1:17">
      <c r="A17" s="487" t="s">
        <v>559</v>
      </c>
      <c r="B17" s="786">
        <f ca="1">huishoudens!B10</f>
        <v>0.18786793990753917</v>
      </c>
      <c r="C17" s="786">
        <f ca="1">huishoudens!C10</f>
        <v>0.23257274440025119</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13884.271267909411</v>
      </c>
      <c r="C22" s="477">
        <f t="shared" ref="C22:C32" ca="1" si="3">C4*$C$17</f>
        <v>0</v>
      </c>
      <c r="D22" s="477">
        <f t="shared" ref="D22:D32" si="4">D4*$D$17</f>
        <v>39205.799595943208</v>
      </c>
      <c r="E22" s="477">
        <f t="shared" ref="E22:E32" si="5">E4*$E$17</f>
        <v>2228.8147242964642</v>
      </c>
      <c r="F22" s="477">
        <f t="shared" ref="F22:F32" si="6">F4*$F$17</f>
        <v>3077.4446658500383</v>
      </c>
      <c r="G22" s="477">
        <f t="shared" ref="G22:G32" si="7">G4*$G$17</f>
        <v>0</v>
      </c>
      <c r="H22" s="477">
        <f t="shared" ref="H22:H32" si="8">H4*$H$17</f>
        <v>0</v>
      </c>
      <c r="I22" s="477">
        <f t="shared" ref="I22:I32" si="9">I4*$I$17</f>
        <v>0</v>
      </c>
      <c r="J22" s="477">
        <f t="shared" ref="J22:J32" si="10">J4*$J$17</f>
        <v>1594.3775582883382</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59990.707812287459</v>
      </c>
    </row>
    <row r="23" spans="1:17">
      <c r="A23" s="476" t="s">
        <v>156</v>
      </c>
      <c r="B23" s="477">
        <f t="shared" ca="1" si="2"/>
        <v>15929.431747101669</v>
      </c>
      <c r="C23" s="477">
        <f t="shared" ca="1" si="3"/>
        <v>822.31077484374532</v>
      </c>
      <c r="D23" s="477">
        <f t="shared" ca="1" si="4"/>
        <v>19746.219791400825</v>
      </c>
      <c r="E23" s="477">
        <f t="shared" si="5"/>
        <v>306.44127772850067</v>
      </c>
      <c r="F23" s="477">
        <f t="shared" ca="1" si="6"/>
        <v>5215.6671163428646</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42020.07070741761</v>
      </c>
    </row>
    <row r="24" spans="1:17">
      <c r="A24" s="476" t="s">
        <v>194</v>
      </c>
      <c r="B24" s="477">
        <f t="shared" ca="1" si="2"/>
        <v>557.57682834244372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557.57682834244372</v>
      </c>
    </row>
    <row r="25" spans="1:17">
      <c r="A25" s="476" t="s">
        <v>112</v>
      </c>
      <c r="B25" s="477">
        <f t="shared" ca="1" si="2"/>
        <v>210.16725412877091</v>
      </c>
      <c r="C25" s="477">
        <f t="shared" ca="1" si="3"/>
        <v>17.941325996590805</v>
      </c>
      <c r="D25" s="477">
        <f t="shared" si="4"/>
        <v>409.62607333466286</v>
      </c>
      <c r="E25" s="477">
        <f t="shared" si="5"/>
        <v>6.5482449216991307</v>
      </c>
      <c r="F25" s="477">
        <f t="shared" si="6"/>
        <v>1091.7762626964411</v>
      </c>
      <c r="G25" s="477">
        <f t="shared" si="7"/>
        <v>0</v>
      </c>
      <c r="H25" s="477">
        <f t="shared" si="8"/>
        <v>0</v>
      </c>
      <c r="I25" s="477">
        <f t="shared" si="9"/>
        <v>0</v>
      </c>
      <c r="J25" s="477">
        <f t="shared" si="10"/>
        <v>57.012117413911845</v>
      </c>
      <c r="K25" s="477">
        <f t="shared" si="11"/>
        <v>0</v>
      </c>
      <c r="L25" s="477">
        <f t="shared" si="12"/>
        <v>0</v>
      </c>
      <c r="M25" s="477">
        <f t="shared" si="13"/>
        <v>0</v>
      </c>
      <c r="N25" s="477">
        <f t="shared" si="14"/>
        <v>0</v>
      </c>
      <c r="O25" s="477">
        <f t="shared" si="15"/>
        <v>0</v>
      </c>
      <c r="P25" s="478">
        <f t="shared" si="16"/>
        <v>0</v>
      </c>
      <c r="Q25" s="476">
        <f t="shared" ca="1" si="17"/>
        <v>1793.0712784920768</v>
      </c>
    </row>
    <row r="26" spans="1:17">
      <c r="A26" s="476" t="s">
        <v>638</v>
      </c>
      <c r="B26" s="477">
        <f t="shared" ca="1" si="2"/>
        <v>11746.216762646431</v>
      </c>
      <c r="C26" s="477">
        <f t="shared" ca="1" si="3"/>
        <v>0</v>
      </c>
      <c r="D26" s="477">
        <f t="shared" si="4"/>
        <v>14147.216608478175</v>
      </c>
      <c r="E26" s="477">
        <f t="shared" si="5"/>
        <v>1259.3239643849133</v>
      </c>
      <c r="F26" s="477">
        <f t="shared" si="6"/>
        <v>6479.6426141474185</v>
      </c>
      <c r="G26" s="477">
        <f t="shared" si="7"/>
        <v>0</v>
      </c>
      <c r="H26" s="477">
        <f t="shared" si="8"/>
        <v>0</v>
      </c>
      <c r="I26" s="477">
        <f t="shared" si="9"/>
        <v>0</v>
      </c>
      <c r="J26" s="477">
        <f t="shared" si="10"/>
        <v>95.624102348207956</v>
      </c>
      <c r="K26" s="477">
        <f t="shared" si="11"/>
        <v>0</v>
      </c>
      <c r="L26" s="477">
        <f t="shared" si="12"/>
        <v>0</v>
      </c>
      <c r="M26" s="477">
        <f t="shared" si="13"/>
        <v>0</v>
      </c>
      <c r="N26" s="477">
        <f t="shared" si="14"/>
        <v>0</v>
      </c>
      <c r="O26" s="477">
        <f t="shared" si="15"/>
        <v>0</v>
      </c>
      <c r="P26" s="478">
        <f t="shared" si="16"/>
        <v>0</v>
      </c>
      <c r="Q26" s="476">
        <f t="shared" ca="1" si="17"/>
        <v>33728.024052005145</v>
      </c>
    </row>
    <row r="27" spans="1:17" s="482" customFormat="1">
      <c r="A27" s="480" t="s">
        <v>564</v>
      </c>
      <c r="B27" s="780">
        <f t="shared" ca="1" si="2"/>
        <v>9.9624116345799116</v>
      </c>
      <c r="C27" s="481">
        <f t="shared" ca="1" si="3"/>
        <v>0</v>
      </c>
      <c r="D27" s="481">
        <f t="shared" si="4"/>
        <v>25.046588852519452</v>
      </c>
      <c r="E27" s="481">
        <f t="shared" si="5"/>
        <v>107.89251861247972</v>
      </c>
      <c r="F27" s="481">
        <f t="shared" si="6"/>
        <v>0</v>
      </c>
      <c r="G27" s="481">
        <f t="shared" si="7"/>
        <v>45523.814604535903</v>
      </c>
      <c r="H27" s="481">
        <f t="shared" si="8"/>
        <v>8275.8471120971481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53942.563235732625</v>
      </c>
    </row>
    <row r="28" spans="1:17">
      <c r="A28" s="476" t="s">
        <v>554</v>
      </c>
      <c r="B28" s="477">
        <f t="shared" ca="1" si="2"/>
        <v>0</v>
      </c>
      <c r="C28" s="477">
        <f t="shared" ca="1" si="3"/>
        <v>0</v>
      </c>
      <c r="D28" s="477">
        <f t="shared" si="4"/>
        <v>0</v>
      </c>
      <c r="E28" s="477">
        <f t="shared" si="5"/>
        <v>0</v>
      </c>
      <c r="F28" s="477">
        <f t="shared" si="6"/>
        <v>0</v>
      </c>
      <c r="G28" s="477">
        <f t="shared" si="7"/>
        <v>1030.7086117673889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1030.7086117673889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418.5406347836178</v>
      </c>
      <c r="C32" s="477">
        <f t="shared" ca="1" si="3"/>
        <v>0</v>
      </c>
      <c r="D32" s="477">
        <f t="shared" si="4"/>
        <v>1451.4079539618001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1869.948588745418</v>
      </c>
    </row>
    <row r="33" spans="1:17" s="486" customFormat="1">
      <c r="A33" s="1038" t="s">
        <v>558</v>
      </c>
      <c r="B33" s="978">
        <f ca="1">SUM(B22:B32)</f>
        <v>42756.166906546925</v>
      </c>
      <c r="C33" s="978">
        <f t="shared" ref="C33:Q33" ca="1" si="18">SUM(C22:C32)</f>
        <v>840.25210084033608</v>
      </c>
      <c r="D33" s="978">
        <f t="shared" ca="1" si="18"/>
        <v>74985.316611971182</v>
      </c>
      <c r="E33" s="978">
        <f t="shared" si="18"/>
        <v>3909.0207299440572</v>
      </c>
      <c r="F33" s="978">
        <f t="shared" ca="1" si="18"/>
        <v>15864.530659036764</v>
      </c>
      <c r="G33" s="978">
        <f t="shared" si="18"/>
        <v>46554.523216303292</v>
      </c>
      <c r="H33" s="978">
        <f t="shared" si="18"/>
        <v>8275.8471120971481</v>
      </c>
      <c r="I33" s="978">
        <f t="shared" si="18"/>
        <v>0</v>
      </c>
      <c r="J33" s="978">
        <f t="shared" si="18"/>
        <v>1747.0137780504581</v>
      </c>
      <c r="K33" s="978">
        <f t="shared" si="18"/>
        <v>0</v>
      </c>
      <c r="L33" s="978">
        <f t="shared" ca="1" si="18"/>
        <v>0</v>
      </c>
      <c r="M33" s="978">
        <f t="shared" si="18"/>
        <v>0</v>
      </c>
      <c r="N33" s="978">
        <f t="shared" ca="1" si="18"/>
        <v>0</v>
      </c>
      <c r="O33" s="978">
        <f t="shared" si="18"/>
        <v>0</v>
      </c>
      <c r="P33" s="978">
        <f t="shared" si="18"/>
        <v>0</v>
      </c>
      <c r="Q33" s="978">
        <f t="shared" ca="1" si="18"/>
        <v>194932.67111479017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15698.276525698666</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16114.623974884193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54.000000000000007</v>
      </c>
      <c r="C8" s="1055">
        <f>'SEAP template'!C76</f>
        <v>2475</v>
      </c>
      <c r="D8" s="1055">
        <f>'SEAP template'!D76</f>
        <v>2911.7647058823527</v>
      </c>
      <c r="E8" s="1055">
        <f>'SEAP template'!E76</f>
        <v>0</v>
      </c>
      <c r="F8" s="1055">
        <f>'SEAP template'!F76</f>
        <v>0</v>
      </c>
      <c r="G8" s="1055">
        <f>'SEAP template'!G76</f>
        <v>0</v>
      </c>
      <c r="H8" s="1055">
        <f>'SEAP template'!H76</f>
        <v>0</v>
      </c>
      <c r="I8" s="1055">
        <f>'SEAP template'!I76</f>
        <v>0</v>
      </c>
      <c r="J8" s="1055">
        <f>'SEAP template'!J76</f>
        <v>63.529411764705891</v>
      </c>
      <c r="K8" s="1055">
        <f>'SEAP template'!K76</f>
        <v>0</v>
      </c>
      <c r="L8" s="1055">
        <f>'SEAP template'!L76</f>
        <v>0</v>
      </c>
      <c r="M8" s="1055">
        <f>'SEAP template'!M76</f>
        <v>0</v>
      </c>
      <c r="N8" s="1055">
        <f>'SEAP template'!N76</f>
        <v>0</v>
      </c>
      <c r="O8" s="1055">
        <f>'SEAP template'!O76</f>
        <v>0</v>
      </c>
      <c r="P8" s="1056">
        <f>'SEAP template'!Q76</f>
        <v>588.17647058823525</v>
      </c>
    </row>
    <row r="9" spans="1:16">
      <c r="A9" s="1058" t="s">
        <v>863</v>
      </c>
      <c r="B9" s="1055">
        <f>'SEAP template'!B77</f>
        <v>2439</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6968.5714285714294</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34305.900500582859</v>
      </c>
      <c r="C10" s="1059">
        <f>SUM(C4:C9)</f>
        <v>2475</v>
      </c>
      <c r="D10" s="1059">
        <f t="shared" ref="D10:H10" si="0">SUM(D8:D9)</f>
        <v>2911.7647058823527</v>
      </c>
      <c r="E10" s="1059">
        <f t="shared" si="0"/>
        <v>0</v>
      </c>
      <c r="F10" s="1059">
        <f t="shared" si="0"/>
        <v>0</v>
      </c>
      <c r="G10" s="1059">
        <f t="shared" si="0"/>
        <v>0</v>
      </c>
      <c r="H10" s="1059">
        <f t="shared" si="0"/>
        <v>0</v>
      </c>
      <c r="I10" s="1059">
        <f>SUM(I8:I9)</f>
        <v>0</v>
      </c>
      <c r="J10" s="1059">
        <f>SUM(J8:J9)</f>
        <v>7032.1008403361357</v>
      </c>
      <c r="K10" s="1059">
        <f t="shared" ref="K10:L10" si="1">SUM(K8:K9)</f>
        <v>0</v>
      </c>
      <c r="L10" s="1059">
        <f t="shared" si="1"/>
        <v>0</v>
      </c>
      <c r="M10" s="1059">
        <f>SUM(M8:M9)</f>
        <v>0</v>
      </c>
      <c r="N10" s="1059">
        <f>SUM(N8:N9)</f>
        <v>0</v>
      </c>
      <c r="O10" s="1059">
        <f>SUM(O8:O9)</f>
        <v>0</v>
      </c>
      <c r="P10" s="1059">
        <f>SUM(P8:P9)</f>
        <v>588.17647058823525</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0.18786793990753917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77.142857142857167</v>
      </c>
      <c r="C17" s="1061">
        <f>'SEAP template'!C87</f>
        <v>3535.7142857142858</v>
      </c>
      <c r="D17" s="1056">
        <f>'SEAP template'!D87</f>
        <v>4159.6638655462184</v>
      </c>
      <c r="E17" s="1056">
        <f>'SEAP template'!E87</f>
        <v>0</v>
      </c>
      <c r="F17" s="1056">
        <f>'SEAP template'!F87</f>
        <v>0</v>
      </c>
      <c r="G17" s="1056">
        <f>'SEAP template'!G87</f>
        <v>0</v>
      </c>
      <c r="H17" s="1056">
        <f>'SEAP template'!H87</f>
        <v>0</v>
      </c>
      <c r="I17" s="1056">
        <f>'SEAP template'!I87</f>
        <v>0</v>
      </c>
      <c r="J17" s="1056">
        <f>'SEAP template'!J87</f>
        <v>90.756302521008422</v>
      </c>
      <c r="K17" s="1056">
        <f>'SEAP template'!K87</f>
        <v>0</v>
      </c>
      <c r="L17" s="1056">
        <f>'SEAP template'!L87</f>
        <v>0</v>
      </c>
      <c r="M17" s="1056">
        <f>'SEAP template'!M87</f>
        <v>0</v>
      </c>
      <c r="N17" s="1056">
        <f>'SEAP template'!N87</f>
        <v>0</v>
      </c>
      <c r="O17" s="1056">
        <f>'SEAP template'!O87</f>
        <v>0</v>
      </c>
      <c r="P17" s="1056">
        <f>'SEAP template'!Q87</f>
        <v>840.2521008403362</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77.142857142857167</v>
      </c>
      <c r="C20" s="1059">
        <f>SUM(C17:C19)</f>
        <v>3535.7142857142858</v>
      </c>
      <c r="D20" s="1059">
        <f t="shared" ref="D20:H20" si="2">SUM(D17:D19)</f>
        <v>4159.6638655462184</v>
      </c>
      <c r="E20" s="1059">
        <f t="shared" si="2"/>
        <v>0</v>
      </c>
      <c r="F20" s="1059">
        <f t="shared" si="2"/>
        <v>0</v>
      </c>
      <c r="G20" s="1059">
        <f t="shared" si="2"/>
        <v>0</v>
      </c>
      <c r="H20" s="1059">
        <f t="shared" si="2"/>
        <v>0</v>
      </c>
      <c r="I20" s="1059">
        <f>SUM(I17:I19)</f>
        <v>0</v>
      </c>
      <c r="J20" s="1059">
        <f>SUM(J17:J19)</f>
        <v>90.756302521008422</v>
      </c>
      <c r="K20" s="1059">
        <f t="shared" ref="K20:L20" si="3">SUM(K17:K19)</f>
        <v>0</v>
      </c>
      <c r="L20" s="1059">
        <f t="shared" si="3"/>
        <v>0</v>
      </c>
      <c r="M20" s="1059">
        <f>SUM(M17:M19)</f>
        <v>0</v>
      </c>
      <c r="N20" s="1059">
        <f>SUM(N17:N19)</f>
        <v>0</v>
      </c>
      <c r="O20" s="1059">
        <f>SUM(O17:O19)</f>
        <v>0</v>
      </c>
      <c r="P20" s="1059">
        <f>SUM(P17:P19)</f>
        <v>840.2521008403362</v>
      </c>
    </row>
    <row r="22" spans="1:16">
      <c r="A22" s="487" t="s">
        <v>871</v>
      </c>
      <c r="B22" s="786" t="s">
        <v>865</v>
      </c>
      <c r="C22" s="786">
        <f ca="1">'EF ele_warmte'!B22</f>
        <v>0.23257274440025119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0.18786793990753917</v>
      </c>
      <c r="C17" s="524">
        <f ca="1">'EF ele_warmte'!B22</f>
        <v>0.23257274440025119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0.18786793990753917</v>
      </c>
      <c r="C17" s="524">
        <f ca="1">'EF ele_warmte'!B22</f>
        <v>0.23257274440025119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0.18786793990753917</v>
      </c>
      <c r="C29" s="525">
        <f ca="1">'EF ele_warmte'!B22</f>
        <v>0.23257274440025119</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42006</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19624</v>
      </c>
      <c r="C9" s="342">
        <v>20245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2077.0700000000002</v>
      </c>
    </row>
    <row r="15" spans="1:6">
      <c r="A15" s="348" t="s">
        <v>184</v>
      </c>
      <c r="B15" s="334">
        <v>463</v>
      </c>
    </row>
    <row r="16" spans="1:6">
      <c r="A16" s="348" t="s">
        <v>6</v>
      </c>
      <c r="B16" s="334">
        <v>727</v>
      </c>
    </row>
    <row r="17" spans="1:6">
      <c r="A17" s="348" t="s">
        <v>7</v>
      </c>
      <c r="B17" s="334">
        <v>890</v>
      </c>
    </row>
    <row r="18" spans="1:6">
      <c r="A18" s="348" t="s">
        <v>8</v>
      </c>
      <c r="B18" s="334">
        <v>1186</v>
      </c>
    </row>
    <row r="19" spans="1:6">
      <c r="A19" s="348" t="s">
        <v>9</v>
      </c>
      <c r="B19" s="334">
        <v>1027</v>
      </c>
    </row>
    <row r="20" spans="1:6">
      <c r="A20" s="348" t="s">
        <v>10</v>
      </c>
      <c r="B20" s="334">
        <v>944</v>
      </c>
    </row>
    <row r="21" spans="1:6">
      <c r="A21" s="348" t="s">
        <v>11</v>
      </c>
      <c r="B21" s="334">
        <v>0</v>
      </c>
    </row>
    <row r="22" spans="1:6">
      <c r="A22" s="348" t="s">
        <v>12</v>
      </c>
      <c r="B22" s="334">
        <v>3860</v>
      </c>
    </row>
    <row r="23" spans="1:6">
      <c r="A23" s="348" t="s">
        <v>13</v>
      </c>
      <c r="B23" s="334">
        <v>2</v>
      </c>
    </row>
    <row r="24" spans="1:6">
      <c r="A24" s="348" t="s">
        <v>14</v>
      </c>
      <c r="B24" s="334">
        <v>0</v>
      </c>
    </row>
    <row r="25" spans="1:6">
      <c r="A25" s="348" t="s">
        <v>15</v>
      </c>
      <c r="B25" s="334">
        <v>0</v>
      </c>
    </row>
    <row r="26" spans="1:6">
      <c r="A26" s="348" t="s">
        <v>16</v>
      </c>
      <c r="B26" s="334">
        <v>895</v>
      </c>
    </row>
    <row r="27" spans="1:6">
      <c r="A27" s="348" t="s">
        <v>17</v>
      </c>
      <c r="B27" s="334">
        <v>0</v>
      </c>
    </row>
    <row r="28" spans="1:6" s="356" customFormat="1">
      <c r="A28" s="355" t="s">
        <v>18</v>
      </c>
      <c r="B28" s="355">
        <v>84695</v>
      </c>
    </row>
    <row r="29" spans="1:6">
      <c r="A29" s="355" t="s">
        <v>884</v>
      </c>
      <c r="B29" s="355">
        <v>316</v>
      </c>
      <c r="C29" s="356"/>
      <c r="D29" s="356"/>
      <c r="E29" s="356"/>
      <c r="F29" s="356"/>
    </row>
    <row r="30" spans="1:6">
      <c r="A30" s="355" t="s">
        <v>885</v>
      </c>
      <c r="B30" s="341">
        <v>56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9</v>
      </c>
      <c r="D36" s="334">
        <v>2861049.3037999999</v>
      </c>
      <c r="E36" s="334">
        <v>5</v>
      </c>
      <c r="F36" s="334">
        <v>17418.208037</v>
      </c>
    </row>
    <row r="37" spans="1:6">
      <c r="A37" s="348" t="s">
        <v>25</v>
      </c>
      <c r="B37" s="348" t="s">
        <v>28</v>
      </c>
      <c r="C37" s="334">
        <v>0</v>
      </c>
      <c r="D37" s="334">
        <v>0</v>
      </c>
      <c r="E37" s="334">
        <v>0</v>
      </c>
      <c r="F37" s="334">
        <v>0</v>
      </c>
    </row>
    <row r="38" spans="1:6">
      <c r="A38" s="348" t="s">
        <v>25</v>
      </c>
      <c r="B38" s="348" t="s">
        <v>29</v>
      </c>
      <c r="C38" s="334">
        <v>0</v>
      </c>
      <c r="D38" s="334">
        <v>0</v>
      </c>
      <c r="E38" s="334">
        <v>2</v>
      </c>
      <c r="F38" s="334">
        <v>17969.687922000001</v>
      </c>
    </row>
    <row r="39" spans="1:6">
      <c r="A39" s="348" t="s">
        <v>30</v>
      </c>
      <c r="B39" s="348" t="s">
        <v>31</v>
      </c>
      <c r="C39" s="334">
        <v>14790</v>
      </c>
      <c r="D39" s="334">
        <v>215175295.80000001</v>
      </c>
      <c r="E39" s="334">
        <v>19733</v>
      </c>
      <c r="F39" s="334">
        <v>67369010.790000007</v>
      </c>
    </row>
    <row r="40" spans="1:6">
      <c r="A40" s="348" t="s">
        <v>30</v>
      </c>
      <c r="B40" s="348" t="s">
        <v>29</v>
      </c>
      <c r="C40" s="334">
        <v>0</v>
      </c>
      <c r="D40" s="334">
        <v>0</v>
      </c>
      <c r="E40" s="334">
        <v>0</v>
      </c>
      <c r="F40" s="334">
        <v>0</v>
      </c>
    </row>
    <row r="41" spans="1:6">
      <c r="A41" s="348" t="s">
        <v>32</v>
      </c>
      <c r="B41" s="348" t="s">
        <v>33</v>
      </c>
      <c r="C41" s="334">
        <v>171</v>
      </c>
      <c r="D41" s="334">
        <v>4265142.5213000001</v>
      </c>
      <c r="E41" s="334">
        <v>381</v>
      </c>
      <c r="F41" s="334">
        <v>13208344.137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16</v>
      </c>
      <c r="D44" s="334">
        <v>6788144.1277999999</v>
      </c>
      <c r="E44" s="334">
        <v>34</v>
      </c>
      <c r="F44" s="334">
        <v>9974614.0921999998</v>
      </c>
    </row>
    <row r="45" spans="1:6">
      <c r="A45" s="348" t="s">
        <v>32</v>
      </c>
      <c r="B45" s="348" t="s">
        <v>37</v>
      </c>
      <c r="C45" s="334">
        <v>0</v>
      </c>
      <c r="D45" s="334">
        <v>0</v>
      </c>
      <c r="E45" s="334">
        <v>5</v>
      </c>
      <c r="F45" s="334">
        <v>178113.13469000001</v>
      </c>
    </row>
    <row r="46" spans="1:6">
      <c r="A46" s="348" t="s">
        <v>32</v>
      </c>
      <c r="B46" s="348" t="s">
        <v>38</v>
      </c>
      <c r="C46" s="334">
        <v>0</v>
      </c>
      <c r="D46" s="334">
        <v>0</v>
      </c>
      <c r="E46" s="334">
        <v>0</v>
      </c>
      <c r="F46" s="334">
        <v>0</v>
      </c>
    </row>
    <row r="47" spans="1:6">
      <c r="A47" s="348" t="s">
        <v>32</v>
      </c>
      <c r="B47" s="348" t="s">
        <v>39</v>
      </c>
      <c r="C47" s="334">
        <v>13</v>
      </c>
      <c r="D47" s="334">
        <v>2166685.0207000002</v>
      </c>
      <c r="E47" s="334">
        <v>14</v>
      </c>
      <c r="F47" s="334">
        <v>546073.75401999999</v>
      </c>
    </row>
    <row r="48" spans="1:6">
      <c r="A48" s="348" t="s">
        <v>32</v>
      </c>
      <c r="B48" s="348" t="s">
        <v>29</v>
      </c>
      <c r="C48" s="334">
        <v>37</v>
      </c>
      <c r="D48" s="334">
        <v>58969246.586000003</v>
      </c>
      <c r="E48" s="334">
        <v>53</v>
      </c>
      <c r="F48" s="334">
        <v>28784642.364</v>
      </c>
    </row>
    <row r="49" spans="1:6">
      <c r="A49" s="348" t="s">
        <v>32</v>
      </c>
      <c r="B49" s="348" t="s">
        <v>40</v>
      </c>
      <c r="C49" s="334">
        <v>0</v>
      </c>
      <c r="D49" s="334">
        <v>0</v>
      </c>
      <c r="E49" s="334">
        <v>0</v>
      </c>
      <c r="F49" s="334">
        <v>0</v>
      </c>
    </row>
    <row r="50" spans="1:6">
      <c r="A50" s="348" t="s">
        <v>32</v>
      </c>
      <c r="B50" s="348" t="s">
        <v>41</v>
      </c>
      <c r="C50" s="334">
        <v>36</v>
      </c>
      <c r="D50" s="334">
        <v>5455710.5519000003</v>
      </c>
      <c r="E50" s="334">
        <v>53</v>
      </c>
      <c r="F50" s="334">
        <v>9832008.5868999995</v>
      </c>
    </row>
    <row r="51" spans="1:6">
      <c r="A51" s="348" t="s">
        <v>42</v>
      </c>
      <c r="B51" s="348" t="s">
        <v>43</v>
      </c>
      <c r="C51" s="334">
        <v>12</v>
      </c>
      <c r="D51" s="334">
        <v>216515.7899</v>
      </c>
      <c r="E51" s="334">
        <v>74</v>
      </c>
      <c r="F51" s="334">
        <v>938341.07054999995</v>
      </c>
    </row>
    <row r="52" spans="1:6">
      <c r="A52" s="348" t="s">
        <v>42</v>
      </c>
      <c r="B52" s="348" t="s">
        <v>29</v>
      </c>
      <c r="C52" s="334">
        <v>9</v>
      </c>
      <c r="D52" s="334">
        <v>2031656.9908</v>
      </c>
      <c r="E52" s="334">
        <v>9</v>
      </c>
      <c r="F52" s="334">
        <v>180355.68118000001</v>
      </c>
    </row>
    <row r="53" spans="1:6">
      <c r="A53" s="348" t="s">
        <v>44</v>
      </c>
      <c r="B53" s="348" t="s">
        <v>45</v>
      </c>
      <c r="C53" s="334">
        <v>357</v>
      </c>
      <c r="D53" s="334">
        <v>7185187.8909</v>
      </c>
      <c r="E53" s="334">
        <v>691</v>
      </c>
      <c r="F53" s="334">
        <v>2227844.9158999999</v>
      </c>
    </row>
    <row r="54" spans="1:6">
      <c r="A54" s="348" t="s">
        <v>46</v>
      </c>
      <c r="B54" s="348" t="s">
        <v>47</v>
      </c>
      <c r="C54" s="334">
        <v>0</v>
      </c>
      <c r="D54" s="334">
        <v>0</v>
      </c>
      <c r="E54" s="334">
        <v>1</v>
      </c>
      <c r="F54" s="334">
        <v>2967919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181</v>
      </c>
      <c r="D57" s="334">
        <v>14474590.175000001</v>
      </c>
      <c r="E57" s="334">
        <v>370</v>
      </c>
      <c r="F57" s="334">
        <v>12350549.402000001</v>
      </c>
    </row>
    <row r="58" spans="1:6">
      <c r="A58" s="348" t="s">
        <v>49</v>
      </c>
      <c r="B58" s="348" t="s">
        <v>51</v>
      </c>
      <c r="C58" s="334">
        <v>85</v>
      </c>
      <c r="D58" s="334">
        <v>19352293.168000001</v>
      </c>
      <c r="E58" s="334">
        <v>126</v>
      </c>
      <c r="F58" s="334">
        <v>8116446.5367000001</v>
      </c>
    </row>
    <row r="59" spans="1:6">
      <c r="A59" s="348" t="s">
        <v>49</v>
      </c>
      <c r="B59" s="348" t="s">
        <v>52</v>
      </c>
      <c r="C59" s="334">
        <v>359</v>
      </c>
      <c r="D59" s="334">
        <v>18924738.374000002</v>
      </c>
      <c r="E59" s="334">
        <v>571</v>
      </c>
      <c r="F59" s="334">
        <v>25083632.600000001</v>
      </c>
    </row>
    <row r="60" spans="1:6">
      <c r="A60" s="348" t="s">
        <v>49</v>
      </c>
      <c r="B60" s="348" t="s">
        <v>53</v>
      </c>
      <c r="C60" s="334">
        <v>197</v>
      </c>
      <c r="D60" s="334">
        <v>7759877.6978000002</v>
      </c>
      <c r="E60" s="334">
        <v>234</v>
      </c>
      <c r="F60" s="334">
        <v>5099964.0159999998</v>
      </c>
    </row>
    <row r="61" spans="1:6">
      <c r="A61" s="348" t="s">
        <v>49</v>
      </c>
      <c r="B61" s="348" t="s">
        <v>54</v>
      </c>
      <c r="C61" s="334">
        <v>470</v>
      </c>
      <c r="D61" s="334">
        <v>19259785.298</v>
      </c>
      <c r="E61" s="334">
        <v>932</v>
      </c>
      <c r="F61" s="334">
        <v>22837527.710999999</v>
      </c>
    </row>
    <row r="62" spans="1:6">
      <c r="A62" s="348" t="s">
        <v>49</v>
      </c>
      <c r="B62" s="348" t="s">
        <v>55</v>
      </c>
      <c r="C62" s="334">
        <v>56</v>
      </c>
      <c r="D62" s="334">
        <v>9347014.6467000004</v>
      </c>
      <c r="E62" s="334">
        <v>63</v>
      </c>
      <c r="F62" s="334">
        <v>2622543.3816999998</v>
      </c>
    </row>
    <row r="63" spans="1:6">
      <c r="A63" s="348" t="s">
        <v>49</v>
      </c>
      <c r="B63" s="348" t="s">
        <v>29</v>
      </c>
      <c r="C63" s="334">
        <v>100</v>
      </c>
      <c r="D63" s="334">
        <v>27095660.613000002</v>
      </c>
      <c r="E63" s="334">
        <v>97</v>
      </c>
      <c r="F63" s="334">
        <v>3765917.1985999998</v>
      </c>
    </row>
    <row r="64" spans="1:6">
      <c r="A64" s="348" t="s">
        <v>56</v>
      </c>
      <c r="B64" s="348" t="s">
        <v>57</v>
      </c>
      <c r="C64" s="334">
        <v>0</v>
      </c>
      <c r="D64" s="334">
        <v>0</v>
      </c>
      <c r="E64" s="334">
        <v>0</v>
      </c>
      <c r="F64" s="334">
        <v>0</v>
      </c>
    </row>
    <row r="65" spans="1:6">
      <c r="A65" s="348" t="s">
        <v>56</v>
      </c>
      <c r="B65" s="348" t="s">
        <v>29</v>
      </c>
      <c r="C65" s="334">
        <v>6</v>
      </c>
      <c r="D65" s="334">
        <v>196621.73269</v>
      </c>
      <c r="E65" s="334">
        <v>9</v>
      </c>
      <c r="F65" s="334">
        <v>47418.871056000004</v>
      </c>
    </row>
    <row r="66" spans="1:6">
      <c r="A66" s="348" t="s">
        <v>56</v>
      </c>
      <c r="B66" s="348" t="s">
        <v>58</v>
      </c>
      <c r="C66" s="334">
        <v>4</v>
      </c>
      <c r="D66" s="334">
        <v>337769.33026999998</v>
      </c>
      <c r="E66" s="334">
        <v>23</v>
      </c>
      <c r="F66" s="334">
        <v>473347.48492000002</v>
      </c>
    </row>
    <row r="67" spans="1:6">
      <c r="A67" s="355" t="s">
        <v>56</v>
      </c>
      <c r="B67" s="355" t="s">
        <v>59</v>
      </c>
      <c r="C67" s="334">
        <v>0</v>
      </c>
      <c r="D67" s="334">
        <v>0</v>
      </c>
      <c r="E67" s="334">
        <v>0</v>
      </c>
      <c r="F67" s="334">
        <v>0</v>
      </c>
    </row>
    <row r="68" spans="1:6">
      <c r="A68" s="341" t="s">
        <v>56</v>
      </c>
      <c r="B68" s="341" t="s">
        <v>60</v>
      </c>
      <c r="C68" s="334">
        <v>14</v>
      </c>
      <c r="D68" s="334">
        <v>2131953.7603000002</v>
      </c>
      <c r="E68" s="334">
        <v>25</v>
      </c>
      <c r="F68" s="334">
        <v>1288471.9157</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174392917</v>
      </c>
      <c r="E73" s="475">
        <v>179766559.4539794</v>
      </c>
    </row>
    <row r="74" spans="1:6">
      <c r="A74" s="348" t="s">
        <v>64</v>
      </c>
      <c r="B74" s="348" t="s">
        <v>667</v>
      </c>
      <c r="C74" s="1294" t="s">
        <v>669</v>
      </c>
      <c r="D74" s="475">
        <v>19851294.630226046</v>
      </c>
      <c r="E74" s="475">
        <v>20189663.07806731</v>
      </c>
    </row>
    <row r="75" spans="1:6">
      <c r="A75" s="348" t="s">
        <v>65</v>
      </c>
      <c r="B75" s="348" t="s">
        <v>666</v>
      </c>
      <c r="C75" s="1294" t="s">
        <v>670</v>
      </c>
      <c r="D75" s="475">
        <v>51901688</v>
      </c>
      <c r="E75" s="475">
        <v>53743326.00966312</v>
      </c>
    </row>
    <row r="76" spans="1:6">
      <c r="A76" s="348" t="s">
        <v>65</v>
      </c>
      <c r="B76" s="348" t="s">
        <v>667</v>
      </c>
      <c r="C76" s="1294" t="s">
        <v>671</v>
      </c>
      <c r="D76" s="475">
        <v>2091012.6302260454</v>
      </c>
      <c r="E76" s="475">
        <v>2127159.572202635</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1068992.7395479092</v>
      </c>
      <c r="C83" s="475">
        <v>1068992.7395479092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15698.276525698666</v>
      </c>
    </row>
    <row r="91" spans="1:6">
      <c r="A91" s="348" t="s">
        <v>68</v>
      </c>
      <c r="B91" s="334">
        <v>6535.4099150052043</v>
      </c>
    </row>
    <row r="92" spans="1:6">
      <c r="A92" s="341" t="s">
        <v>69</v>
      </c>
      <c r="B92" s="342">
        <v>9579.2140598789883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10345</v>
      </c>
    </row>
    <row r="98" spans="1:6">
      <c r="A98" s="348" t="s">
        <v>72</v>
      </c>
      <c r="B98" s="334">
        <v>6</v>
      </c>
    </row>
    <row r="99" spans="1:6">
      <c r="A99" s="348" t="s">
        <v>73</v>
      </c>
      <c r="B99" s="334">
        <v>169</v>
      </c>
    </row>
    <row r="100" spans="1:6">
      <c r="A100" s="348" t="s">
        <v>74</v>
      </c>
      <c r="B100" s="334">
        <v>1293</v>
      </c>
    </row>
    <row r="101" spans="1:6">
      <c r="A101" s="348" t="s">
        <v>75</v>
      </c>
      <c r="B101" s="334">
        <v>147</v>
      </c>
    </row>
    <row r="102" spans="1:6">
      <c r="A102" s="348" t="s">
        <v>76</v>
      </c>
      <c r="B102" s="334">
        <v>424</v>
      </c>
    </row>
    <row r="103" spans="1:6">
      <c r="A103" s="348" t="s">
        <v>77</v>
      </c>
      <c r="B103" s="334">
        <v>590</v>
      </c>
    </row>
    <row r="104" spans="1:6">
      <c r="A104" s="348" t="s">
        <v>78</v>
      </c>
      <c r="B104" s="334">
        <v>4474</v>
      </c>
    </row>
    <row r="105" spans="1:6">
      <c r="A105" s="341" t="s">
        <v>79</v>
      </c>
      <c r="B105" s="341">
        <v>17</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41</v>
      </c>
      <c r="C123" s="334">
        <v>36</v>
      </c>
    </row>
    <row r="124" spans="1:6">
      <c r="A124" s="341" t="s">
        <v>89</v>
      </c>
      <c r="B124" s="334">
        <v>3</v>
      </c>
      <c r="C124" s="334">
        <v>4</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184</v>
      </c>
    </row>
    <row r="130" spans="1:6">
      <c r="A130" s="348" t="s">
        <v>295</v>
      </c>
      <c r="B130" s="334">
        <v>2</v>
      </c>
    </row>
    <row r="131" spans="1:6">
      <c r="A131" s="348" t="s">
        <v>296</v>
      </c>
      <c r="B131" s="334">
        <v>3</v>
      </c>
    </row>
    <row r="132" spans="1:6">
      <c r="A132" s="341" t="s">
        <v>297</v>
      </c>
      <c r="B132" s="342">
        <v>38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227586.28708863122</v>
      </c>
      <c r="C3" s="43" t="s">
        <v>170</v>
      </c>
      <c r="D3" s="43"/>
      <c r="E3" s="154"/>
      <c r="F3" s="43"/>
      <c r="G3" s="43"/>
      <c r="H3" s="43"/>
      <c r="I3" s="43"/>
      <c r="J3" s="43"/>
      <c r="K3" s="96"/>
    </row>
    <row r="4" spans="1:11">
      <c r="A4" s="383" t="s">
        <v>171</v>
      </c>
      <c r="B4" s="49">
        <f>IF(ISERROR('SEAP template'!B78+'SEAP template'!C78),0,'SEAP template'!B78+'SEAP template'!C78)</f>
        <v>36780.900500582859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588.17647058823525</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0.18786793990753917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840.2521008403362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3612.8571428571431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0.23257274440025119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2967.9189999999999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2967.9189999999999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0.18786793990753917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557.57682834244372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67369.01079</v>
      </c>
      <c r="C5" s="17">
        <f>IF(ISERROR('Eigen informatie GS &amp; warmtenet'!B57),0,'Eigen informatie GS &amp; warmtenet'!B57)</f>
        <v>0</v>
      </c>
      <c r="D5" s="30">
        <f>(SUM(HH_hh_gas_kWh,HH_rest_gas_kWh)/1000)*0.902</f>
        <v>194088.11681160002</v>
      </c>
      <c r="E5" s="17">
        <f>B46*B57</f>
        <v>9818.5670673853037</v>
      </c>
      <c r="F5" s="17">
        <f>B51*B62</f>
        <v>11526.009984457072</v>
      </c>
      <c r="G5" s="18"/>
      <c r="H5" s="17"/>
      <c r="I5" s="17"/>
      <c r="J5" s="17">
        <f>B50*B61+C50*C61</f>
        <v>4503.8914075941757</v>
      </c>
      <c r="K5" s="17"/>
      <c r="L5" s="17"/>
      <c r="M5" s="17"/>
      <c r="N5" s="17">
        <f>B48*B59+C48*C59</f>
        <v>24255.328886440835</v>
      </c>
      <c r="O5" s="17">
        <f>B69*B70*B71</f>
        <v>350.18666666666672</v>
      </c>
      <c r="P5" s="17">
        <f>B77*B78*B79/1000-B77*B78*B79/1000/B80</f>
        <v>1563.4666666666667</v>
      </c>
    </row>
    <row r="6" spans="1:16">
      <c r="A6" s="16" t="s">
        <v>624</v>
      </c>
      <c r="B6" s="788">
        <f>kWh_PV_kleiner_dan_10kW</f>
        <v>6535.4099150052043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73904.420705005206</v>
      </c>
      <c r="C8" s="21">
        <f>C5</f>
        <v>0</v>
      </c>
      <c r="D8" s="21">
        <f>D5</f>
        <v>194088.11681160002</v>
      </c>
      <c r="E8" s="21">
        <f>E5</f>
        <v>9818.5670673853037</v>
      </c>
      <c r="F8" s="21">
        <f>F5</f>
        <v>11526.009984457072</v>
      </c>
      <c r="G8" s="21"/>
      <c r="H8" s="21"/>
      <c r="I8" s="21"/>
      <c r="J8" s="21">
        <f>J5</f>
        <v>4503.8914075941757</v>
      </c>
      <c r="K8" s="21"/>
      <c r="L8" s="21">
        <f>L5</f>
        <v>0</v>
      </c>
      <c r="M8" s="21">
        <f>M5</f>
        <v>0</v>
      </c>
      <c r="N8" s="21">
        <f>N5</f>
        <v>24255.328886440835</v>
      </c>
      <c r="O8" s="21">
        <f>O5</f>
        <v>350.18666666666672</v>
      </c>
      <c r="P8" s="21">
        <f>P5</f>
        <v>1563.4666666666667</v>
      </c>
    </row>
    <row r="9" spans="1:16">
      <c r="B9" s="19"/>
      <c r="C9" s="19"/>
      <c r="D9" s="258"/>
      <c r="E9" s="19"/>
      <c r="F9" s="19"/>
      <c r="G9" s="19"/>
      <c r="H9" s="19"/>
      <c r="I9" s="19"/>
      <c r="J9" s="19"/>
      <c r="K9" s="19"/>
      <c r="L9" s="19"/>
      <c r="M9" s="19"/>
      <c r="N9" s="19"/>
      <c r="O9" s="19"/>
      <c r="P9" s="19"/>
    </row>
    <row r="10" spans="1:16">
      <c r="A10" s="24" t="s">
        <v>214</v>
      </c>
      <c r="B10" s="25">
        <f ca="1">'EF ele_warmte'!B12</f>
        <v>0.18786793990753917</v>
      </c>
      <c r="C10" s="25">
        <f ca="1">'EF ele_warmte'!B22</f>
        <v>0.23257274440025119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13884.271267909411</v>
      </c>
      <c r="C12" s="23">
        <f ca="1">C10*C8</f>
        <v>0</v>
      </c>
      <c r="D12" s="23">
        <f>D8*D10</f>
        <v>39205.799595943208</v>
      </c>
      <c r="E12" s="23">
        <f>E10*E8</f>
        <v>2228.8147242964642</v>
      </c>
      <c r="F12" s="23">
        <f>F10*F8</f>
        <v>3077.4446658500383</v>
      </c>
      <c r="G12" s="23"/>
      <c r="H12" s="23"/>
      <c r="I12" s="23"/>
      <c r="J12" s="23">
        <f>J10*J8</f>
        <v>1594.3775582883382</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10345</v>
      </c>
      <c r="C18" s="166" t="s">
        <v>111</v>
      </c>
      <c r="D18" s="228"/>
      <c r="E18" s="15"/>
    </row>
    <row r="19" spans="1:7">
      <c r="A19" s="171" t="s">
        <v>72</v>
      </c>
      <c r="B19" s="37">
        <f>aantalw2001_ander</f>
        <v>6</v>
      </c>
      <c r="C19" s="166" t="s">
        <v>111</v>
      </c>
      <c r="D19" s="229"/>
      <c r="E19" s="15"/>
    </row>
    <row r="20" spans="1:7">
      <c r="A20" s="171" t="s">
        <v>73</v>
      </c>
      <c r="B20" s="37">
        <f>aantalw2001_propaan</f>
        <v>169</v>
      </c>
      <c r="C20" s="167">
        <f>IF(ISERROR(B20/SUM($B$20,$B$21,$B$22)*100),0,B20/SUM($B$20,$B$21,$B$22)*100)</f>
        <v>10.503418272218768</v>
      </c>
      <c r="D20" s="229"/>
      <c r="E20" s="15"/>
    </row>
    <row r="21" spans="1:7">
      <c r="A21" s="171" t="s">
        <v>74</v>
      </c>
      <c r="B21" s="37">
        <f>aantalw2001_elektriciteit</f>
        <v>1293</v>
      </c>
      <c r="C21" s="167">
        <f>IF(ISERROR(B21/SUM($B$20,$B$21,$B$22)*100),0,B21/SUM($B$20,$B$21,$B$22)*100)</f>
        <v>80.360472343070228</v>
      </c>
      <c r="D21" s="229"/>
      <c r="E21" s="15"/>
    </row>
    <row r="22" spans="1:7">
      <c r="A22" s="171" t="s">
        <v>75</v>
      </c>
      <c r="B22" s="37">
        <f>aantalw2001_hout</f>
        <v>147</v>
      </c>
      <c r="C22" s="167">
        <f>IF(ISERROR(B22/SUM($B$20,$B$21,$B$22)*100),0,B22/SUM($B$20,$B$21,$B$22)*100)</f>
        <v>9.136109384711002</v>
      </c>
      <c r="D22" s="229"/>
      <c r="E22" s="15"/>
    </row>
    <row r="23" spans="1:7">
      <c r="A23" s="171" t="s">
        <v>76</v>
      </c>
      <c r="B23" s="37">
        <f>aantalw2001_niet_gespec</f>
        <v>424</v>
      </c>
      <c r="C23" s="166" t="s">
        <v>111</v>
      </c>
      <c r="D23" s="228"/>
      <c r="E23" s="15"/>
    </row>
    <row r="24" spans="1:7">
      <c r="A24" s="171" t="s">
        <v>77</v>
      </c>
      <c r="B24" s="37">
        <f>aantalw2001_steenkool</f>
        <v>590</v>
      </c>
      <c r="C24" s="166" t="s">
        <v>111</v>
      </c>
      <c r="D24" s="229"/>
      <c r="E24" s="15"/>
    </row>
    <row r="25" spans="1:7">
      <c r="A25" s="171" t="s">
        <v>78</v>
      </c>
      <c r="B25" s="37">
        <f>aantalw2001_stookolie</f>
        <v>4474</v>
      </c>
      <c r="C25" s="166" t="s">
        <v>111</v>
      </c>
      <c r="D25" s="228"/>
      <c r="E25" s="52"/>
    </row>
    <row r="26" spans="1:7">
      <c r="A26" s="171" t="s">
        <v>79</v>
      </c>
      <c r="B26" s="37">
        <f>aantalw2001_WP</f>
        <v>17</v>
      </c>
      <c r="C26" s="166" t="s">
        <v>111</v>
      </c>
      <c r="D26" s="228"/>
      <c r="E26" s="15"/>
    </row>
    <row r="27" spans="1:7" s="15" customFormat="1">
      <c r="A27" s="171"/>
      <c r="B27" s="29"/>
      <c r="C27" s="36"/>
      <c r="D27" s="228"/>
    </row>
    <row r="28" spans="1:7" s="15" customFormat="1">
      <c r="A28" s="230" t="s">
        <v>698</v>
      </c>
      <c r="B28" s="37">
        <f>aantalHuishoudens2011</f>
        <v>19624</v>
      </c>
      <c r="C28" s="36"/>
      <c r="D28" s="228"/>
    </row>
    <row r="29" spans="1:7" s="15" customFormat="1">
      <c r="A29" s="230" t="s">
        <v>699</v>
      </c>
      <c r="B29" s="37">
        <f>SUM(HH_hh_gas_aantal,HH_rest_gas_aantal)</f>
        <v>14790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14790</v>
      </c>
      <c r="C32" s="167">
        <f>IF(ISERROR(B32/SUM($B$32,$B$34,$B$35,$B$36,$B$38,$B$39)*100),0,B32/SUM($B$32,$B$34,$B$35,$B$36,$B$38,$B$39)*100)</f>
        <v>75.683143997543752</v>
      </c>
      <c r="D32" s="233"/>
      <c r="G32" s="15"/>
    </row>
    <row r="33" spans="1:7">
      <c r="A33" s="171" t="s">
        <v>72</v>
      </c>
      <c r="B33" s="34" t="s">
        <v>111</v>
      </c>
      <c r="C33" s="167"/>
      <c r="D33" s="233"/>
      <c r="G33" s="15"/>
    </row>
    <row r="34" spans="1:7">
      <c r="A34" s="171" t="s">
        <v>73</v>
      </c>
      <c r="B34" s="33">
        <f>IF((($B$28-$B$32-$B$39-$B$77-$B$38)*C20/100)&lt;0,0,($B$28-$B$32-$B$39-$B$77-$B$38)*C20/100)</f>
        <v>434.10627719080168</v>
      </c>
      <c r="C34" s="167">
        <f>IF(ISERROR(B34/SUM($B$32,$B$34,$B$35,$B$36,$B$38,$B$39)*100),0,B34/SUM($B$32,$B$34,$B$35,$B$36,$B$38,$B$39)*100)</f>
        <v>2.2214014798423993</v>
      </c>
      <c r="D34" s="233"/>
      <c r="G34" s="15"/>
    </row>
    <row r="35" spans="1:7">
      <c r="A35" s="171" t="s">
        <v>74</v>
      </c>
      <c r="B35" s="33">
        <f>IF((($B$28-$B$32-$B$39-$B$77-$B$38)*C21/100)&lt;0,0,($B$28-$B$32-$B$39-$B$77-$B$38)*C21/100)</f>
        <v>3321.2983219390926</v>
      </c>
      <c r="C35" s="167">
        <f>IF(ISERROR(B35/SUM($B$32,$B$34,$B$35,$B$36,$B$38,$B$39)*100),0,B35/SUM($B$32,$B$34,$B$35,$B$36,$B$38,$B$39)*100)</f>
        <v>16.995692978912562</v>
      </c>
      <c r="D35" s="233"/>
      <c r="G35" s="15"/>
    </row>
    <row r="36" spans="1:7">
      <c r="A36" s="171" t="s">
        <v>75</v>
      </c>
      <c r="B36" s="33">
        <f>IF((($B$28-$B$32-$B$39-$B$77-$B$38)*C22/100)&lt;0,0,($B$28-$B$32-$B$39-$B$77-$B$38)*C22/100)</f>
        <v>377.59540087010572</v>
      </c>
      <c r="C36" s="167">
        <f>IF(ISERROR(B36/SUM($B$32,$B$34,$B$35,$B$36,$B$38,$B$39)*100),0,B36/SUM($B$32,$B$34,$B$35,$B$36,$B$38,$B$39)*100)</f>
        <v>1.9322249558392475</v>
      </c>
      <c r="D36" s="233"/>
      <c r="G36" s="15"/>
    </row>
    <row r="37" spans="1:7">
      <c r="A37" s="171" t="s">
        <v>76</v>
      </c>
      <c r="B37" s="34" t="s">
        <v>111</v>
      </c>
      <c r="C37" s="167"/>
      <c r="D37" s="173"/>
      <c r="G37" s="15"/>
    </row>
    <row r="38" spans="1:7">
      <c r="A38" s="171" t="s">
        <v>77</v>
      </c>
      <c r="B38" s="33">
        <f>IF((B24-(B29-B18)*0.1)&lt;0,0,B24-(B29-B18)*0.1)</f>
        <v>145.5</v>
      </c>
      <c r="C38" s="167">
        <f>IF(ISERROR(B38/SUM($B$32,$B$34,$B$35,$B$36,$B$38,$B$39)*100),0,B38/SUM($B$32,$B$34,$B$35,$B$36,$B$38,$B$39)*100)</f>
        <v>0.74455019957015656</v>
      </c>
      <c r="D38" s="234"/>
      <c r="G38" s="15"/>
    </row>
    <row r="39" spans="1:7">
      <c r="A39" s="171" t="s">
        <v>78</v>
      </c>
      <c r="B39" s="33">
        <f>IF((B25-(B29-B18))&lt;0,0,B25-(B29-B18)*0.9)</f>
        <v>473.5</v>
      </c>
      <c r="C39" s="167">
        <f>IF(ISERROR(B39/SUM($B$32,$B$34,$B$35,$B$36,$B$38,$B$39)*100),0,B39/SUM($B$32,$B$34,$B$35,$B$36,$B$38,$B$39)*100)</f>
        <v>2.4229863882918843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14790</v>
      </c>
      <c r="C44" s="34" t="s">
        <v>111</v>
      </c>
      <c r="D44" s="174"/>
    </row>
    <row r="45" spans="1:7">
      <c r="A45" s="171" t="s">
        <v>72</v>
      </c>
      <c r="B45" s="33" t="str">
        <f t="shared" si="0"/>
        <v>-</v>
      </c>
      <c r="C45" s="34" t="s">
        <v>111</v>
      </c>
      <c r="D45" s="174"/>
    </row>
    <row r="46" spans="1:7">
      <c r="A46" s="171" t="s">
        <v>73</v>
      </c>
      <c r="B46" s="33">
        <f t="shared" si="0"/>
        <v>434.10627719080168</v>
      </c>
      <c r="C46" s="34" t="s">
        <v>111</v>
      </c>
      <c r="D46" s="174"/>
    </row>
    <row r="47" spans="1:7">
      <c r="A47" s="171" t="s">
        <v>74</v>
      </c>
      <c r="B47" s="33">
        <f t="shared" si="0"/>
        <v>3321.2983219390926</v>
      </c>
      <c r="C47" s="34" t="s">
        <v>111</v>
      </c>
      <c r="D47" s="174"/>
    </row>
    <row r="48" spans="1:7">
      <c r="A48" s="171" t="s">
        <v>75</v>
      </c>
      <c r="B48" s="33">
        <f t="shared" si="0"/>
        <v>377.59540087010572</v>
      </c>
      <c r="C48" s="33">
        <f>B48*10</f>
        <v>3775.9540087010573</v>
      </c>
      <c r="D48" s="234"/>
    </row>
    <row r="49" spans="1:6">
      <c r="A49" s="171" t="s">
        <v>76</v>
      </c>
      <c r="B49" s="33" t="str">
        <f t="shared" si="0"/>
        <v>-</v>
      </c>
      <c r="C49" s="34" t="s">
        <v>111</v>
      </c>
      <c r="D49" s="234"/>
    </row>
    <row r="50" spans="1:6">
      <c r="A50" s="171" t="s">
        <v>77</v>
      </c>
      <c r="B50" s="33">
        <f t="shared" si="0"/>
        <v>145.5</v>
      </c>
      <c r="C50" s="33">
        <f>B50*2</f>
        <v>291</v>
      </c>
      <c r="D50" s="234"/>
    </row>
    <row r="51" spans="1:6">
      <c r="A51" s="171" t="s">
        <v>78</v>
      </c>
      <c r="B51" s="33">
        <f t="shared" si="0"/>
        <v>473.5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79876.580845999997</v>
      </c>
      <c r="C5" s="17">
        <f>IF(ISERROR('Eigen informatie GS &amp; warmtenet'!B58),0,'Eigen informatie GS &amp; warmtenet'!B58)</f>
        <v>0</v>
      </c>
      <c r="D5" s="30">
        <f>SUM(D6:D12)</f>
        <v>104824.99189519501</v>
      </c>
      <c r="E5" s="17">
        <f>SUM(E6:E12)</f>
        <v>1349.9615758964787</v>
      </c>
      <c r="F5" s="17">
        <f>SUM(F6:F12)</f>
        <v>19534.333769074397</v>
      </c>
      <c r="G5" s="18"/>
      <c r="H5" s="17"/>
      <c r="I5" s="17"/>
      <c r="J5" s="17">
        <f>SUM(J6:J12)</f>
        <v>0</v>
      </c>
      <c r="K5" s="17"/>
      <c r="L5" s="17"/>
      <c r="M5" s="17"/>
      <c r="N5" s="17">
        <f>SUM(N6:N12)</f>
        <v>10219.5047990693</v>
      </c>
      <c r="O5" s="17">
        <f>B38*B39*B40</f>
        <v>3.1266666666666669</v>
      </c>
      <c r="P5" s="17">
        <f>B46*B47*B48/1000-B46*B47*B48/1000/B49</f>
        <v>57.2</v>
      </c>
      <c r="R5" s="32"/>
    </row>
    <row r="6" spans="1:18">
      <c r="A6" s="32" t="s">
        <v>54</v>
      </c>
      <c r="B6" s="37">
        <f>B26</f>
        <v>22837.527710999999</v>
      </c>
      <c r="C6" s="33"/>
      <c r="D6" s="37">
        <f>IF(ISERROR(TER_kantoor_gas_kWh/1000),0,TER_kantoor_gas_kWh/1000)*0.902</f>
        <v>17372.326338796</v>
      </c>
      <c r="E6" s="33">
        <f>$C$26*'E Balans VL '!I12/100/3.6*1000000</f>
        <v>298.97136949191224</v>
      </c>
      <c r="F6" s="33">
        <f>$C$26*('E Balans VL '!L12+'E Balans VL '!N12)/100/3.6*1000000</f>
        <v>5823.3335721091744</v>
      </c>
      <c r="G6" s="34"/>
      <c r="H6" s="33"/>
      <c r="I6" s="33"/>
      <c r="J6" s="33">
        <f>$C$26*('E Balans VL '!D12+'E Balans VL '!E12)/100/3.6*1000000</f>
        <v>0</v>
      </c>
      <c r="K6" s="33"/>
      <c r="L6" s="33"/>
      <c r="M6" s="33"/>
      <c r="N6" s="33">
        <f>$C$26*'E Balans VL '!Y12/100/3.6*1000000</f>
        <v>22.914431862324655</v>
      </c>
      <c r="O6" s="33"/>
      <c r="P6" s="33"/>
      <c r="R6" s="32"/>
    </row>
    <row r="7" spans="1:18">
      <c r="A7" s="32" t="s">
        <v>53</v>
      </c>
      <c r="B7" s="37">
        <f t="shared" ref="B7:B12" si="0">B27</f>
        <v>5099.9640159999999</v>
      </c>
      <c r="C7" s="33"/>
      <c r="D7" s="37">
        <f>IF(ISERROR(TER_horeca_gas_kWh/1000),0,TER_horeca_gas_kWh/1000)*0.902</f>
        <v>6999.4096834156007</v>
      </c>
      <c r="E7" s="33">
        <f>$C$27*'E Balans VL '!I9/100/3.6*1000000</f>
        <v>168.77778688915424</v>
      </c>
      <c r="F7" s="33">
        <f>$C$27*('E Balans VL '!L9+'E Balans VL '!N9)/100/3.6*1000000</f>
        <v>2192.9649814503869</v>
      </c>
      <c r="G7" s="34"/>
      <c r="H7" s="33"/>
      <c r="I7" s="33"/>
      <c r="J7" s="33">
        <f>$C$27*('E Balans VL '!D9+'E Balans VL '!E9)/100/3.6*1000000</f>
        <v>0</v>
      </c>
      <c r="K7" s="33"/>
      <c r="L7" s="33"/>
      <c r="M7" s="33"/>
      <c r="N7" s="33">
        <f>$C$27*'E Balans VL '!Y9/100/3.6*1000000</f>
        <v>1.2276353982560786</v>
      </c>
      <c r="O7" s="33"/>
      <c r="P7" s="33"/>
      <c r="R7" s="32"/>
    </row>
    <row r="8" spans="1:18">
      <c r="A8" s="6" t="s">
        <v>52</v>
      </c>
      <c r="B8" s="37">
        <f t="shared" si="0"/>
        <v>25083.632600000001</v>
      </c>
      <c r="C8" s="33"/>
      <c r="D8" s="37">
        <f>IF(ISERROR(TER_handel_gas_kWh/1000),0,TER_handel_gas_kWh/1000)*0.902</f>
        <v>17070.114013348</v>
      </c>
      <c r="E8" s="33">
        <f>$C$28*'E Balans VL '!I13/100/3.6*1000000</f>
        <v>791.67777150575932</v>
      </c>
      <c r="F8" s="33">
        <f>$C$28*('E Balans VL '!L13+'E Balans VL '!N13)/100/3.6*1000000</f>
        <v>4919.3420482072079</v>
      </c>
      <c r="G8" s="34"/>
      <c r="H8" s="33"/>
      <c r="I8" s="33"/>
      <c r="J8" s="33">
        <f>$C$28*('E Balans VL '!D13+'E Balans VL '!E13)/100/3.6*1000000</f>
        <v>0</v>
      </c>
      <c r="K8" s="33"/>
      <c r="L8" s="33"/>
      <c r="M8" s="33"/>
      <c r="N8" s="33">
        <f>$C$28*'E Balans VL '!Y13/100/3.6*1000000</f>
        <v>29.769401968716206</v>
      </c>
      <c r="O8" s="33"/>
      <c r="P8" s="33"/>
      <c r="R8" s="32"/>
    </row>
    <row r="9" spans="1:18">
      <c r="A9" s="32" t="s">
        <v>51</v>
      </c>
      <c r="B9" s="37">
        <f t="shared" si="0"/>
        <v>8116.4465367000003</v>
      </c>
      <c r="C9" s="33"/>
      <c r="D9" s="37">
        <f>IF(ISERROR(TER_gezond_gas_kWh/1000),0,TER_gezond_gas_kWh/1000)*0.902</f>
        <v>17455.768437536</v>
      </c>
      <c r="E9" s="33">
        <f>$C$29*'E Balans VL '!I10/100/3.6*1000000</f>
        <v>1.0391425980726521</v>
      </c>
      <c r="F9" s="33">
        <f>$C$29*('E Balans VL '!L10+'E Balans VL '!N10)/100/3.6*1000000</f>
        <v>1690.996005045258</v>
      </c>
      <c r="G9" s="34"/>
      <c r="H9" s="33"/>
      <c r="I9" s="33"/>
      <c r="J9" s="33">
        <f>$C$29*('E Balans VL '!D10+'E Balans VL '!E10)/100/3.6*1000000</f>
        <v>0</v>
      </c>
      <c r="K9" s="33"/>
      <c r="L9" s="33"/>
      <c r="M9" s="33"/>
      <c r="N9" s="33">
        <f>$C$29*'E Balans VL '!Y10/100/3.6*1000000</f>
        <v>95.331500910521939</v>
      </c>
      <c r="O9" s="33"/>
      <c r="P9" s="33"/>
      <c r="R9" s="32"/>
    </row>
    <row r="10" spans="1:18">
      <c r="A10" s="32" t="s">
        <v>50</v>
      </c>
      <c r="B10" s="37">
        <f t="shared" si="0"/>
        <v>12350.549402000001</v>
      </c>
      <c r="C10" s="33"/>
      <c r="D10" s="37">
        <f>IF(ISERROR(TER_ander_gas_kWh/1000),0,TER_ander_gas_kWh/1000)*0.902</f>
        <v>13056.080337850002</v>
      </c>
      <c r="E10" s="33">
        <f>$C$30*'E Balans VL '!I14/100/3.6*1000000</f>
        <v>18.572321876396735</v>
      </c>
      <c r="F10" s="33">
        <f>$C$30*('E Balans VL '!L14+'E Balans VL '!N14)/100/3.6*1000000</f>
        <v>2726.603192979052</v>
      </c>
      <c r="G10" s="34"/>
      <c r="H10" s="33"/>
      <c r="I10" s="33"/>
      <c r="J10" s="33">
        <f>$C$30*('E Balans VL '!D14+'E Balans VL '!E14)/100/3.6*1000000</f>
        <v>0</v>
      </c>
      <c r="K10" s="33"/>
      <c r="L10" s="33"/>
      <c r="M10" s="33"/>
      <c r="N10" s="33">
        <f>$C$30*'E Balans VL '!Y14/100/3.6*1000000</f>
        <v>9733.0640894128792</v>
      </c>
      <c r="O10" s="33"/>
      <c r="P10" s="33"/>
      <c r="R10" s="32"/>
    </row>
    <row r="11" spans="1:18">
      <c r="A11" s="32" t="s">
        <v>55</v>
      </c>
      <c r="B11" s="37">
        <f t="shared" si="0"/>
        <v>2622.5433816999998</v>
      </c>
      <c r="C11" s="33"/>
      <c r="D11" s="37">
        <f>IF(ISERROR(TER_onderwijs_gas_kWh/1000),0,TER_onderwijs_gas_kWh/1000)*0.902</f>
        <v>8431.0072113234</v>
      </c>
      <c r="E11" s="33">
        <f>$C$31*'E Balans VL '!I11/100/3.6*1000000</f>
        <v>4.6185186635494269</v>
      </c>
      <c r="F11" s="33">
        <f>$C$31*('E Balans VL '!L11+'E Balans VL '!N11)/100/3.6*1000000</f>
        <v>1210.8757341748951</v>
      </c>
      <c r="G11" s="34"/>
      <c r="H11" s="33"/>
      <c r="I11" s="33"/>
      <c r="J11" s="33">
        <f>$C$31*('E Balans VL '!D11+'E Balans VL '!E11)/100/3.6*1000000</f>
        <v>0</v>
      </c>
      <c r="K11" s="33"/>
      <c r="L11" s="33"/>
      <c r="M11" s="33"/>
      <c r="N11" s="33">
        <f>$C$31*'E Balans VL '!Y11/100/3.6*1000000</f>
        <v>4.8858345866791852</v>
      </c>
      <c r="O11" s="33"/>
      <c r="P11" s="33"/>
      <c r="R11" s="32"/>
    </row>
    <row r="12" spans="1:18">
      <c r="A12" s="32" t="s">
        <v>260</v>
      </c>
      <c r="B12" s="37">
        <f t="shared" si="0"/>
        <v>3765.9171985999997</v>
      </c>
      <c r="C12" s="33"/>
      <c r="D12" s="37">
        <f>IF(ISERROR(TER_rest_gas_kWh/1000),0,TER_rest_gas_kWh/1000)*0.902</f>
        <v>24440.285872926001</v>
      </c>
      <c r="E12" s="33">
        <f>$C$32*'E Balans VL '!I8/100/3.6*1000000</f>
        <v>66.304664871634316</v>
      </c>
      <c r="F12" s="33">
        <f>$C$32*('E Balans VL '!L8+'E Balans VL '!N8)/100/3.6*1000000</f>
        <v>970.21823510842228</v>
      </c>
      <c r="G12" s="34"/>
      <c r="H12" s="33"/>
      <c r="I12" s="33"/>
      <c r="J12" s="33">
        <f>$C$32*('E Balans VL '!D8+'E Balans VL '!E8)/100/3.6*1000000</f>
        <v>0</v>
      </c>
      <c r="K12" s="33"/>
      <c r="L12" s="33"/>
      <c r="M12" s="33"/>
      <c r="N12" s="33">
        <f>$C$32*'E Balans VL '!Y8/100/3.6*1000000</f>
        <v>332.31190492992209</v>
      </c>
      <c r="O12" s="33"/>
      <c r="P12" s="33"/>
      <c r="R12" s="32"/>
    </row>
    <row r="13" spans="1:18">
      <c r="A13" s="16" t="s">
        <v>491</v>
      </c>
      <c r="B13" s="247">
        <f ca="1">'lokale energieproductie'!N91+'lokale energieproductie'!N60</f>
        <v>4914</v>
      </c>
      <c r="C13" s="247">
        <f ca="1">'lokale energieproductie'!O91+'lokale energieproductie'!O60</f>
        <v>3535.7142857142858</v>
      </c>
      <c r="D13" s="310">
        <f ca="1">('lokale energieproductie'!P60+'lokale energieproductie'!P91)*(-1)</f>
        <v>-7071.4285714285716</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-6968.5714285714294</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84790.580845999997</v>
      </c>
      <c r="C16" s="21">
        <f t="shared" ca="1" si="1"/>
        <v>3535.7142857142858</v>
      </c>
      <c r="D16" s="21">
        <f t="shared" ca="1" si="1"/>
        <v>97753.563323766444</v>
      </c>
      <c r="E16" s="21">
        <f t="shared" si="1"/>
        <v>1349.9615758964787</v>
      </c>
      <c r="F16" s="21">
        <f t="shared" ca="1" si="1"/>
        <v>19534.333769074397</v>
      </c>
      <c r="G16" s="21">
        <f t="shared" si="1"/>
        <v>0</v>
      </c>
      <c r="H16" s="21">
        <f t="shared" si="1"/>
        <v>0</v>
      </c>
      <c r="I16" s="21">
        <f t="shared" si="1"/>
        <v>0</v>
      </c>
      <c r="J16" s="21">
        <f t="shared" si="1"/>
        <v>0</v>
      </c>
      <c r="K16" s="21">
        <f t="shared" si="1"/>
        <v>0</v>
      </c>
      <c r="L16" s="21">
        <f t="shared" ca="1" si="1"/>
        <v>0</v>
      </c>
      <c r="M16" s="21">
        <f t="shared" si="1"/>
        <v>0</v>
      </c>
      <c r="N16" s="21">
        <f t="shared" ca="1" si="1"/>
        <v>3250.9333704978708</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0.18786793990753917</v>
      </c>
      <c r="C18" s="25">
        <f ca="1">'EF ele_warmte'!B22</f>
        <v>0.23257274440025119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15929.431747101669</v>
      </c>
      <c r="C20" s="23">
        <f t="shared" ref="C20:P20" ca="1" si="2">C16*C18</f>
        <v>822.31077484374532</v>
      </c>
      <c r="D20" s="23">
        <f t="shared" ca="1" si="2"/>
        <v>19746.219791400825</v>
      </c>
      <c r="E20" s="23">
        <f t="shared" si="2"/>
        <v>306.44127772850067</v>
      </c>
      <c r="F20" s="23">
        <f t="shared" ca="1" si="2"/>
        <v>5215.6671163428646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22837.527710999999</v>
      </c>
      <c r="C26" s="39">
        <f>IF(ISERROR(B26*3.6/1000000/'E Balans VL '!Z12*100),0,B26*3.6/1000000/'E Balans VL '!Z12*100)</f>
        <v>0.4891975853540419</v>
      </c>
      <c r="D26" s="237" t="s">
        <v>660</v>
      </c>
      <c r="F26" s="6"/>
    </row>
    <row r="27" spans="1:18">
      <c r="A27" s="231" t="s">
        <v>53</v>
      </c>
      <c r="B27" s="33">
        <f>IF(ISERROR(TER_horeca_ele_kWh/1000),0,TER_horeca_ele_kWh/1000)</f>
        <v>5099.9640159999999</v>
      </c>
      <c r="C27" s="39">
        <f>IF(ISERROR(B27*3.6/1000000/'E Balans VL '!Z9*100),0,B27*3.6/1000000/'E Balans VL '!Z9*100)</f>
        <v>0.40925438499002587</v>
      </c>
      <c r="D27" s="237" t="s">
        <v>660</v>
      </c>
      <c r="F27" s="6"/>
    </row>
    <row r="28" spans="1:18">
      <c r="A28" s="171" t="s">
        <v>52</v>
      </c>
      <c r="B28" s="33">
        <f>IF(ISERROR(TER_handel_ele_kWh/1000),0,TER_handel_ele_kWh/1000)</f>
        <v>25083.632600000001</v>
      </c>
      <c r="C28" s="39">
        <f>IF(ISERROR(B28*3.6/1000000/'E Balans VL '!Z13*100),0,B28*3.6/1000000/'E Balans VL '!Z13*100)</f>
        <v>0.73982328772207318</v>
      </c>
      <c r="D28" s="237" t="s">
        <v>660</v>
      </c>
      <c r="F28" s="6"/>
    </row>
    <row r="29" spans="1:18">
      <c r="A29" s="231" t="s">
        <v>51</v>
      </c>
      <c r="B29" s="33">
        <f>IF(ISERROR(TER_gezond_ele_kWh/1000),0,TER_gezond_ele_kWh/1000)</f>
        <v>8116.4465367000003</v>
      </c>
      <c r="C29" s="39">
        <f>IF(ISERROR(B29*3.6/1000000/'E Balans VL '!Z10*100),0,B29*3.6/1000000/'E Balans VL '!Z10*100)</f>
        <v>0.86661888002759979</v>
      </c>
      <c r="D29" s="237" t="s">
        <v>660</v>
      </c>
      <c r="F29" s="6"/>
    </row>
    <row r="30" spans="1:18">
      <c r="A30" s="231" t="s">
        <v>50</v>
      </c>
      <c r="B30" s="33">
        <f>IF(ISERROR(TER_ander_ele_kWh/1000),0,TER_ander_ele_kWh/1000)</f>
        <v>12350.549402000001</v>
      </c>
      <c r="C30" s="39">
        <f>IF(ISERROR(B30*3.6/1000000/'E Balans VL '!Z14*100),0,B30*3.6/1000000/'E Balans VL '!Z14*100)</f>
        <v>0.93288549498428741</v>
      </c>
      <c r="D30" s="237" t="s">
        <v>660</v>
      </c>
      <c r="F30" s="6"/>
    </row>
    <row r="31" spans="1:18">
      <c r="A31" s="231" t="s">
        <v>55</v>
      </c>
      <c r="B31" s="33">
        <f>IF(ISERROR(TER_onderwijs_ele_kWh/1000),0,TER_onderwijs_ele_kWh/1000)</f>
        <v>2622.5433816999998</v>
      </c>
      <c r="C31" s="39">
        <f>IF(ISERROR(B31*3.6/1000000/'E Balans VL '!Z11*100),0,B31*3.6/1000000/'E Balans VL '!Z11*100)</f>
        <v>0.52957905602670585</v>
      </c>
      <c r="D31" s="237" t="s">
        <v>660</v>
      </c>
    </row>
    <row r="32" spans="1:18">
      <c r="A32" s="231" t="s">
        <v>260</v>
      </c>
      <c r="B32" s="33">
        <f>IF(ISERROR(TER_rest_ele_kWh/1000),0,TER_rest_ele_kWh/1000)</f>
        <v>3765.9171985999997</v>
      </c>
      <c r="C32" s="39">
        <f>IF(ISERROR(B32*3.6/1000000/'E Balans VL '!Z8*100),0,B32*3.6/1000000/'E Balans VL '!Z8*100)</f>
        <v>3.1224697578262187E-2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62523.796068809999</v>
      </c>
      <c r="C5" s="17">
        <f>IF(ISERROR('Eigen informatie GS &amp; warmtenet'!B59),0,'Eigen informatie GS &amp; warmtenet'!B59)</f>
        <v>0</v>
      </c>
      <c r="D5" s="30">
        <f>SUM(D6:D15)</f>
        <v>70035.725784545415</v>
      </c>
      <c r="E5" s="17">
        <f>SUM(E6:E15)</f>
        <v>5547.6826624886053</v>
      </c>
      <c r="F5" s="17">
        <f>SUM(F6:F15)</f>
        <v>24268.324397555873</v>
      </c>
      <c r="G5" s="18"/>
      <c r="H5" s="17"/>
      <c r="I5" s="17"/>
      <c r="J5" s="17">
        <f>SUM(J6:J15)</f>
        <v>270.12458290454225</v>
      </c>
      <c r="K5" s="17"/>
      <c r="L5" s="17"/>
      <c r="M5" s="17"/>
      <c r="N5" s="17">
        <f>SUM(N6:N15)</f>
        <v>15108.173264722755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9974.6140921999995</v>
      </c>
      <c r="C8" s="33"/>
      <c r="D8" s="37">
        <f>IF( ISERROR(IND_metaal_Gas_kWH/1000),0,IND_metaal_Gas_kWH/1000)*0.902</f>
        <v>6122.9060032756006</v>
      </c>
      <c r="E8" s="33">
        <f>C30*'E Balans VL '!I18/100/3.6*1000000</f>
        <v>358.91679029050522</v>
      </c>
      <c r="F8" s="33">
        <f>C30*'E Balans VL '!L18/100/3.6*1000000+C30*'E Balans VL '!N18/100/3.6*1000000</f>
        <v>4355.5906318632169</v>
      </c>
      <c r="G8" s="34"/>
      <c r="H8" s="33"/>
      <c r="I8" s="33"/>
      <c r="J8" s="40">
        <f>C30*'E Balans VL '!D18/100/3.6*1000000+C30*'E Balans VL '!E18/100/3.6*1000000</f>
        <v>0</v>
      </c>
      <c r="K8" s="33"/>
      <c r="L8" s="33"/>
      <c r="M8" s="33"/>
      <c r="N8" s="33">
        <f>C30*'E Balans VL '!Y18/100/3.6*1000000</f>
        <v>499.92087983254464</v>
      </c>
      <c r="O8" s="33"/>
      <c r="P8" s="33"/>
      <c r="R8" s="32"/>
    </row>
    <row r="9" spans="1:18">
      <c r="A9" s="6" t="s">
        <v>33</v>
      </c>
      <c r="B9" s="37">
        <f t="shared" si="0"/>
        <v>13208.344137</v>
      </c>
      <c r="C9" s="33"/>
      <c r="D9" s="37">
        <f>IF( ISERROR(IND_andere_gas_kWh/1000),0,IND_andere_gas_kWh/1000)*0.902</f>
        <v>3847.1585542126004</v>
      </c>
      <c r="E9" s="33">
        <f>C31*'E Balans VL '!I19/100/3.6*1000000</f>
        <v>3370.4705766059024</v>
      </c>
      <c r="F9" s="33">
        <f>C31*'E Balans VL '!L19/100/3.6*1000000+C31*'E Balans VL '!N19/100/3.6*1000000</f>
        <v>11371.391524215778</v>
      </c>
      <c r="G9" s="34"/>
      <c r="H9" s="33"/>
      <c r="I9" s="33"/>
      <c r="J9" s="40">
        <f>C31*'E Balans VL '!D19/100/3.6*1000000+C31*'E Balans VL '!E19/100/3.6*1000000</f>
        <v>0</v>
      </c>
      <c r="K9" s="33"/>
      <c r="L9" s="33"/>
      <c r="M9" s="33"/>
      <c r="N9" s="33">
        <f>C31*'E Balans VL '!Y19/100/3.6*1000000</f>
        <v>4130.7015501849064</v>
      </c>
      <c r="O9" s="33"/>
      <c r="P9" s="33"/>
      <c r="R9" s="32"/>
    </row>
    <row r="10" spans="1:18">
      <c r="A10" s="6" t="s">
        <v>41</v>
      </c>
      <c r="B10" s="37">
        <f t="shared" si="0"/>
        <v>9832.0085868999995</v>
      </c>
      <c r="C10" s="33"/>
      <c r="D10" s="37">
        <f>IF( ISERROR(IND_voed_gas_kWh/1000),0,IND_voed_gas_kWh/1000)*0.902</f>
        <v>4921.0509178138009</v>
      </c>
      <c r="E10" s="33">
        <f>C32*'E Balans VL '!I20/100/3.6*1000000</f>
        <v>249.94315873312715</v>
      </c>
      <c r="F10" s="33">
        <f>C32*'E Balans VL '!L20/100/3.6*1000000+C32*'E Balans VL '!N20/100/3.6*1000000</f>
        <v>2224.8359520383087</v>
      </c>
      <c r="G10" s="34"/>
      <c r="H10" s="33"/>
      <c r="I10" s="33"/>
      <c r="J10" s="40">
        <f>C32*'E Balans VL '!D20/100/3.6*1000000+C32*'E Balans VL '!E20/100/3.6*1000000</f>
        <v>0</v>
      </c>
      <c r="K10" s="33"/>
      <c r="L10" s="33"/>
      <c r="M10" s="33"/>
      <c r="N10" s="33">
        <f>C32*'E Balans VL '!Y20/100/3.6*1000000</f>
        <v>3687.2697271629459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178.11313469000001</v>
      </c>
      <c r="C12" s="33"/>
      <c r="D12" s="37">
        <f>IF( ISERROR(IND_min_gas_kWh/1000),0,IND_min_gas_kWh/1000)*0.902</f>
        <v>0</v>
      </c>
      <c r="E12" s="33">
        <f>C34*'E Balans VL '!I22/100/3.6*1000000</f>
        <v>3.7844577210675614</v>
      </c>
      <c r="F12" s="33">
        <f>C34*'E Balans VL '!L22/100/3.6*1000000+C34*'E Balans VL '!N22/100/3.6*1000000</f>
        <v>29.060675822372058</v>
      </c>
      <c r="G12" s="34"/>
      <c r="H12" s="33"/>
      <c r="I12" s="33"/>
      <c r="J12" s="40">
        <f>C34*'E Balans VL '!D22/100/3.6*1000000+C34*'E Balans VL '!E22/100/3.6*1000000</f>
        <v>0.20751842352276437</v>
      </c>
      <c r="K12" s="33"/>
      <c r="L12" s="33"/>
      <c r="M12" s="33"/>
      <c r="N12" s="33">
        <f>C34*'E Balans VL '!Y22/100/3.6*1000000</f>
        <v>0</v>
      </c>
      <c r="O12" s="33"/>
      <c r="P12" s="33"/>
      <c r="R12" s="32"/>
    </row>
    <row r="13" spans="1:18">
      <c r="A13" s="6" t="s">
        <v>39</v>
      </c>
      <c r="B13" s="37">
        <f t="shared" si="0"/>
        <v>546.07375402000002</v>
      </c>
      <c r="C13" s="33"/>
      <c r="D13" s="37">
        <f>IF( ISERROR(IND_papier_gas_kWh/1000),0,IND_papier_gas_kWh/1000)*0.902</f>
        <v>1954.3498886714003</v>
      </c>
      <c r="E13" s="33">
        <f>C35*'E Balans VL '!I23/100/3.6*1000000</f>
        <v>2.3419514684255942</v>
      </c>
      <c r="F13" s="33">
        <f>C35*'E Balans VL '!L23/100/3.6*1000000+C35*'E Balans VL '!N23/100/3.6*1000000</f>
        <v>13.724528343557347</v>
      </c>
      <c r="G13" s="34"/>
      <c r="H13" s="33"/>
      <c r="I13" s="33"/>
      <c r="J13" s="40">
        <f>C35*'E Balans VL '!D23/100/3.6*1000000+C35*'E Balans VL '!E23/100/3.6*1000000</f>
        <v>36.556642740304142</v>
      </c>
      <c r="K13" s="33"/>
      <c r="L13" s="33"/>
      <c r="M13" s="33"/>
      <c r="N13" s="33">
        <f>C35*'E Balans VL '!Y23/100/3.6*1000000</f>
        <v>993.9840936096216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28784.642363999999</v>
      </c>
      <c r="C15" s="33"/>
      <c r="D15" s="37">
        <f>IF( ISERROR(IND_rest_gas_kWh/1000),0,IND_rest_gas_kWh/1000)*0.902</f>
        <v>53190.260420572005</v>
      </c>
      <c r="E15" s="33">
        <f>C37*'E Balans VL '!I15/100/3.6*1000000</f>
        <v>1562.2257276695771</v>
      </c>
      <c r="F15" s="33">
        <f>C37*'E Balans VL '!L15/100/3.6*1000000+C37*'E Balans VL '!N15/100/3.6*1000000</f>
        <v>6273.7210852726366</v>
      </c>
      <c r="G15" s="34"/>
      <c r="H15" s="33"/>
      <c r="I15" s="33"/>
      <c r="J15" s="40">
        <f>C37*'E Balans VL '!D15/100/3.6*1000000+C37*'E Balans VL '!E15/100/3.6*1000000</f>
        <v>233.36042174071537</v>
      </c>
      <c r="K15" s="33"/>
      <c r="L15" s="33"/>
      <c r="M15" s="33"/>
      <c r="N15" s="33">
        <f>C37*'E Balans VL '!Y15/100/3.6*1000000</f>
        <v>5796.2970139327381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62523.796068809999</v>
      </c>
      <c r="C18" s="21">
        <f>C5+C16</f>
        <v>0</v>
      </c>
      <c r="D18" s="21">
        <f>MAX((D5+D16),0)</f>
        <v>70035.725784545415</v>
      </c>
      <c r="E18" s="21">
        <f>MAX((E5+E16),0)</f>
        <v>5547.6826624886053</v>
      </c>
      <c r="F18" s="21">
        <f>MAX((F5+F16),0)</f>
        <v>24268.324397555873</v>
      </c>
      <c r="G18" s="21"/>
      <c r="H18" s="21"/>
      <c r="I18" s="21"/>
      <c r="J18" s="21">
        <f>MAX((J5+J16),0)</f>
        <v>270.12458290454225</v>
      </c>
      <c r="K18" s="21"/>
      <c r="L18" s="21">
        <f>MAX((L5+L16),0)</f>
        <v>0</v>
      </c>
      <c r="M18" s="21"/>
      <c r="N18" s="21">
        <f>MAX((N5+N16),0)</f>
        <v>15108.173264722755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0.18786793990753917</v>
      </c>
      <c r="C20" s="25">
        <f ca="1">'EF ele_warmte'!B22</f>
        <v>0.23257274440025119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11746.216762646431</v>
      </c>
      <c r="C22" s="23">
        <f ca="1">C18*C20</f>
        <v>0</v>
      </c>
      <c r="D22" s="23">
        <f>D18*D20</f>
        <v>14147.216608478175</v>
      </c>
      <c r="E22" s="23">
        <f>E18*E20</f>
        <v>1259.3239643849133</v>
      </c>
      <c r="F22" s="23">
        <f>F18*F20</f>
        <v>6479.6426141474185</v>
      </c>
      <c r="G22" s="23"/>
      <c r="H22" s="23"/>
      <c r="I22" s="23"/>
      <c r="J22" s="23">
        <f>J18*J20</f>
        <v>95.624102348207956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9974.6140921999995</v>
      </c>
      <c r="C30" s="39">
        <f>IF(ISERROR(B30*3.6/1000000/'E Balans VL '!Z18*100),0,B30*3.6/1000000/'E Balans VL '!Z18*100)</f>
        <v>2.1134068760471787</v>
      </c>
      <c r="D30" s="237" t="s">
        <v>660</v>
      </c>
    </row>
    <row r="31" spans="1:18">
      <c r="A31" s="6" t="s">
        <v>33</v>
      </c>
      <c r="B31" s="37">
        <f>IF( ISERROR(IND_ander_ele_kWh/1000),0,IND_ander_ele_kWh/1000)</f>
        <v>13208.344137</v>
      </c>
      <c r="C31" s="39">
        <f>IF(ISERROR(B31*3.6/1000000/'E Balans VL '!Z19*100),0,B31*3.6/1000000/'E Balans VL '!Z19*100)</f>
        <v>0.55596919645286869</v>
      </c>
      <c r="D31" s="237" t="s">
        <v>660</v>
      </c>
    </row>
    <row r="32" spans="1:18">
      <c r="A32" s="171" t="s">
        <v>41</v>
      </c>
      <c r="B32" s="37">
        <f>IF( ISERROR(IND_voed_ele_kWh/1000),0,IND_voed_ele_kWh/1000)</f>
        <v>9832.0085868999995</v>
      </c>
      <c r="C32" s="39">
        <f>IF(ISERROR(B32*3.6/1000000/'E Balans VL '!Z20*100),0,B32*3.6/1000000/'E Balans VL '!Z20*100)</f>
        <v>1.6425482759679835</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178.11313469000001</v>
      </c>
      <c r="C34" s="39">
        <f>IF(ISERROR(B34*3.6/1000000/'E Balans VL '!Z22*100),0,B34*3.6/1000000/'E Balans VL '!Z22*100)</f>
        <v>2.2576800383255904E-2</v>
      </c>
      <c r="D34" s="237" t="s">
        <v>660</v>
      </c>
    </row>
    <row r="35" spans="1:5">
      <c r="A35" s="171" t="s">
        <v>39</v>
      </c>
      <c r="B35" s="37">
        <f>IF( ISERROR(IND_papier_ele_kWh/1000),0,IND_papier_ele_kWh/1000)</f>
        <v>546.07375402000002</v>
      </c>
      <c r="C35" s="39">
        <f>IF(ISERROR(B35*3.6/1000000/'E Balans VL '!Z22*100),0,B35*3.6/1000000/'E Balans VL '!Z22*100)</f>
        <v>6.9217793289092569E-2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28784.642363999999</v>
      </c>
      <c r="C37" s="39">
        <f>IF(ISERROR(B37*3.6/1000000/'E Balans VL '!Z15*100),0,B37*3.6/1000000/'E Balans VL '!Z15*100)</f>
        <v>0.23238956372895478</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1118.69675173</v>
      </c>
      <c r="C5" s="17">
        <f>'Eigen informatie GS &amp; warmtenet'!B60</f>
        <v>0</v>
      </c>
      <c r="D5" s="30">
        <f>IF(ISERROR(SUM(LB_lb_gas_kWh,LB_rest_gas_kWh)/1000),0,SUM(LB_lb_gas_kWh,LB_rest_gas_kWh)/1000)*0.902</f>
        <v>2027.8518481914002</v>
      </c>
      <c r="E5" s="17">
        <f>B17*'E Balans VL '!I25/3.6*1000000/100</f>
        <v>28.846893928190003</v>
      </c>
      <c r="F5" s="17">
        <f>B17*('E Balans VL '!L25/3.6*1000000+'E Balans VL '!N25/3.6*1000000)/100</f>
        <v>4089.0496730203786</v>
      </c>
      <c r="G5" s="18"/>
      <c r="H5" s="17"/>
      <c r="I5" s="17"/>
      <c r="J5" s="17">
        <f>('E Balans VL '!D25+'E Balans VL '!E25)/3.6*1000000*landbouw!B17/100</f>
        <v>161.0511791353442</v>
      </c>
      <c r="K5" s="17"/>
      <c r="L5" s="17">
        <f>L6*(-1)</f>
        <v>0</v>
      </c>
      <c r="M5" s="17"/>
      <c r="N5" s="17">
        <f>N6*(-1)</f>
        <v>154.28571428571431</v>
      </c>
      <c r="O5" s="17"/>
      <c r="P5" s="17"/>
      <c r="R5" s="32"/>
    </row>
    <row r="6" spans="1:18">
      <c r="A6" s="16" t="s">
        <v>491</v>
      </c>
      <c r="B6" s="17" t="s">
        <v>211</v>
      </c>
      <c r="C6" s="17">
        <f>'lokale energieproductie'!O92+'lokale energieproductie'!O61</f>
        <v>77.142857142857139</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-154.28571428571431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1118.69675173</v>
      </c>
      <c r="C8" s="21">
        <f>C5+C6</f>
        <v>77.142857142857139</v>
      </c>
      <c r="D8" s="21">
        <f>MAX((D5+D6),0)</f>
        <v>2027.8518481914002</v>
      </c>
      <c r="E8" s="21">
        <f>MAX((E5+E6),0)</f>
        <v>28.846893928190003</v>
      </c>
      <c r="F8" s="21">
        <f>MAX((F5+F6),0)</f>
        <v>4089.0496730203786</v>
      </c>
      <c r="G8" s="21"/>
      <c r="H8" s="21"/>
      <c r="I8" s="21"/>
      <c r="J8" s="21">
        <f>MAX((J5+J6),0)</f>
        <v>161.0511791353442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0.18786793990753917</v>
      </c>
      <c r="C10" s="31">
        <f ca="1">'EF ele_warmte'!B22</f>
        <v>0.23257274440025119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210.16725412877091</v>
      </c>
      <c r="C12" s="23">
        <f ca="1">C8*C10</f>
        <v>17.941325996590805</v>
      </c>
      <c r="D12" s="23">
        <f>D8*D10</f>
        <v>409.62607333466286</v>
      </c>
      <c r="E12" s="23">
        <f>E8*E10</f>
        <v>6.5482449216991307</v>
      </c>
      <c r="F12" s="23">
        <f>F8*F10</f>
        <v>1091.7762626964411</v>
      </c>
      <c r="G12" s="23"/>
      <c r="H12" s="23"/>
      <c r="I12" s="23"/>
      <c r="J12" s="23">
        <f>J8*J10</f>
        <v>57.012117413911845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0.15774365207505817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345.62701501221062</v>
      </c>
      <c r="C26" s="247">
        <f>B26*'GWP N2O_CH4'!B5</f>
        <v>7258.1673152564226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62.853138506897423</v>
      </c>
      <c r="C27" s="247">
        <f>B27*'GWP N2O_CH4'!B5</f>
        <v>1319.9159086448458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4.9543535352667654</v>
      </c>
      <c r="C28" s="247">
        <f>B28*'GWP N2O_CH4'!B4</f>
        <v>1535.8495959326972</v>
      </c>
      <c r="D28" s="50"/>
    </row>
    <row r="29" spans="1:4">
      <c r="A29" s="41" t="s">
        <v>277</v>
      </c>
      <c r="B29" s="247">
        <f>B34*'ha_N2O bodem landbouw'!B4</f>
        <v>13.702598234802492</v>
      </c>
      <c r="C29" s="247">
        <f>B29*'GWP N2O_CH4'!B4</f>
        <v>4247.8054527887725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3.0838292236792099E-3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1.9090368426959278E-4</v>
      </c>
      <c r="C5" s="463" t="s">
        <v>211</v>
      </c>
      <c r="D5" s="448">
        <f>SUM(D6:D11)</f>
        <v>4.4637485083698033E-4</v>
      </c>
      <c r="E5" s="448">
        <f>SUM(E6:E11)</f>
        <v>1.7110707797573874E-3</v>
      </c>
      <c r="F5" s="461" t="s">
        <v>211</v>
      </c>
      <c r="G5" s="448">
        <f>SUM(G6:G11)</f>
        <v>0.61380424185891103</v>
      </c>
      <c r="H5" s="448">
        <f>SUM(H6:H11)</f>
        <v>0.11965080162068167</v>
      </c>
      <c r="I5" s="463" t="s">
        <v>211</v>
      </c>
      <c r="J5" s="463" t="s">
        <v>211</v>
      </c>
      <c r="K5" s="463" t="s">
        <v>211</v>
      </c>
      <c r="L5" s="463" t="s">
        <v>211</v>
      </c>
      <c r="M5" s="448">
        <f>SUM(M6:M11)</f>
        <v>2.2922798788855475E-2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1.4711906351378239E-4</v>
      </c>
      <c r="C6" s="449"/>
      <c r="D6" s="892">
        <f>vkm_2011_GW_PW*SUMIFS(TableVerdeelsleutelVkm[CNG],TableVerdeelsleutelVkm[Voertuigtype],"Lichte voertuigen")*SUMIFS(TableECFTransport[EnergieConsumptieFactor (PJ per km)],TableECFTransport[Index],CONCATENATE($A6,"_CNG_CNG"))</f>
        <v>2.9232815621803158E-4</v>
      </c>
      <c r="E6" s="892">
        <f>vkm_2011_GW_PW*SUMIFS(TableVerdeelsleutelVkm[LPG],TableVerdeelsleutelVkm[Voertuigtype],"Lichte voertuigen")*SUMIFS(TableECFTransport[EnergieConsumptieFactor (PJ per km)],TableECFTransport[Index],CONCATENATE($A6,"_LPG_LPG"))</f>
        <v>1.150416086506298E-3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0.27352947229352748</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7.9142026386373118E-2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1.0989569560489122E-2</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0.19021902944235222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6.1448871431874251E-5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5.9935105681442995E-3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4.3784620755810381E-5</v>
      </c>
      <c r="C8" s="449"/>
      <c r="D8" s="451">
        <f>vkm_2011_NGW_PW*SUMIFS(TableVerdeelsleutelVkm[CNG],TableVerdeelsleutelVkm[Voertuigtype],"Lichte voertuigen")*SUMIFS(TableECFTransport[EnergieConsumptieFactor (PJ per km)],TableECFTransport[Index],CONCATENATE($A8,"_CNG_CNG"))</f>
        <v>1.5404669461894878E-4</v>
      </c>
      <c r="E8" s="451">
        <f>vkm_2011_NGW_PW*SUMIFS(TableVerdeelsleutelVkm[LPG],TableVerdeelsleutelVkm[Voertuigtype],"Lichte voertuigen")*SUMIFS(TableECFTransport[EnergieConsumptieFactor (PJ per km)],TableECFTransport[Index],CONCATENATE($A8,"_LPG_LPG"))</f>
        <v>5.606546932510894E-4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0.12448110247897629</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4.0439513094226373E-2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5.1339144091117686E-3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2.5574637644055091E-2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7.813268650305755E-6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8.0580425111028624E-4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53.028801185997992</v>
      </c>
      <c r="C14" s="21"/>
      <c r="D14" s="21">
        <f t="shared" ref="D14:M14" si="0">((D5)*10^9/3600)+D12</f>
        <v>123.99301412138342</v>
      </c>
      <c r="E14" s="21">
        <f t="shared" si="0"/>
        <v>475.29743882149654</v>
      </c>
      <c r="F14" s="21"/>
      <c r="G14" s="21">
        <f t="shared" si="0"/>
        <v>170501.17829414195</v>
      </c>
      <c r="H14" s="21">
        <f t="shared" si="0"/>
        <v>33236.333783522685</v>
      </c>
      <c r="I14" s="21"/>
      <c r="J14" s="21"/>
      <c r="K14" s="21"/>
      <c r="L14" s="21"/>
      <c r="M14" s="21">
        <f t="shared" si="0"/>
        <v>6367.4441080154093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0.18786793990753917</v>
      </c>
      <c r="C16" s="56">
        <f ca="1">'EF ele_warmte'!B22</f>
        <v>0.23257274440025119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9.9624116345799116</v>
      </c>
      <c r="C18" s="23"/>
      <c r="D18" s="23">
        <f t="shared" ref="D18:M18" si="1">D14*D16</f>
        <v>25.046588852519452</v>
      </c>
      <c r="E18" s="23">
        <f t="shared" si="1"/>
        <v>107.89251861247972</v>
      </c>
      <c r="F18" s="23"/>
      <c r="G18" s="23">
        <f t="shared" si="1"/>
        <v>45523.814604535903</v>
      </c>
      <c r="H18" s="23">
        <f t="shared" si="1"/>
        <v>8275.8471120971481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1.3897194765402994E-2</v>
      </c>
      <c r="H50" s="321">
        <f t="shared" si="2"/>
        <v>0</v>
      </c>
      <c r="I50" s="321">
        <f t="shared" si="2"/>
        <v>0</v>
      </c>
      <c r="J50" s="321">
        <f t="shared" si="2"/>
        <v>0</v>
      </c>
      <c r="K50" s="321">
        <f t="shared" si="2"/>
        <v>0</v>
      </c>
      <c r="L50" s="321">
        <f t="shared" si="2"/>
        <v>0</v>
      </c>
      <c r="M50" s="321">
        <f t="shared" si="2"/>
        <v>4.3105989106759647E-4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1.3897194765402994E-2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4.3105989106759647E-4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3860.3318792786099</v>
      </c>
      <c r="H54" s="21">
        <f t="shared" si="3"/>
        <v>0</v>
      </c>
      <c r="I54" s="21">
        <f t="shared" si="3"/>
        <v>0</v>
      </c>
      <c r="J54" s="21">
        <f t="shared" si="3"/>
        <v>0</v>
      </c>
      <c r="K54" s="21">
        <f t="shared" si="3"/>
        <v>0</v>
      </c>
      <c r="L54" s="21">
        <f t="shared" si="3"/>
        <v>0</v>
      </c>
      <c r="M54" s="21">
        <f t="shared" si="3"/>
        <v>119.7388586298879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0.18786793990753917</v>
      </c>
      <c r="C56" s="56">
        <f ca="1">'EF ele_warmte'!B22</f>
        <v>0.23257274440025119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1030.7086117673889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15698.276525698666</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16114.623974884193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2529</v>
      </c>
      <c r="C8" s="570">
        <f>B101</f>
        <v>2911.7647058823527</v>
      </c>
      <c r="D8" s="1043"/>
      <c r="E8" s="1043">
        <f>E101</f>
        <v>0</v>
      </c>
      <c r="F8" s="1044"/>
      <c r="G8" s="571"/>
      <c r="H8" s="1043">
        <f>I101</f>
        <v>0</v>
      </c>
      <c r="I8" s="1043">
        <f>G101+F101</f>
        <v>0</v>
      </c>
      <c r="J8" s="1043">
        <f>H101+D101+C101</f>
        <v>63.529411764705891</v>
      </c>
      <c r="K8" s="1043"/>
      <c r="L8" s="1043"/>
      <c r="M8" s="1043"/>
      <c r="N8" s="572"/>
      <c r="O8" s="573">
        <f>C8*$C$12+D8*$D$12+E8*$E$12+F8*$F$12+G8*$G$12+H8*$H$12+I8*$I$12+J8*$J$12</f>
        <v>588.17647058823525</v>
      </c>
      <c r="P8" s="1258"/>
      <c r="Q8" s="1259"/>
      <c r="S8" s="1007"/>
      <c r="T8" s="1237"/>
      <c r="U8" s="1237"/>
    </row>
    <row r="9" spans="1:21" s="559" customFormat="1" ht="17.45" customHeight="1" thickBot="1">
      <c r="A9" s="574" t="s">
        <v>248</v>
      </c>
      <c r="B9" s="575">
        <f>N89+'Eigen informatie GS &amp; warmtenet'!B12</f>
        <v>2439</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6968.5714285714294</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36780.900500582859</v>
      </c>
      <c r="C10" s="583">
        <f t="shared" ref="C10:L10" si="0">SUM(C8:C9)</f>
        <v>2911.7647058823527</v>
      </c>
      <c r="D10" s="583">
        <f t="shared" si="0"/>
        <v>0</v>
      </c>
      <c r="E10" s="583">
        <f t="shared" si="0"/>
        <v>0</v>
      </c>
      <c r="F10" s="583">
        <f t="shared" si="0"/>
        <v>0</v>
      </c>
      <c r="G10" s="583">
        <f t="shared" si="0"/>
        <v>0</v>
      </c>
      <c r="H10" s="583">
        <f t="shared" si="0"/>
        <v>0</v>
      </c>
      <c r="I10" s="583">
        <f t="shared" si="0"/>
        <v>0</v>
      </c>
      <c r="J10" s="583">
        <f t="shared" si="0"/>
        <v>7032.1008403361357</v>
      </c>
      <c r="K10" s="583">
        <f t="shared" si="0"/>
        <v>0</v>
      </c>
      <c r="L10" s="583">
        <f t="shared" si="0"/>
        <v>0</v>
      </c>
      <c r="M10" s="1046"/>
      <c r="N10" s="1046"/>
      <c r="O10" s="584">
        <f>SUM(O4:O9)</f>
        <v>588.17647058823525</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3612.8571428571431</v>
      </c>
      <c r="C17" s="595">
        <f>B102</f>
        <v>4159.6638655462184</v>
      </c>
      <c r="D17" s="596"/>
      <c r="E17" s="596">
        <f>E102</f>
        <v>0</v>
      </c>
      <c r="F17" s="1049"/>
      <c r="G17" s="597"/>
      <c r="H17" s="595">
        <f>I102</f>
        <v>0</v>
      </c>
      <c r="I17" s="596">
        <f>G102+F102</f>
        <v>0</v>
      </c>
      <c r="J17" s="596">
        <f>H102+D102+C102</f>
        <v>90.756302521008422</v>
      </c>
      <c r="K17" s="596"/>
      <c r="L17" s="596"/>
      <c r="M17" s="596"/>
      <c r="N17" s="1050"/>
      <c r="O17" s="598">
        <f>C17*$C$22+E17*$E$22+H17*$H$22+I17*$I$22+J17*$J$22+D17*$D$22+F17*$F$22+G17*$G$22+K17*$K$22+L17*$L$22</f>
        <v>840.2521008403362</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3612.8571428571431</v>
      </c>
      <c r="C20" s="582">
        <f>SUM(C17:C19)</f>
        <v>4159.6638655462184</v>
      </c>
      <c r="D20" s="582">
        <f t="shared" ref="D20:L20" si="1">SUM(D17:D19)</f>
        <v>0</v>
      </c>
      <c r="E20" s="582">
        <f t="shared" si="1"/>
        <v>0</v>
      </c>
      <c r="F20" s="582">
        <f t="shared" si="1"/>
        <v>0</v>
      </c>
      <c r="G20" s="582">
        <f t="shared" si="1"/>
        <v>0</v>
      </c>
      <c r="H20" s="582">
        <f t="shared" si="1"/>
        <v>0</v>
      </c>
      <c r="I20" s="582">
        <f t="shared" si="1"/>
        <v>0</v>
      </c>
      <c r="J20" s="582">
        <f t="shared" si="1"/>
        <v>90.756302521008422</v>
      </c>
      <c r="K20" s="582">
        <f t="shared" si="1"/>
        <v>0</v>
      </c>
      <c r="L20" s="582">
        <f t="shared" si="1"/>
        <v>0</v>
      </c>
      <c r="M20" s="582"/>
      <c r="N20" s="582"/>
      <c r="O20" s="601">
        <f>SUM(O17:O19)</f>
        <v>840.2521008403362</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42006</v>
      </c>
      <c r="C28" s="796">
        <v>9200</v>
      </c>
      <c r="D28" s="653" t="s">
        <v>890</v>
      </c>
      <c r="E28" s="652" t="s">
        <v>891</v>
      </c>
      <c r="F28" s="652" t="s">
        <v>892</v>
      </c>
      <c r="G28" s="652" t="s">
        <v>893</v>
      </c>
      <c r="H28" s="652" t="s">
        <v>894</v>
      </c>
      <c r="I28" s="652" t="s">
        <v>891</v>
      </c>
      <c r="J28" s="795">
        <v>40968</v>
      </c>
      <c r="K28" s="795">
        <v>41091</v>
      </c>
      <c r="L28" s="652" t="s">
        <v>895</v>
      </c>
      <c r="M28" s="652">
        <v>12</v>
      </c>
      <c r="N28" s="652">
        <v>54</v>
      </c>
      <c r="O28" s="652">
        <v>77.142857142857139</v>
      </c>
      <c r="P28" s="652">
        <v>0</v>
      </c>
      <c r="Q28" s="652">
        <v>0</v>
      </c>
      <c r="R28" s="652">
        <v>0</v>
      </c>
      <c r="S28" s="652">
        <v>0</v>
      </c>
      <c r="T28" s="652">
        <v>0</v>
      </c>
      <c r="U28" s="652">
        <v>0</v>
      </c>
      <c r="V28" s="652">
        <v>154.28571428571431</v>
      </c>
      <c r="W28" s="652">
        <v>0</v>
      </c>
      <c r="X28" s="652">
        <v>10</v>
      </c>
      <c r="Y28" s="652" t="s">
        <v>112</v>
      </c>
      <c r="Z28" s="654" t="s">
        <v>112</v>
      </c>
    </row>
    <row r="29" spans="1:26" s="606" customFormat="1" ht="51">
      <c r="A29" s="605"/>
      <c r="B29" s="796">
        <v>42006</v>
      </c>
      <c r="C29" s="796">
        <v>9200</v>
      </c>
      <c r="D29" s="653"/>
      <c r="E29" s="652"/>
      <c r="F29" s="652" t="s">
        <v>896</v>
      </c>
      <c r="G29" s="652" t="s">
        <v>893</v>
      </c>
      <c r="H29" s="652" t="s">
        <v>894</v>
      </c>
      <c r="I29" s="652" t="s">
        <v>897</v>
      </c>
      <c r="J29" s="795">
        <v>41999</v>
      </c>
      <c r="K29" s="795">
        <v>42032</v>
      </c>
      <c r="L29" s="652" t="s">
        <v>895</v>
      </c>
      <c r="M29" s="652">
        <v>600</v>
      </c>
      <c r="N29" s="652">
        <v>2475</v>
      </c>
      <c r="O29" s="652">
        <v>3535.7142857142858</v>
      </c>
      <c r="P29" s="652">
        <v>7071.4285714285716</v>
      </c>
      <c r="Q29" s="652">
        <v>0</v>
      </c>
      <c r="R29" s="652">
        <v>0</v>
      </c>
      <c r="S29" s="652">
        <v>0</v>
      </c>
      <c r="T29" s="652">
        <v>0</v>
      </c>
      <c r="U29" s="652">
        <v>0</v>
      </c>
      <c r="V29" s="652">
        <v>0</v>
      </c>
      <c r="W29" s="652">
        <v>0</v>
      </c>
      <c r="X29" s="652">
        <v>1500</v>
      </c>
      <c r="Y29" s="652" t="s">
        <v>51</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612</v>
      </c>
      <c r="N58" s="610">
        <f>SUM(N28:N57)</f>
        <v>2529</v>
      </c>
      <c r="O58" s="610">
        <f t="shared" ref="O58:W58" si="2">SUM(O28:O57)</f>
        <v>3612.8571428571431</v>
      </c>
      <c r="P58" s="610">
        <f t="shared" si="2"/>
        <v>7071.4285714285716</v>
      </c>
      <c r="Q58" s="610">
        <f t="shared" si="2"/>
        <v>0</v>
      </c>
      <c r="R58" s="610">
        <f t="shared" si="2"/>
        <v>0</v>
      </c>
      <c r="S58" s="610">
        <f t="shared" si="2"/>
        <v>0</v>
      </c>
      <c r="T58" s="610">
        <f t="shared" si="2"/>
        <v>0</v>
      </c>
      <c r="U58" s="610">
        <f t="shared" si="2"/>
        <v>0</v>
      </c>
      <c r="V58" s="610">
        <f t="shared" si="2"/>
        <v>154.28571428571431</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600</v>
      </c>
      <c r="N60" s="610">
        <f ca="1">SUMIF($Z$28:AD57,"tertiair",N28:N57)</f>
        <v>2475</v>
      </c>
      <c r="O60" s="610">
        <f ca="1">SUMIF($Z$28:AE57,"tertiair",O28:O57)</f>
        <v>3535.7142857142858</v>
      </c>
      <c r="P60" s="610">
        <f ca="1">SUMIF($Z$28:AF57,"tertiair",P28:P57)</f>
        <v>7071.4285714285716</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12</v>
      </c>
      <c r="N61" s="615">
        <f t="shared" si="4"/>
        <v>54</v>
      </c>
      <c r="O61" s="615">
        <f t="shared" si="4"/>
        <v>77.142857142857139</v>
      </c>
      <c r="P61" s="615">
        <f t="shared" si="4"/>
        <v>0</v>
      </c>
      <c r="Q61" s="615">
        <f t="shared" si="4"/>
        <v>0</v>
      </c>
      <c r="R61" s="615">
        <f t="shared" si="4"/>
        <v>0</v>
      </c>
      <c r="S61" s="615">
        <f t="shared" si="4"/>
        <v>0</v>
      </c>
      <c r="T61" s="615">
        <f t="shared" si="4"/>
        <v>0</v>
      </c>
      <c r="U61" s="615">
        <f t="shared" si="4"/>
        <v>0</v>
      </c>
      <c r="V61" s="615">
        <f t="shared" si="4"/>
        <v>154.28571428571431</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42006</v>
      </c>
      <c r="C64" s="796">
        <v>9200</v>
      </c>
      <c r="D64" s="655" t="s">
        <v>898</v>
      </c>
      <c r="E64" s="655" t="s">
        <v>899</v>
      </c>
      <c r="F64" s="655" t="s">
        <v>900</v>
      </c>
      <c r="G64" s="655" t="s">
        <v>901</v>
      </c>
      <c r="H64" s="655" t="s">
        <v>902</v>
      </c>
      <c r="I64" s="655" t="s">
        <v>903</v>
      </c>
      <c r="J64" s="795">
        <v>39295</v>
      </c>
      <c r="K64" s="795">
        <v>37469</v>
      </c>
      <c r="L64" s="655" t="s">
        <v>904</v>
      </c>
      <c r="M64" s="655">
        <v>542</v>
      </c>
      <c r="N64" s="655">
        <v>2439</v>
      </c>
      <c r="O64" s="655">
        <v>0</v>
      </c>
      <c r="P64" s="655">
        <v>0</v>
      </c>
      <c r="Q64" s="655">
        <v>6968.5714285714294</v>
      </c>
      <c r="R64" s="655">
        <v>0</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542</v>
      </c>
      <c r="N89" s="610">
        <f t="shared" ref="N89:W89" si="5">SUM(N64:N88)</f>
        <v>2439</v>
      </c>
      <c r="O89" s="610">
        <f t="shared" si="5"/>
        <v>0</v>
      </c>
      <c r="P89" s="610">
        <f t="shared" si="5"/>
        <v>0</v>
      </c>
      <c r="Q89" s="610">
        <f t="shared" si="5"/>
        <v>6968.5714285714294</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542</v>
      </c>
      <c r="N91" s="610">
        <f t="shared" si="7"/>
        <v>2439</v>
      </c>
      <c r="O91" s="610">
        <f t="shared" si="7"/>
        <v>0</v>
      </c>
      <c r="P91" s="610">
        <f t="shared" si="7"/>
        <v>0</v>
      </c>
      <c r="Q91" s="610">
        <f t="shared" si="7"/>
        <v>6968.5714285714294</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2911.7647058823527</v>
      </c>
      <c r="C101" s="644">
        <f t="shared" si="9"/>
        <v>0</v>
      </c>
      <c r="D101" s="644">
        <f t="shared" si="9"/>
        <v>0</v>
      </c>
      <c r="E101" s="644">
        <f t="shared" si="9"/>
        <v>0</v>
      </c>
      <c r="F101" s="644">
        <f t="shared" si="9"/>
        <v>0</v>
      </c>
      <c r="G101" s="644">
        <f t="shared" si="9"/>
        <v>0</v>
      </c>
      <c r="H101" s="644">
        <f t="shared" si="9"/>
        <v>63.529411764705891</v>
      </c>
      <c r="I101" s="645">
        <f t="shared" si="9"/>
        <v>0</v>
      </c>
      <c r="J101" s="602"/>
      <c r="K101" s="602"/>
      <c r="L101" s="640"/>
      <c r="M101" s="640"/>
      <c r="N101" s="640"/>
      <c r="O101" s="627"/>
      <c r="P101" s="627"/>
    </row>
    <row r="102" spans="1:16" ht="15.75" thickBot="1">
      <c r="A102" s="646" t="s">
        <v>286</v>
      </c>
      <c r="B102" s="647">
        <f t="shared" ref="B102:I102" si="10">$B$98*P58</f>
        <v>4159.6638655462184</v>
      </c>
      <c r="C102" s="647">
        <f t="shared" si="10"/>
        <v>0</v>
      </c>
      <c r="D102" s="647">
        <f t="shared" si="10"/>
        <v>0</v>
      </c>
      <c r="E102" s="647">
        <f t="shared" si="10"/>
        <v>0</v>
      </c>
      <c r="F102" s="647">
        <f t="shared" si="10"/>
        <v>0</v>
      </c>
      <c r="G102" s="647">
        <f t="shared" si="10"/>
        <v>0</v>
      </c>
      <c r="H102" s="647">
        <f t="shared" si="10"/>
        <v>90.756302521008422</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2019-08-12T08:25:14Z</dcterms:modified>
</cp:coreProperties>
</file>