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F19"/>
  <c r="E19"/>
  <c r="D19"/>
  <c r="C19"/>
  <c r="D89" i="14" s="1"/>
  <c r="D19" i="59" s="1"/>
  <c r="B19" i="18"/>
  <c r="N18"/>
  <c r="L88" i="14" s="1"/>
  <c r="L18" i="59" s="1"/>
  <c r="M18" i="18"/>
  <c r="L18"/>
  <c r="K18"/>
  <c r="J18"/>
  <c r="J88" i="14" s="1"/>
  <c r="J18" i="59" s="1"/>
  <c r="I18" i="18"/>
  <c r="H18"/>
  <c r="M88" i="14" s="1"/>
  <c r="M18" i="59" s="1"/>
  <c r="G18" i="18"/>
  <c r="F18"/>
  <c r="F20" s="1"/>
  <c r="E18"/>
  <c r="D18"/>
  <c r="C18"/>
  <c r="B18"/>
  <c r="L9"/>
  <c r="K9"/>
  <c r="N77" i="14" s="1"/>
  <c r="N9" i="59" s="1"/>
  <c r="G9" i="18"/>
  <c r="F9"/>
  <c r="D9"/>
  <c r="C9"/>
  <c r="D77" i="14" s="1"/>
  <c r="D9" i="59" s="1"/>
  <c r="B9" i="18"/>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N90"/>
  <c r="M90"/>
  <c r="W89"/>
  <c r="H9" s="1"/>
  <c r="M77" i="14" s="1"/>
  <c r="M9" i="59" s="1"/>
  <c r="V89" i="18"/>
  <c r="U89"/>
  <c r="T89"/>
  <c r="I9" s="1"/>
  <c r="I77" i="14" s="1"/>
  <c r="I9" i="59" s="1"/>
  <c r="S89" i="18"/>
  <c r="E9" s="1"/>
  <c r="F77" i="14" s="1"/>
  <c r="F9" i="59" s="1"/>
  <c r="R89" i="18"/>
  <c r="Q89"/>
  <c r="J9" s="1"/>
  <c r="J77" i="14" s="1"/>
  <c r="J9" i="59" s="1"/>
  <c r="P89" i="18"/>
  <c r="O89"/>
  <c r="N89"/>
  <c r="M89"/>
  <c r="W61"/>
  <c r="V61"/>
  <c r="N6" i="17" s="1"/>
  <c r="U61" i="18"/>
  <c r="T61"/>
  <c r="L6" i="17" s="1"/>
  <c r="S61" i="18"/>
  <c r="F6" i="17" s="1"/>
  <c r="R61" i="18"/>
  <c r="Q61"/>
  <c r="P61"/>
  <c r="O61"/>
  <c r="C6" i="17" s="1"/>
  <c r="N61" i="18"/>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L20"/>
  <c r="K20"/>
  <c r="G20"/>
  <c r="G12"/>
  <c r="F12"/>
  <c r="E12"/>
  <c r="D12"/>
  <c r="C12"/>
  <c r="G10"/>
  <c r="F10"/>
  <c r="B8"/>
  <c r="B6"/>
  <c r="B74" i="14" s="1"/>
  <c r="B6" i="59" s="1"/>
  <c r="B5" i="18"/>
  <c r="B4"/>
  <c r="D5" i="17"/>
  <c r="B19" i="6"/>
  <c r="B18"/>
  <c r="B5"/>
  <c r="B6"/>
  <c r="P7" i="48"/>
  <c r="O7"/>
  <c r="O25" s="1"/>
  <c r="M7"/>
  <c r="K7"/>
  <c r="I7"/>
  <c r="H7"/>
  <c r="G7"/>
  <c r="P10"/>
  <c r="O10"/>
  <c r="N10"/>
  <c r="L10"/>
  <c r="K10"/>
  <c r="J10"/>
  <c r="I10"/>
  <c r="H10"/>
  <c r="F10"/>
  <c r="E10"/>
  <c r="D10"/>
  <c r="C10"/>
  <c r="P9"/>
  <c r="O9"/>
  <c r="N9"/>
  <c r="L9"/>
  <c r="K9"/>
  <c r="J9"/>
  <c r="I9"/>
  <c r="F9"/>
  <c r="C9"/>
  <c r="P13"/>
  <c r="O13"/>
  <c r="O31" s="1"/>
  <c r="N13"/>
  <c r="L13"/>
  <c r="K13"/>
  <c r="J13"/>
  <c r="I13"/>
  <c r="F13"/>
  <c r="E13"/>
  <c r="D13"/>
  <c r="C13"/>
  <c r="B13"/>
  <c r="M8"/>
  <c r="K8"/>
  <c r="I8"/>
  <c r="H8"/>
  <c r="G8"/>
  <c r="B12"/>
  <c r="Q12" s="1"/>
  <c r="P17"/>
  <c r="O17"/>
  <c r="O32" s="1"/>
  <c r="M4"/>
  <c r="L4"/>
  <c r="K4"/>
  <c r="I4"/>
  <c r="H4"/>
  <c r="G4"/>
  <c r="P11"/>
  <c r="O11"/>
  <c r="O29" s="1"/>
  <c r="N11"/>
  <c r="M11"/>
  <c r="L11"/>
  <c r="K11"/>
  <c r="J11"/>
  <c r="I11"/>
  <c r="H11"/>
  <c r="G11"/>
  <c r="F11"/>
  <c r="E11"/>
  <c r="D11"/>
  <c r="C11"/>
  <c r="B11"/>
  <c r="Q11"/>
  <c r="O28"/>
  <c r="O27"/>
  <c r="M89" i="14"/>
  <c r="M19" i="59" s="1"/>
  <c r="L89" i="14"/>
  <c r="L19" i="59" s="1"/>
  <c r="K89" i="14"/>
  <c r="K19" i="59" s="1"/>
  <c r="H89" i="14"/>
  <c r="H19" i="59" s="1"/>
  <c r="G89" i="14"/>
  <c r="G19" i="59" s="1"/>
  <c r="O88" i="14"/>
  <c r="O18" i="59" s="1"/>
  <c r="N88" i="14"/>
  <c r="N18" i="59" s="1"/>
  <c r="K88" i="14"/>
  <c r="K18" i="59" s="1"/>
  <c r="I88" i="14"/>
  <c r="I18" i="59" s="1"/>
  <c r="H88" i="14"/>
  <c r="F88"/>
  <c r="F18" i="59" s="1"/>
  <c r="E88" i="14"/>
  <c r="E18" i="59" s="1"/>
  <c r="D88" i="14"/>
  <c r="D18" i="59" s="1"/>
  <c r="O87" i="14"/>
  <c r="O17" i="59" s="1"/>
  <c r="N87" i="14"/>
  <c r="N17" i="59" s="1"/>
  <c r="L87" i="14"/>
  <c r="K87"/>
  <c r="H87"/>
  <c r="H17" i="59" s="1"/>
  <c r="G87" i="14"/>
  <c r="G17" i="59" s="1"/>
  <c r="E87" i="14"/>
  <c r="E17" i="59" s="1"/>
  <c r="L77" i="14"/>
  <c r="L9" i="59" s="1"/>
  <c r="K77" i="14"/>
  <c r="K9" i="59" s="1"/>
  <c r="H77" i="14"/>
  <c r="H9" i="59" s="1"/>
  <c r="G77" i="14"/>
  <c r="G9" i="59" s="1"/>
  <c r="O76" i="14"/>
  <c r="O8" i="59" s="1"/>
  <c r="N76" i="14"/>
  <c r="N8" i="59" s="1"/>
  <c r="N10" s="1"/>
  <c r="L76" i="14"/>
  <c r="K76"/>
  <c r="K8" i="59" s="1"/>
  <c r="H76" i="14"/>
  <c r="G76"/>
  <c r="G8" i="59" s="1"/>
  <c r="G10" s="1"/>
  <c r="E76" i="14"/>
  <c r="E8" i="59" s="1"/>
  <c r="B75" i="14"/>
  <c r="B7" i="59" s="1"/>
  <c r="B73" i="14"/>
  <c r="B5" i="59" s="1"/>
  <c r="B72" i="14"/>
  <c r="B4" i="59" s="1"/>
  <c r="C64" i="14"/>
  <c r="C29"/>
  <c r="Q54"/>
  <c r="P54"/>
  <c r="L54"/>
  <c r="J54"/>
  <c r="J56" s="1"/>
  <c r="I54"/>
  <c r="H54"/>
  <c r="H56" s="1"/>
  <c r="Q24"/>
  <c r="P24"/>
  <c r="N24"/>
  <c r="L24"/>
  <c r="L26" s="1"/>
  <c r="J24"/>
  <c r="J26" s="1"/>
  <c r="I24"/>
  <c r="I26" s="1"/>
  <c r="H24"/>
  <c r="Q50"/>
  <c r="P50"/>
  <c r="O50"/>
  <c r="M50"/>
  <c r="L50"/>
  <c r="K50"/>
  <c r="J50"/>
  <c r="G50"/>
  <c r="D50"/>
  <c r="Q49"/>
  <c r="P49"/>
  <c r="Q20"/>
  <c r="Q22" s="1"/>
  <c r="P20"/>
  <c r="O20"/>
  <c r="M20"/>
  <c r="L20"/>
  <c r="K20"/>
  <c r="J20"/>
  <c r="G20"/>
  <c r="D20"/>
  <c r="Q19"/>
  <c r="P19"/>
  <c r="P22" s="1"/>
  <c r="O19"/>
  <c r="M19"/>
  <c r="L19"/>
  <c r="K19"/>
  <c r="J19"/>
  <c r="I19"/>
  <c r="G19"/>
  <c r="F19"/>
  <c r="E19"/>
  <c r="D19"/>
  <c r="Q48"/>
  <c r="Q52" s="1"/>
  <c r="P48"/>
  <c r="O48"/>
  <c r="M48"/>
  <c r="L48"/>
  <c r="K48"/>
  <c r="J48"/>
  <c r="G48"/>
  <c r="D48"/>
  <c r="Q18"/>
  <c r="P18"/>
  <c r="O18"/>
  <c r="M18"/>
  <c r="M22" s="1"/>
  <c r="L18"/>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R78"/>
  <c r="G78"/>
  <c r="P56"/>
  <c r="L56"/>
  <c r="Q56"/>
  <c r="I56"/>
  <c r="R44"/>
  <c r="E25"/>
  <c r="C25"/>
  <c r="Q26"/>
  <c r="P26"/>
  <c r="N26"/>
  <c r="H26"/>
  <c r="L22"/>
  <c r="O22"/>
  <c r="G22"/>
  <c r="R12"/>
  <c r="D10" i="18" l="1"/>
  <c r="E77" i="14"/>
  <c r="E9" i="59" s="1"/>
  <c r="P32" i="48"/>
  <c r="P29"/>
  <c r="E55" i="14"/>
  <c r="D14" i="48"/>
  <c r="K17" i="59"/>
  <c r="K20" s="1"/>
  <c r="K90" i="14"/>
  <c r="O77"/>
  <c r="L10" i="18"/>
  <c r="D20"/>
  <c r="E89" i="14"/>
  <c r="E19" i="59" s="1"/>
  <c r="O19"/>
  <c r="O20" s="1"/>
  <c r="O90" i="14"/>
  <c r="N19" i="59"/>
  <c r="N20" s="1"/>
  <c r="N90" i="14"/>
  <c r="L78"/>
  <c r="L8" i="59"/>
  <c r="L10" s="1"/>
  <c r="P31" i="48"/>
  <c r="P25"/>
  <c r="K78" i="14"/>
  <c r="B98" i="18"/>
  <c r="C102" s="1"/>
  <c r="B17"/>
  <c r="B20" s="1"/>
  <c r="B14" i="48"/>
  <c r="R25" i="14"/>
  <c r="L17" i="59"/>
  <c r="L20" s="1"/>
  <c r="L90" i="14"/>
  <c r="R9"/>
  <c r="P52"/>
  <c r="J22"/>
  <c r="P28" i="48"/>
  <c r="P27"/>
  <c r="H90" i="14"/>
  <c r="H18" i="59"/>
  <c r="H20" s="1"/>
  <c r="H78" i="14"/>
  <c r="H8" i="59"/>
  <c r="H10" s="1"/>
  <c r="K10"/>
  <c r="C98" i="18"/>
  <c r="C101" s="1"/>
  <c r="B10"/>
  <c r="E20" i="59"/>
  <c r="K10" i="18"/>
  <c r="B13" i="15"/>
  <c r="E10" i="59"/>
  <c r="F13" i="15"/>
  <c r="O19" i="18"/>
  <c r="L13" i="15"/>
  <c r="N13"/>
  <c r="Q77" i="14"/>
  <c r="P9" i="59" s="1"/>
  <c r="O9" i="18"/>
  <c r="O18"/>
  <c r="G88" i="14"/>
  <c r="F89"/>
  <c r="I101" i="18"/>
  <c r="H8" s="1"/>
  <c r="E101"/>
  <c r="E8" s="1"/>
  <c r="H101"/>
  <c r="D101"/>
  <c r="F101"/>
  <c r="B101"/>
  <c r="C8" s="1"/>
  <c r="I102"/>
  <c r="H17" s="1"/>
  <c r="E102"/>
  <c r="E17" s="1"/>
  <c r="H102"/>
  <c r="F102"/>
  <c r="B102"/>
  <c r="C17" s="1"/>
  <c r="B77" i="14"/>
  <c r="B9" i="59" s="1"/>
  <c r="O24" i="48"/>
  <c r="O30"/>
  <c r="P24"/>
  <c r="P30"/>
  <c r="E78" i="14"/>
  <c r="E90"/>
  <c r="N78"/>
  <c r="G90" l="1"/>
  <c r="G18" i="59"/>
  <c r="G20" s="1"/>
  <c r="C89" i="14"/>
  <c r="C19" i="59" s="1"/>
  <c r="F19"/>
  <c r="O78" i="14"/>
  <c r="O9" i="59"/>
  <c r="O10" s="1"/>
  <c r="Q88" i="14"/>
  <c r="P18" i="59" s="1"/>
  <c r="B88" i="14"/>
  <c r="B18" i="59" s="1"/>
  <c r="C77" i="14"/>
  <c r="C9" i="59" s="1"/>
  <c r="Q14" i="48"/>
  <c r="D102" i="18"/>
  <c r="J17" s="1"/>
  <c r="C88" i="14"/>
  <c r="C18" i="59" s="1"/>
  <c r="G102" i="18"/>
  <c r="G101"/>
  <c r="B89" i="14"/>
  <c r="B19" i="59" s="1"/>
  <c r="Q89" i="14"/>
  <c r="P19" i="59" s="1"/>
  <c r="C20" i="18"/>
  <c r="D87" i="14"/>
  <c r="D17" i="59" s="1"/>
  <c r="D20" s="1"/>
  <c r="D76" i="14"/>
  <c r="D8" i="59" s="1"/>
  <c r="D10" s="1"/>
  <c r="C10" i="18"/>
  <c r="J8"/>
  <c r="F87" i="14"/>
  <c r="E20" i="18"/>
  <c r="E10"/>
  <c r="F76" i="14"/>
  <c r="F8" i="59" s="1"/>
  <c r="F10" s="1"/>
  <c r="I17" i="18"/>
  <c r="H20"/>
  <c r="M87" i="14"/>
  <c r="I8" i="18"/>
  <c r="O8" s="1"/>
  <c r="O10" s="1"/>
  <c r="M76" i="14"/>
  <c r="H10" i="18"/>
  <c r="H14" i="15"/>
  <c r="H16" s="1"/>
  <c r="G14"/>
  <c r="G16" s="1"/>
  <c r="H5" i="48" l="1"/>
  <c r="I10" i="14"/>
  <c r="I16" s="1"/>
  <c r="G5" i="48"/>
  <c r="H10" i="14"/>
  <c r="H16" s="1"/>
  <c r="M90"/>
  <c r="M17" i="59"/>
  <c r="M20" s="1"/>
  <c r="M78" i="14"/>
  <c r="M8" i="59"/>
  <c r="M10" s="1"/>
  <c r="F90" i="14"/>
  <c r="F17" i="59"/>
  <c r="F20" s="1"/>
  <c r="O17" i="18"/>
  <c r="O20" s="1"/>
  <c r="I76" i="14"/>
  <c r="I8" i="59" s="1"/>
  <c r="I10" s="1"/>
  <c r="I10" i="18"/>
  <c r="Q87" i="14"/>
  <c r="D90"/>
  <c r="F78"/>
  <c r="J87"/>
  <c r="J20" i="18"/>
  <c r="J10"/>
  <c r="J76" i="14"/>
  <c r="I87"/>
  <c r="I17" i="59" s="1"/>
  <c r="I20" s="1"/>
  <c r="I20" i="18"/>
  <c r="Q76" i="14"/>
  <c r="D78"/>
  <c r="B24" i="44"/>
  <c r="B23"/>
  <c r="Q90" i="14" l="1"/>
  <c r="B17" i="6" s="1"/>
  <c r="P17" i="59"/>
  <c r="P20" s="1"/>
  <c r="Q78" i="14"/>
  <c r="B9" i="6" s="1"/>
  <c r="P8" i="59"/>
  <c r="P10" s="1"/>
  <c r="J90" i="14"/>
  <c r="J17" i="59"/>
  <c r="J20" s="1"/>
  <c r="J78" i="14"/>
  <c r="J8" i="59"/>
  <c r="J10" s="1"/>
  <c r="B87" i="14"/>
  <c r="I90"/>
  <c r="C87"/>
  <c r="C76"/>
  <c r="B76"/>
  <c r="I78"/>
  <c r="A31" i="23"/>
  <c r="A32"/>
  <c r="A33"/>
  <c r="C90" i="14" l="1"/>
  <c r="C17" i="59"/>
  <c r="C20" s="1"/>
  <c r="C78" i="14"/>
  <c r="C8" i="59"/>
  <c r="C10" s="1"/>
  <c r="B78" i="14"/>
  <c r="B8" i="59"/>
  <c r="B10" s="1"/>
  <c r="B90" i="14"/>
  <c r="B17" i="59"/>
  <c r="B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28" i="48" l="1"/>
  <c r="E32"/>
  <c r="E24"/>
  <c r="E29"/>
  <c r="E31"/>
  <c r="E30"/>
  <c r="M25"/>
  <c r="M32"/>
  <c r="M26"/>
  <c r="M29"/>
  <c r="M30"/>
  <c r="M22"/>
  <c r="M24"/>
  <c r="M23"/>
  <c r="K5"/>
  <c r="L10" i="14"/>
  <c r="L16" s="1"/>
  <c r="L27" s="1"/>
  <c r="D28" i="48"/>
  <c r="D30"/>
  <c r="D31"/>
  <c r="D29"/>
  <c r="D24"/>
  <c r="D32"/>
  <c r="L28"/>
  <c r="L27"/>
  <c r="L32"/>
  <c r="L31"/>
  <c r="L22"/>
  <c r="L30"/>
  <c r="L29"/>
  <c r="L24"/>
  <c r="P5"/>
  <c r="P23" s="1"/>
  <c r="Q10" i="14"/>
  <c r="K28" i="48"/>
  <c r="K27"/>
  <c r="K32"/>
  <c r="K26"/>
  <c r="K29"/>
  <c r="K25"/>
  <c r="K31"/>
  <c r="K24"/>
  <c r="K22"/>
  <c r="K30"/>
  <c r="C24" i="14"/>
  <c r="C26" s="1"/>
  <c r="B7" i="48"/>
  <c r="J27"/>
  <c r="J32"/>
  <c r="J31"/>
  <c r="J29"/>
  <c r="J24"/>
  <c r="J28"/>
  <c r="J30"/>
  <c r="P4"/>
  <c r="Q11" i="14"/>
  <c r="O4" i="48"/>
  <c r="P11" i="14"/>
  <c r="I32" i="48"/>
  <c r="I31"/>
  <c r="I25"/>
  <c r="I29"/>
  <c r="I26"/>
  <c r="I28"/>
  <c r="I22"/>
  <c r="I27"/>
  <c r="I30"/>
  <c r="I24"/>
  <c r="D4"/>
  <c r="D22" s="1"/>
  <c r="E11" i="14"/>
  <c r="H32" i="48"/>
  <c r="H25"/>
  <c r="H29"/>
  <c r="H26"/>
  <c r="H28"/>
  <c r="H22"/>
  <c r="H30"/>
  <c r="H24"/>
  <c r="H23"/>
  <c r="C4"/>
  <c r="D11" i="14"/>
  <c r="G32" i="48"/>
  <c r="G25"/>
  <c r="G26"/>
  <c r="G29"/>
  <c r="G24"/>
  <c r="G22"/>
  <c r="G30"/>
  <c r="G23"/>
  <c r="B4"/>
  <c r="C11" i="14"/>
  <c r="F28" i="48"/>
  <c r="F27"/>
  <c r="F32"/>
  <c r="F30"/>
  <c r="F29"/>
  <c r="F24"/>
  <c r="F31"/>
  <c r="N28"/>
  <c r="N32"/>
  <c r="N27"/>
  <c r="N24"/>
  <c r="N29"/>
  <c r="N31"/>
  <c r="N30"/>
  <c r="C19" i="14"/>
  <c r="B10" i="48"/>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20" i="14" l="1"/>
  <c r="E22" s="1"/>
  <c r="D9" i="48"/>
  <c r="D27" s="1"/>
  <c r="O5"/>
  <c r="O23" s="1"/>
  <c r="P10" i="14"/>
  <c r="J7" i="48"/>
  <c r="J25" s="1"/>
  <c r="K24" i="14"/>
  <c r="K26" s="1"/>
  <c r="O22" i="48"/>
  <c r="B9"/>
  <c r="C20" i="14"/>
  <c r="K23" i="48"/>
  <c r="K33" s="1"/>
  <c r="K15"/>
  <c r="G11" i="14"/>
  <c r="F4" i="48"/>
  <c r="F22" s="1"/>
  <c r="I5"/>
  <c r="J10" i="14"/>
  <c r="J16" s="1"/>
  <c r="J27" s="1"/>
  <c r="M12" i="22"/>
  <c r="M13" i="48"/>
  <c r="M31" s="1"/>
  <c r="N18" i="14"/>
  <c r="H18"/>
  <c r="G13" i="48"/>
  <c r="I18" i="14"/>
  <c r="H13" i="48"/>
  <c r="H31" s="1"/>
  <c r="P8"/>
  <c r="P26" s="1"/>
  <c r="Q13" i="14"/>
  <c r="P22" i="48"/>
  <c r="P33" s="1"/>
  <c r="F20" i="14"/>
  <c r="F22" s="1"/>
  <c r="E9" i="48"/>
  <c r="E27" s="1"/>
  <c r="J12" i="17"/>
  <c r="K54" i="14" s="1"/>
  <c r="K56" s="1"/>
  <c r="Q16"/>
  <c r="Q27" s="1"/>
  <c r="Q63" s="1"/>
  <c r="I20" i="15"/>
  <c r="J40" i="14" s="1"/>
  <c r="J46" s="1"/>
  <c r="J61"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G14" s="1"/>
  <c r="H5"/>
  <c r="H14" s="1"/>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l="1"/>
  <c r="F41" i="14" s="1"/>
  <c r="F11"/>
  <c r="R11" s="1"/>
  <c r="E4" i="48"/>
  <c r="O11" i="14"/>
  <c r="N4" i="48"/>
  <c r="N22" s="1"/>
  <c r="H20" i="14"/>
  <c r="G9" i="48"/>
  <c r="H9"/>
  <c r="I20" i="14"/>
  <c r="R18"/>
  <c r="M10" i="48"/>
  <c r="M28" s="1"/>
  <c r="N19" i="14"/>
  <c r="G31" i="48"/>
  <c r="Q13"/>
  <c r="G10"/>
  <c r="H19" i="14"/>
  <c r="R19" s="1"/>
  <c r="I23" i="48"/>
  <c r="I33" s="1"/>
  <c r="I15"/>
  <c r="J4"/>
  <c r="K11" i="14"/>
  <c r="F24"/>
  <c r="F26" s="1"/>
  <c r="E7" i="48"/>
  <c r="E25" s="1"/>
  <c r="O22" i="16"/>
  <c r="P43" i="14" s="1"/>
  <c r="P46" s="1"/>
  <c r="P61" s="1"/>
  <c r="P63" s="1"/>
  <c r="P13"/>
  <c r="O8" i="48"/>
  <c r="I22" i="14"/>
  <c r="I27" s="1"/>
  <c r="J63"/>
  <c r="M14" i="22"/>
  <c r="P15" i="48"/>
  <c r="C22" i="14"/>
  <c r="P16"/>
  <c r="P27" s="1"/>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R20" l="1"/>
  <c r="R22" s="1"/>
  <c r="N20"/>
  <c r="N22" s="1"/>
  <c r="N27" s="1"/>
  <c r="M9" i="48"/>
  <c r="G27"/>
  <c r="G15"/>
  <c r="G28"/>
  <c r="Q10"/>
  <c r="H27"/>
  <c r="H33" s="1"/>
  <c r="H15"/>
  <c r="E5"/>
  <c r="E23" s="1"/>
  <c r="F10" i="14"/>
  <c r="J5" i="48"/>
  <c r="J23" s="1"/>
  <c r="K10" i="14"/>
  <c r="O26" i="48"/>
  <c r="O33" s="1"/>
  <c r="O15"/>
  <c r="E22"/>
  <c r="Q4"/>
  <c r="J22"/>
  <c r="I63" i="14"/>
  <c r="M18" i="22"/>
  <c r="N50" i="14" s="1"/>
  <c r="N52" s="1"/>
  <c r="N61" s="1"/>
  <c r="N63" s="1"/>
  <c r="Q9" i="48"/>
  <c r="H22" i="14"/>
  <c r="H27" s="1"/>
  <c r="Q7" i="48"/>
  <c r="E20" i="15"/>
  <c r="F40" i="14" s="1"/>
  <c r="J18" i="16"/>
  <c r="E18"/>
  <c r="F18"/>
  <c r="F22" s="1"/>
  <c r="G43" i="14" s="1"/>
  <c r="N18" i="16"/>
  <c r="G18" i="22"/>
  <c r="H50" i="14" s="1"/>
  <c r="H52" s="1"/>
  <c r="H61" s="1"/>
  <c r="H63" s="1"/>
  <c r="H18" i="22"/>
  <c r="I50" i="14" s="1"/>
  <c r="I52" s="1"/>
  <c r="I61" s="1"/>
  <c r="J22" i="16" l="1"/>
  <c r="K43" i="14" s="1"/>
  <c r="K46" s="1"/>
  <c r="K61" s="1"/>
  <c r="J8" i="48"/>
  <c r="K13" i="14"/>
  <c r="E8" i="48"/>
  <c r="F13" i="14"/>
  <c r="M27" i="48"/>
  <c r="M33" s="1"/>
  <c r="M15"/>
  <c r="K16" i="14"/>
  <c r="K27" s="1"/>
  <c r="E22" i="16"/>
  <c r="F43" i="14" s="1"/>
  <c r="F46" s="1"/>
  <c r="F61" s="1"/>
  <c r="F63" s="1"/>
  <c r="F16"/>
  <c r="F27" s="1"/>
  <c r="G33" i="48"/>
  <c r="N8"/>
  <c r="N26" s="1"/>
  <c r="O13" i="14"/>
  <c r="N22" i="16"/>
  <c r="O43" i="14" s="1"/>
  <c r="G13"/>
  <c r="F8" i="48"/>
  <c r="J26" l="1"/>
  <c r="J33" s="1"/>
  <c r="J15"/>
  <c r="E26"/>
  <c r="E33" s="1"/>
  <c r="E15"/>
  <c r="K63" i="14"/>
  <c r="R13"/>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G46"/>
  <c r="G61" s="1"/>
  <c r="M46"/>
  <c r="M61" s="1"/>
  <c r="M63" s="1"/>
  <c r="E63" l="1"/>
  <c r="O63"/>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<sst xmlns="http://schemas.openxmlformats.org/spreadsheetml/2006/main" count="2392" uniqueCount="890">
  <si>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</si>
  <si>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</si>
  <si>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</si>
  <si>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</si>
  <si>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</si>
  <si>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</si>
  <si>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</si>
  <si>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</si>
  <si>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</si>
  <si>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</si>
  <si>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</si>
  <si>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</si>
  <si>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</si>
  <si>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</si>
  <si>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</si>
  <si>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</si>
  <si>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</si>
  <si>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</si>
  <si>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</si>
  <si>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</si>
  <si>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</si>
  <si>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</si>
  <si>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</si>
  <si>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</si>
  <si>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</si>
  <si>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</si>
  <si>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</si>
  <si>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</si>
  <si>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</si>
  <si>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</si>
  <si>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</si>
  <si>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</si>
  <si>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</si>
  <si>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</si>
  <si>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</si>
  <si>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</si>
  <si>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</si>
  <si>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</si>
  <si>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</si>
  <si>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</si>
  <si>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</si>
  <si>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</si>
  <si>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</si>
  <si>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</si>
  <si>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</si>
  <si>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</si>
  <si>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</si>
  <si>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</si>
  <si>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</si>
  <si>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</si>
  <si>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</si>
  <si>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</si>
  <si>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</si>
  <si>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</si>
  <si>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</si>
  <si>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</si>
  <si>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</si>
  <si>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</si>
  <si>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</si>
  <si>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</si>
  <si>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</si>
  <si>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</si>
  <si>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</si>
  <si>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</si>
  <si>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</si>
  <si>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</si>
  <si>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</si>
  <si>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</si>
  <si>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</si>
  <si>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</si>
  <si>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</si>
  <si>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</si>
  <si>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</si>
  <si>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</si>
  <si>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</si>
  <si>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</si>
  <si>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</si>
  <si>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</si>
  <si>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</si>
  <si>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</si>
  <si>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</si>
  <si>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</si>
  <si>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</si>
  <si>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</si>
  <si>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</si>
  <si>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</si>
  <si>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</si>
  <si>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</si>
  <si>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</si>
  <si>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</si>
  <si>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</si>
  <si>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</si>
  <si>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</si>
  <si>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</si>
  <si>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</si>
  <si>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</si>
  <si>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</si>
  <si>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</si>
  <si>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</si>
  <si>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</si>
  <si>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</si>
  <si>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</si>
  <si>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</si>
  <si>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</si>
  <si>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</si>
  <si>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</si>
  <si>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</si>
  <si>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</si>
  <si>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</si>
  <si>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</si>
  <si>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</si>
  <si>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</si>
  <si>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</si>
  <si>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</si>
  <si>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</si>
  <si>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</si>
  <si>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</si>
  <si>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</si>
  <si>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</si>
  <si>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</si>
  <si>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</si>
  <si>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</si>
  <si>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</si>
  <si>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</si>
  <si>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</si>
  <si>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</si>
  <si>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</si>
  <si>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</si>
  <si>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</si>
  <si>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</si>
  <si>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</si>
  <si>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</si>
  <si>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</si>
  <si>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</si>
  <si>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</si>
  <si>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</si>
  <si>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</si>
  <si>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</si>
  <si>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</si>
  <si>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</si>
  <si>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</si>
  <si>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</si>
  <si>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</si>
  <si>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</si>
  <si>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</si>
  <si>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</si>
  <si>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</si>
  <si>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</si>
  <si>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</si>
  <si>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</si>
  <si>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</si>
  <si>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</si>
  <si>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</si>
  <si>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</si>
  <si>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</si>
  <si>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</si>
  <si>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</si>
  <si>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</si>
  <si>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</si>
  <si>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</si>
  <si>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</si>
  <si>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</si>
  <si>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</si>
  <si>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</si>
  <si>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</si>
  <si>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</si>
  <si>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</si>
  <si>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</si>
  <si>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</si>
  <si>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</si>
  <si>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</si>
  <si>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</si>
  <si>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</si>
  <si>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</si>
  <si>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</si>
  <si>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</si>
  <si>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</si>
  <si>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</si>
  <si>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</si>
  <si>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</si>
  <si>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</si>
  <si>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</si>
  <si>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</si>
  <si>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</si>
  <si>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</si>
  <si>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</si>
  <si>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</si>
  <si>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</si>
  <si>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</si>
  <si>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</si>
  <si>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</si>
  <si>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</si>
  <si>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</si>
  <si>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</si>
  <si>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</si>
  <si>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</si>
  <si>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</si>
  <si>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</si>
  <si>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</si>
  <si>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</si>
  <si>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</si>
  <si>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</si>
  <si>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</si>
  <si>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</si>
  <si>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</si>
  <si>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</si>
  <si>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</si>
  <si>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</si>
  <si>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</si>
  <si>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</si>
  <si>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</si>
  <si>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</si>
  <si>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</si>
  <si>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</si>
  <si>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</si>
  <si>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</si>
  <si>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</si>
  <si>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</si>
  <si>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</si>
  <si>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</si>
  <si>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</si>
  <si>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</si>
  <si>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</si>
  <si>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</si>
  <si>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</si>
  <si>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</si>
  <si>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</si>
  <si>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</si>
  <si>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</si>
  <si>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</si>
  <si>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</si>
  <si>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</si>
  <si>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</si>
  <si>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</si>
  <si>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</si>
  <si>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</si>
  <si>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</si>
  <si>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</si>
  <si>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</si>
  <si>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</si>
  <si>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</si>
  <si>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</si>
  <si>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</si>
  <si>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</si>
  <si>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</si>
  <si>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</si>
  <si>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</si>
  <si>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</si>
  <si>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</si>
  <si>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</si>
  <si>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</si>
  <si>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</si>
  <si>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</si>
  <si>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</si>
  <si>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</si>
  <si>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</si>
  <si>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</si>
  <si>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</si>
  <si>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</si>
  <si>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</si>
  <si>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</si>
  <si>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</si>
  <si>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</si>
  <si>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</si>
  <si>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</si>
  <si>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</si>
  <si>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</si>
  <si>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</si>
  <si>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</si>
  <si>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</si>
  <si>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</si>
  <si>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</si>
  <si>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</si>
  <si>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</si>
  <si>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</si>
  <si>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</si>
  <si>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</si>
  <si>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</si>
  <si>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</si>
  <si>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</si>
  <si>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</si>
  <si>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</si>
  <si>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</si>
  <si>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</si>
  <si>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</si>
  <si>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</si>
  <si>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</si>
  <si>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</si>
  <si>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</si>
  <si>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</si>
  <si>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</si>
  <si>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</si>
  <si>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</si>
  <si>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</si>
  <si>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</si>
  <si>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</si>
  <si>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</si>
  <si>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</si>
  <si>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</si>
  <si>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</si>
  <si>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</si>
  <si>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</si>
  <si>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</si>
  <si>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</si>
  <si>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</si>
  <si>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</si>
  <si>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</si>
  <si>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</si>
  <si>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</si>
  <si>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</si>
  <si>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</si>
  <si>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</si>
  <si>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</si>
  <si>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</si>
  <si>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</si>
  <si>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</si>
  <si>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</si>
  <si>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</si>
  <si>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</si>
  <si>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</si>
  <si>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</si>
  <si>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</si>
  <si>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</si>
  <si>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</si>
  <si>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</si>
  <si>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</si>
  <si>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</si>
  <si>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</si>
  <si>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</si>
  <si>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</si>
  <si>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</si>
  <si>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</si>
  <si>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</si>
  <si>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</si>
  <si>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</si>
  <si>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</si>
  <si>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</si>
  <si>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</si>
  <si>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</si>
  <si>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</si>
  <si>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</si>
  <si>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</si>
  <si>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</si>
  <si>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</si>
  <si>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</si>
  <si>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</si>
  <si>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</si>
  <si>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</si>
  <si>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</si>
  <si>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</si>
  <si>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</si>
  <si>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</si>
  <si>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</si>
  <si>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</si>
  <si>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</si>
  <si>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</si>
  <si>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</si>
  <si>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</si>
  <si>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</si>
  <si>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</si>
  <si>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</si>
  <si>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</si>
  <si>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</si>
  <si>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</si>
  <si>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</si>
  <si>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</si>
  <si>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</si>
  <si>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</si>
  <si>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</si>
  <si>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</si>
  <si>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</si>
  <si>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</si>
  <si>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</si>
  <si>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</si>
  <si>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</si>
  <si>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</si>
  <si>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</si>
  <si>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</si>
  <si>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</si>
  <si>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</si>
  <si>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</si>
  <si>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</si>
  <si>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</si>
  <si>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</si>
  <si>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</si>
  <si>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</si>
  <si>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</si>
  <si>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</si>
  <si>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</si>
  <si>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</si>
  <si>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</si>
  <si>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</si>
  <si>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</si>
  <si>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</si>
  <si>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</si>
  <si>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</si>
  <si>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</si>
  <si>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</si>
  <si>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</si>
  <si>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</si>
  <si>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</si>
  <si>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</si>
  <si>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</si>
  <si>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</si>
  <si>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</si>
  <si>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</si>
  <si>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</si>
  <si>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</si>
  <si>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</si>
  <si>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</si>
  <si>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</si>
  <si>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</si>
  <si>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</si>
  <si>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</si>
  <si>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</si>
  <si>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</si>
  <si>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</si>
  <si>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</si>
  <si>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</si>
  <si>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</si>
  <si>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</si>
  <si>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</si>
  <si>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</si>
  <si>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</si>
  <si>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</si>
  <si>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</si>
  <si>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</si>
  <si>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</si>
  <si>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</si>
  <si>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</si>
  <si>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</si>
  <si>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</si>
  <si>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</si>
  <si>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</si>
  <si>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</si>
  <si>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</si>
  <si>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</si>
  <si>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</si>
  <si>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</si>
  <si>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</si>
  <si>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</si>
  <si>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</si>
  <si>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</si>
  <si>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</si>
  <si>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</si>
  <si>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</si>
  <si>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</si>
  <si>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</si>
  <si>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</si>
  <si>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</si>
  <si>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</si>
  <si>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</si>
  <si>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</si>
  <si>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</si>
  <si>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</si>
  <si>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</si>
  <si>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</si>
  <si>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</si>
  <si>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</si>
  <si>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</si>
  <si>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</si>
  <si>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</si>
  <si>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</si>
  <si>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</si>
  <si>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</si>
  <si>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</si>
  <si>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</si>
  <si>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</si>
  <si>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</si>
  <si>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</si>
  <si>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</si>
  <si>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</si>
  <si>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</si>
  <si>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</si>
  <si>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</si>
  <si>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</si>
  <si>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</si>
  <si>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</si>
  <si>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</si>
  <si>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</si>
  <si>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</si>
  <si>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</si>
  <si>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</si>
  <si>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</si>
  <si>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</si>
  <si>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</si>
  <si>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</si>
  <si>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</si>
  <si>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</si>
  <si>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</si>
  <si>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</si>
  <si>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</si>
  <si>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</si>
  <si>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</si>
  <si>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</si>
  <si>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</si>
  <si>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</si>
  <si>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</si>
  <si>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</si>
  <si>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</si>
  <si>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</si>
  <si>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</si>
  <si>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</si>
  <si>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</si>
  <si>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</si>
  <si>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</si>
  <si>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</si>
  <si>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</si>
  <si>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</si>
  <si>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</si>
  <si>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</si>
  <si>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</si>
  <si>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</si>
  <si>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</si>
  <si>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</si>
  <si>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</si>
  <si>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</si>
  <si>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</si>
  <si>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</si>
  <si>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</si>
  <si>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</si>
  <si>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</si>
  <si>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</si>
  <si>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</si>
  <si>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</si>
  <si>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</si>
  <si>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</si>
  <si>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</si>
  <si>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</si>
  <si>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</si>
  <si>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</si>
  <si>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</si>
  <si>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</si>
  <si>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</si>
  <si>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</si>
  <si>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</si>
  <si>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</si>
  <si>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</si>
  <si>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</si>
  <si>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</si>
  <si>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</si>
  <si>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</si>
  <si>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</si>
  <si>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</si>
  <si>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</si>
  <si>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</si>
  <si>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</si>
  <si>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</si>
  <si>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</si>
  <si>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</si>
  <si>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</si>
  <si>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</si>
  <si>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</si>
  <si>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</si>
  <si>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</si>
  <si>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</si>
  <si>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</si>
  <si>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</si>
  <si>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</si>
  <si>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</si>
  <si>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</si>
  <si>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</si>
  <si>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</si>
  <si>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</si>
  <si>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</si>
  <si>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</si>
  <si>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</si>
  <si>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</si>
  <si>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</si>
  <si>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</si>
  <si>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</si>
  <si>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</si>
  <si>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</si>
  <si>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</si>
  <si>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</si>
  <si>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</si>
  <si>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</si>
  <si>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</si>
  <si>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</si>
  <si>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</si>
  <si>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</si>
  <si>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</si>
  <si>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</si>
  <si>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</si>
  <si>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</si>
  <si>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</si>
  <si>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</si>
  <si>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</si>
  <si>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</si>
  <si>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</si>
  <si>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</si>
  <si>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</si>
  <si>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</si>
  <si>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</si>
  <si>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</si>
  <si>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</si>
  <si>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</si>
  <si>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</si>
  <si>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</si>
  <si>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</si>
  <si>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</si>
  <si>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</si>
  <si>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</si>
  <si>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</si>
  <si>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</si>
  <si>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</si>
  <si>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</si>
  <si>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</si>
  <si>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</si>
  <si>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</si>
  <si>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</si>
  <si>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</si>
  <si>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</si>
  <si>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</si>
  <si>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</si>
  <si>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</si>
  <si>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</si>
  <si>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</si>
  <si>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</si>
  <si>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</si>
  <si>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</si>
  <si>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</si>
  <si>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</si>
  <si>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</si>
  <si>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</si>
  <si>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</si>
  <si>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</si>
  <si>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</si>
  <si>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</si>
  <si>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</si>
  <si>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</si>
  <si>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</si>
  <si>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</si>
  <si>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</si>
  <si>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</si>
  <si>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</si>
  <si>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</si>
  <si>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</si>
  <si>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</si>
  <si>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</si>
  <si>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</si>
  <si>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</si>
  <si>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</si>
  <si>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</si>
  <si>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</si>
  <si>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</si>
  <si>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</si>
  <si>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</si>
  <si>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</si>
  <si>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</si>
  <si>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</si>
  <si>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</si>
  <si>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</si>
  <si>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</si>
  <si>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</si>
  <si>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</si>
  <si>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</si>
  <si>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</si>
  <si>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</si>
  <si>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</si>
  <si>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</si>
  <si>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</si>
  <si>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</si>
  <si>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</si>
  <si>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</si>
  <si>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</si>
  <si>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</si>
  <si>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</si>
  <si>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</si>
  <si>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</si>
  <si>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</si>
  <si>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</si>
  <si>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</si>
  <si>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</si>
  <si>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</si>
  <si>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</si>
  <si>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</si>
  <si>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</si>
  <si>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</si>
  <si>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</si>
  <si>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</si>
  <si>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</si>
  <si>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</si>
  <si>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</si>
  <si>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</si>
  <si>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</si>
  <si>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</si>
  <si>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</si>
  <si>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</si>
  <si>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</si>
  <si>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</si>
  <si>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</si>
  <si>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</si>
  <si>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</si>
  <si>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</si>
  <si>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</si>
  <si>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</si>
  <si>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</si>
  <si>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</si>
  <si>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</si>
  <si>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</si>
  <si>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</si>
  <si>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</si>
  <si>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</si>
  <si>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</si>
  <si>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</si>
  <si>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</si>
  <si>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</si>
  <si>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</si>
  <si>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</si>
  <si>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</si>
  <si>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</si>
  <si>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</si>
  <si>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</si>
  <si>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</si>
  <si>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</si>
  <si>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</si>
  <si>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</si>
  <si>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</si>
  <si>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</si>
  <si>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</si>
  <si>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</si>
  <si>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</si>
  <si>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</si>
  <si>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</si>
  <si>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</si>
  <si>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</si>
  <si>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</si>
  <si>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</si>
  <si>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</si>
  <si>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</si>
  <si>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</si>
  <si>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</si>
  <si>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</si>
  <si>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</si>
  <si>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</si>
  <si>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</si>
  <si>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</si>
  <si>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</si>
  <si>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</si>
  <si>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</si>
  <si>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</si>
  <si>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</si>
  <si>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</si>
  <si>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</si>
  <si>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</si>
  <si>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</si>
  <si>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</si>
  <si>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</si>
  <si>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</si>
  <si>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</si>
  <si>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</si>
  <si>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</si>
  <si>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</si>
  <si>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</si>
  <si>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</si>
  <si>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</si>
  <si>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</si>
  <si>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</si>
  <si>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</si>
  <si>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</si>
  <si>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</si>
  <si>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</si>
  <si>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</si>
  <si>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</si>
  <si>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</si>
  <si>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</si>
  <si>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</si>
  <si>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</si>
  <si>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</si>
  <si>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</si>
  <si>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</si>
  <si>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</si>
  <si>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</si>
  <si>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</si>
  <si>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</si>
  <si>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</si>
  <si>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</si>
  <si>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</si>
  <si>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</si>
  <si>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</si>
  <si>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</si>
  <si>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</si>
  <si>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</si>
  <si>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</si>
  <si>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</si>
  <si>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</si>
  <si>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</si>
  <si>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</si>
  <si>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</si>
  <si>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</si>
  <si>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</si>
  <si>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</si>
  <si>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</si>
  <si>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</si>
  <si>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</si>
  <si>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</si>
  <si>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</si>
  <si>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</si>
  <si>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</si>
  <si>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</si>
  <si>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</si>
  <si>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</si>
  <si>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</si>
  <si>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</si>
  <si>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</si>
  <si>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</si>
  <si>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</si>
  <si>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</si>
  <si>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</si>
  <si>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</si>
  <si>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</si>
  <si>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</si>
  <si>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</si>
  <si>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</si>
  <si>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</si>
  <si>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</si>
  <si>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</si>
  <si>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</si>
  <si>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</si>
  <si>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</si>
  <si>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</si>
  <si>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</si>
  <si>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</si>
  <si>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</si>
  <si>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</si>
  <si>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</si>
  <si>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</si>
  <si>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</si>
  <si>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</si>
  <si>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</si>
  <si>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</si>
  <si>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</si>
  <si>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</si>
  <si>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</si>
  <si>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</si>
  <si>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</si>
  <si>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</si>
  <si>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</si>
  <si>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</si>
  <si>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</si>
  <si>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</si>
  <si>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</si>
  <si>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</si>
  <si>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</si>
  <si>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</si>
  <si>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</si>
  <si>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</si>
  <si>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</si>
  <si>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</si>
  <si>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</si>
  <si>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</si>
  <si>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</si>
  <si>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</si>
  <si>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</si>
  <si>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</si>
  <si>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</si>
  <si>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</si>
  <si>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</si>
  <si>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</si>
  <si>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</si>
  <si>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</si>
  <si>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</si>
  <si>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</si>
  <si>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</si>
  <si>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</si>
  <si>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</si>
  <si>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</si>
  <si>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</si>
  <si>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</si>
  <si>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</si>
  <si>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</si>
  <si>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</si>
  <si>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</si>
  <si>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</si>
  <si>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</si>
  <si>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</si>
  <si>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</si>
  <si>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</si>
  <si>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</si>
  <si>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</si>
  <si>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</si>
  <si>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42004</t>
  </si>
  <si>
    <t>BUGGENHOUT</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</si>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</sst>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111994.09896546096</c:v>
                </c:pt>
                <c:pt idx="1">
                  <c:v>58909.925543424935</c:v>
                </c:pt>
                <c:pt idx="2">
                  <c:v>892.55600000000004</c:v>
                </c:pt>
                <c:pt idx="3">
                  <c:v>3212.5432053183599</c:v>
                </c:pt>
                <c:pt idx="4">
                  <c:v>114197.38310213444</c:v>
                </c:pt>
                <c:pt idx="5">
                  <c:v>77987.539877752963</c:v>
                </c:pt>
                <c:pt idx="6">
                  <c:v>456.61083972459318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79921280"/>
        <c:axId val="179922816"/>
      </c:barChart>
      <c:catAx>
        <c:axId val="179921280"/>
        <c:scaling>
          <c:orientation val="minMax"/>
        </c:scaling>
        <c:axPos val="b"/>
        <c:numFmt formatCode="General" sourceLinked="0"/>
        <c:tickLblPos val="nextTo"/>
        <c:crossAx val="179922816"/>
        <c:crosses val="autoZero"/>
        <c:auto val="1"/>
        <c:lblAlgn val="ctr"/>
        <c:lblOffset val="100"/>
      </c:catAx>
      <c:valAx>
        <c:axId val="179922816"/>
        <c:scaling>
          <c:orientation val="minMax"/>
        </c:scaling>
        <c:axPos val="l"/>
        <c:majorGridlines/>
        <c:numFmt formatCode="#,##0" sourceLinked="1"/>
        <c:tickLblPos val="nextTo"/>
        <c:crossAx val="1799212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111994.09896546096</c:v>
                </c:pt>
                <c:pt idx="1">
                  <c:v>58909.925543424935</c:v>
                </c:pt>
                <c:pt idx="2">
                  <c:v>892.55600000000004</c:v>
                </c:pt>
                <c:pt idx="3">
                  <c:v>3212.5432053183599</c:v>
                </c:pt>
                <c:pt idx="4">
                  <c:v>114197.38310213444</c:v>
                </c:pt>
                <c:pt idx="5">
                  <c:v>77987.539877752963</c:v>
                </c:pt>
                <c:pt idx="6">
                  <c:v>456.61083972459318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22822.16155599898</c:v>
                </c:pt>
                <c:pt idx="2">
                  <c:v>10422.270388884273</c:v>
                </c:pt>
                <c:pt idx="3">
                  <c:v>185.65557029669768</c:v>
                </c:pt>
                <c:pt idx="4">
                  <c:v>810.72760728318679</c:v>
                </c:pt>
                <c:pt idx="5">
                  <c:v>22039.039693172053</c:v>
                </c:pt>
                <c:pt idx="6">
                  <c:v>19910.188489142201</c:v>
                </c:pt>
                <c:pt idx="7">
                  <c:v>118.24732667384492</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2594560"/>
        <c:axId val="182629120"/>
      </c:barChart>
      <c:catAx>
        <c:axId val="182594560"/>
        <c:scaling>
          <c:orientation val="minMax"/>
        </c:scaling>
        <c:axPos val="b"/>
        <c:numFmt formatCode="General" sourceLinked="0"/>
        <c:tickLblPos val="nextTo"/>
        <c:crossAx val="182629120"/>
        <c:crosses val="autoZero"/>
        <c:auto val="1"/>
        <c:lblAlgn val="ctr"/>
        <c:lblOffset val="100"/>
      </c:catAx>
      <c:valAx>
        <c:axId val="182629120"/>
        <c:scaling>
          <c:orientation val="minMax"/>
        </c:scaling>
        <c:axPos val="l"/>
        <c:majorGridlines/>
        <c:numFmt formatCode="#,##0" sourceLinked="1"/>
        <c:tickLblPos val="nextTo"/>
        <c:crossAx val="1825945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22822.16155599898</c:v>
                </c:pt>
                <c:pt idx="2">
                  <c:v>10422.270388884273</c:v>
                </c:pt>
                <c:pt idx="3">
                  <c:v>185.65557029669768</c:v>
                </c:pt>
                <c:pt idx="4">
                  <c:v>810.72760728318679</c:v>
                </c:pt>
                <c:pt idx="5">
                  <c:v>22039.039693172053</c:v>
                </c:pt>
                <c:pt idx="6">
                  <c:v>19910.188489142201</c:v>
                </c:pt>
                <c:pt idx="7">
                  <c:v>118.24732667384492</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42004</v>
      </c>
      <c r="B6" s="415"/>
      <c r="C6" s="416"/>
    </row>
    <row r="7" spans="1:7" s="413" customFormat="1" ht="15.75" customHeight="1">
      <c r="A7" s="417" t="str">
        <f>txtMunicipality</f>
        <v>BUGGENHOUT</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0.20800439445446298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0.20800439445446298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42004</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5970</v>
      </c>
      <c r="C9" s="342">
        <v>6241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1155.0899999999999</v>
      </c>
    </row>
    <row r="15" spans="1:6">
      <c r="A15" s="348" t="s">
        <v>184</v>
      </c>
      <c r="B15" s="334">
        <v>10</v>
      </c>
    </row>
    <row r="16" spans="1:6">
      <c r="A16" s="348" t="s">
        <v>6</v>
      </c>
      <c r="B16" s="334">
        <v>593</v>
      </c>
    </row>
    <row r="17" spans="1:6">
      <c r="A17" s="348" t="s">
        <v>7</v>
      </c>
      <c r="B17" s="334">
        <v>185</v>
      </c>
    </row>
    <row r="18" spans="1:6">
      <c r="A18" s="348" t="s">
        <v>8</v>
      </c>
      <c r="B18" s="334">
        <v>471</v>
      </c>
    </row>
    <row r="19" spans="1:6">
      <c r="A19" s="348" t="s">
        <v>9</v>
      </c>
      <c r="B19" s="334">
        <v>472</v>
      </c>
    </row>
    <row r="20" spans="1:6">
      <c r="A20" s="348" t="s">
        <v>10</v>
      </c>
      <c r="B20" s="334">
        <v>287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4030</v>
      </c>
    </row>
    <row r="29" spans="1:6">
      <c r="A29" s="355" t="s">
        <v>884</v>
      </c>
      <c r="B29" s="355">
        <v>106</v>
      </c>
      <c r="C29" s="356"/>
      <c r="D29" s="356"/>
      <c r="E29" s="356"/>
      <c r="F29" s="356"/>
    </row>
    <row r="30" spans="1:6">
      <c r="A30" s="355" t="s">
        <v>885</v>
      </c>
      <c r="B30" s="341">
        <v>25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3486</v>
      </c>
      <c r="D39" s="334">
        <v>54115096.936999999</v>
      </c>
      <c r="E39" s="334">
        <v>5774</v>
      </c>
      <c r="F39" s="334">
        <v>23331541.381999999</v>
      </c>
    </row>
    <row r="40" spans="1:6">
      <c r="A40" s="348" t="s">
        <v>30</v>
      </c>
      <c r="B40" s="348" t="s">
        <v>29</v>
      </c>
      <c r="C40" s="334">
        <v>0</v>
      </c>
      <c r="D40" s="334">
        <v>0</v>
      </c>
      <c r="E40" s="334">
        <v>0</v>
      </c>
      <c r="F40" s="334">
        <v>0</v>
      </c>
    </row>
    <row r="41" spans="1:6">
      <c r="A41" s="348" t="s">
        <v>32</v>
      </c>
      <c r="B41" s="348" t="s">
        <v>33</v>
      </c>
      <c r="C41" s="334">
        <v>38</v>
      </c>
      <c r="D41" s="334">
        <v>829070.61167000001</v>
      </c>
      <c r="E41" s="334">
        <v>91</v>
      </c>
      <c r="F41" s="334">
        <v>661220.60173999995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185418.79746999999</v>
      </c>
      <c r="E44" s="334">
        <v>10</v>
      </c>
      <c r="F44" s="334">
        <v>278493.93553999998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401379.54141000001</v>
      </c>
      <c r="E47" s="334">
        <v>0</v>
      </c>
      <c r="F47" s="334">
        <v>0</v>
      </c>
    </row>
    <row r="48" spans="1:6">
      <c r="A48" s="348" t="s">
        <v>32</v>
      </c>
      <c r="B48" s="348" t="s">
        <v>29</v>
      </c>
      <c r="C48" s="334">
        <v>25</v>
      </c>
      <c r="D48" s="334">
        <v>22920783.557999998</v>
      </c>
      <c r="E48" s="334">
        <v>36</v>
      </c>
      <c r="F48" s="334">
        <v>49395112.453000002</v>
      </c>
    </row>
    <row r="49" spans="1:6">
      <c r="A49" s="348" t="s">
        <v>32</v>
      </c>
      <c r="B49" s="348" t="s">
        <v>40</v>
      </c>
      <c r="C49" s="334">
        <v>0</v>
      </c>
      <c r="D49" s="334">
        <v>0</v>
      </c>
      <c r="E49" s="334">
        <v>3</v>
      </c>
      <c r="F49" s="334">
        <v>5486489.8345999997</v>
      </c>
    </row>
    <row r="50" spans="1:6">
      <c r="A50" s="348" t="s">
        <v>32</v>
      </c>
      <c r="B50" s="348" t="s">
        <v>41</v>
      </c>
      <c r="C50" s="334">
        <v>11</v>
      </c>
      <c r="D50" s="334">
        <v>5670484.1100000003</v>
      </c>
      <c r="E50" s="334">
        <v>24</v>
      </c>
      <c r="F50" s="334">
        <v>3755137.1376</v>
      </c>
    </row>
    <row r="51" spans="1:6">
      <c r="A51" s="348" t="s">
        <v>42</v>
      </c>
      <c r="B51" s="348" t="s">
        <v>43</v>
      </c>
      <c r="C51" s="334">
        <v>4</v>
      </c>
      <c r="D51" s="334">
        <v>207318.35866999999</v>
      </c>
      <c r="E51" s="334">
        <v>32</v>
      </c>
      <c r="F51" s="334">
        <v>517942.23385000002</v>
      </c>
    </row>
    <row r="52" spans="1:6">
      <c r="A52" s="348" t="s">
        <v>42</v>
      </c>
      <c r="B52" s="348" t="s">
        <v>29</v>
      </c>
      <c r="C52" s="334">
        <v>6</v>
      </c>
      <c r="D52" s="334">
        <v>102099.96838000001</v>
      </c>
      <c r="E52" s="334">
        <v>10</v>
      </c>
      <c r="F52" s="334">
        <v>90033.821205</v>
      </c>
    </row>
    <row r="53" spans="1:6">
      <c r="A53" s="348" t="s">
        <v>44</v>
      </c>
      <c r="B53" s="348" t="s">
        <v>45</v>
      </c>
      <c r="C53" s="334">
        <v>78</v>
      </c>
      <c r="D53" s="334">
        <v>1621962.2145</v>
      </c>
      <c r="E53" s="334">
        <v>231</v>
      </c>
      <c r="F53" s="334">
        <v>1884513.7703</v>
      </c>
    </row>
    <row r="54" spans="1:6">
      <c r="A54" s="348" t="s">
        <v>46</v>
      </c>
      <c r="B54" s="348" t="s">
        <v>47</v>
      </c>
      <c r="C54" s="334">
        <v>0</v>
      </c>
      <c r="D54" s="334">
        <v>0</v>
      </c>
      <c r="E54" s="334">
        <v>1</v>
      </c>
      <c r="F54" s="334">
        <v>892556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22</v>
      </c>
      <c r="D57" s="334">
        <v>1075464.1743000001</v>
      </c>
      <c r="E57" s="334">
        <v>52</v>
      </c>
      <c r="F57" s="334">
        <v>12001184.129000001</v>
      </c>
    </row>
    <row r="58" spans="1:6">
      <c r="A58" s="348" t="s">
        <v>49</v>
      </c>
      <c r="B58" s="348" t="s">
        <v>51</v>
      </c>
      <c r="C58" s="334">
        <v>24</v>
      </c>
      <c r="D58" s="334">
        <v>865656.28720999998</v>
      </c>
      <c r="E58" s="334">
        <v>30</v>
      </c>
      <c r="F58" s="334">
        <v>224048.11942</v>
      </c>
    </row>
    <row r="59" spans="1:6">
      <c r="A59" s="348" t="s">
        <v>49</v>
      </c>
      <c r="B59" s="348" t="s">
        <v>52</v>
      </c>
      <c r="C59" s="334">
        <v>58</v>
      </c>
      <c r="D59" s="334">
        <v>1998967.9432999999</v>
      </c>
      <c r="E59" s="334">
        <v>124</v>
      </c>
      <c r="F59" s="334">
        <v>3441829.162</v>
      </c>
    </row>
    <row r="60" spans="1:6">
      <c r="A60" s="348" t="s">
        <v>49</v>
      </c>
      <c r="B60" s="348" t="s">
        <v>53</v>
      </c>
      <c r="C60" s="334">
        <v>43</v>
      </c>
      <c r="D60" s="334">
        <v>2191336.8947999999</v>
      </c>
      <c r="E60" s="334">
        <v>56</v>
      </c>
      <c r="F60" s="334">
        <v>1159456.7967999999</v>
      </c>
    </row>
    <row r="61" spans="1:6">
      <c r="A61" s="348" t="s">
        <v>49</v>
      </c>
      <c r="B61" s="348" t="s">
        <v>54</v>
      </c>
      <c r="C61" s="334">
        <v>86</v>
      </c>
      <c r="D61" s="334">
        <v>4584832.1771</v>
      </c>
      <c r="E61" s="334">
        <v>149</v>
      </c>
      <c r="F61" s="334">
        <v>1624805.2095999999</v>
      </c>
    </row>
    <row r="62" spans="1:6">
      <c r="A62" s="348" t="s">
        <v>49</v>
      </c>
      <c r="B62" s="348" t="s">
        <v>55</v>
      </c>
      <c r="C62" s="334">
        <v>19</v>
      </c>
      <c r="D62" s="334">
        <v>2230760.0419999999</v>
      </c>
      <c r="E62" s="334">
        <v>12</v>
      </c>
      <c r="F62" s="334">
        <v>515960.65148</v>
      </c>
    </row>
    <row r="63" spans="1:6">
      <c r="A63" s="348" t="s">
        <v>49</v>
      </c>
      <c r="B63" s="348" t="s">
        <v>29</v>
      </c>
      <c r="C63" s="334">
        <v>72</v>
      </c>
      <c r="D63" s="334">
        <v>3609395.9810000001</v>
      </c>
      <c r="E63" s="334">
        <v>87</v>
      </c>
      <c r="F63" s="334">
        <v>7872106.4293</v>
      </c>
    </row>
    <row r="64" spans="1:6">
      <c r="A64" s="348" t="s">
        <v>56</v>
      </c>
      <c r="B64" s="348" t="s">
        <v>57</v>
      </c>
      <c r="C64" s="334">
        <v>0</v>
      </c>
      <c r="D64" s="334">
        <v>0</v>
      </c>
      <c r="E64" s="334">
        <v>0</v>
      </c>
      <c r="F64" s="334">
        <v>0</v>
      </c>
    </row>
    <row r="65" spans="1:6">
      <c r="A65" s="348" t="s">
        <v>56</v>
      </c>
      <c r="B65" s="348" t="s">
        <v>29</v>
      </c>
      <c r="C65" s="334">
        <v>2</v>
      </c>
      <c r="D65" s="334">
        <v>24646.815844000001</v>
      </c>
      <c r="E65" s="334">
        <v>4</v>
      </c>
      <c r="F65" s="334">
        <v>43658.825970999998</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7</v>
      </c>
      <c r="D68" s="334">
        <v>125234.31978999999</v>
      </c>
      <c r="E68" s="334">
        <v>16</v>
      </c>
      <c r="F68" s="334">
        <v>189959.70757999999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25508367</v>
      </c>
      <c r="E73" s="475">
        <v>26011555.703211963</v>
      </c>
    </row>
    <row r="74" spans="1:6">
      <c r="A74" s="348" t="s">
        <v>64</v>
      </c>
      <c r="B74" s="348" t="s">
        <v>667</v>
      </c>
      <c r="C74" s="1294" t="s">
        <v>669</v>
      </c>
      <c r="D74" s="475">
        <v>2210315.2767328494</v>
      </c>
      <c r="E74" s="475">
        <v>2216155.4455984491</v>
      </c>
    </row>
    <row r="75" spans="1:6">
      <c r="A75" s="348" t="s">
        <v>65</v>
      </c>
      <c r="B75" s="348" t="s">
        <v>666</v>
      </c>
      <c r="C75" s="1294" t="s">
        <v>670</v>
      </c>
      <c r="D75" s="475">
        <v>54834179</v>
      </c>
      <c r="E75" s="475">
        <v>55883521.659071125</v>
      </c>
    </row>
    <row r="76" spans="1:6">
      <c r="A76" s="348" t="s">
        <v>65</v>
      </c>
      <c r="B76" s="348" t="s">
        <v>667</v>
      </c>
      <c r="C76" s="1294" t="s">
        <v>671</v>
      </c>
      <c r="D76" s="475">
        <v>1981966.2767328497</v>
      </c>
      <c r="E76" s="475">
        <v>1986846.3793286758</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122639.44653430076</v>
      </c>
      <c r="C83" s="475">
        <v>122639.44653430076</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3017.111666042917</v>
      </c>
    </row>
    <row r="92" spans="1:6">
      <c r="A92" s="341" t="s">
        <v>69</v>
      </c>
      <c r="B92" s="342">
        <v>3814.0119488510359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1616</v>
      </c>
    </row>
    <row r="98" spans="1:6">
      <c r="A98" s="348" t="s">
        <v>72</v>
      </c>
      <c r="B98" s="334">
        <v>1</v>
      </c>
    </row>
    <row r="99" spans="1:6">
      <c r="A99" s="348" t="s">
        <v>73</v>
      </c>
      <c r="B99" s="334">
        <v>67</v>
      </c>
    </row>
    <row r="100" spans="1:6">
      <c r="A100" s="348" t="s">
        <v>74</v>
      </c>
      <c r="B100" s="334">
        <v>590</v>
      </c>
    </row>
    <row r="101" spans="1:6">
      <c r="A101" s="348" t="s">
        <v>75</v>
      </c>
      <c r="B101" s="334">
        <v>59</v>
      </c>
    </row>
    <row r="102" spans="1:6">
      <c r="A102" s="348" t="s">
        <v>76</v>
      </c>
      <c r="B102" s="334">
        <v>94</v>
      </c>
    </row>
    <row r="103" spans="1:6">
      <c r="A103" s="348" t="s">
        <v>77</v>
      </c>
      <c r="B103" s="334">
        <v>177</v>
      </c>
    </row>
    <row r="104" spans="1:6">
      <c r="A104" s="348" t="s">
        <v>78</v>
      </c>
      <c r="B104" s="334">
        <v>2731</v>
      </c>
    </row>
    <row r="105" spans="1:6">
      <c r="A105" s="341" t="s">
        <v>79</v>
      </c>
      <c r="B105" s="341">
        <v>7</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23</v>
      </c>
      <c r="C123" s="334">
        <v>14</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116</v>
      </c>
    </row>
    <row r="130" spans="1:6">
      <c r="A130" s="348" t="s">
        <v>295</v>
      </c>
      <c r="B130" s="334">
        <v>2</v>
      </c>
    </row>
    <row r="131" spans="1:6">
      <c r="A131" s="348" t="s">
        <v>296</v>
      </c>
      <c r="B131" s="334">
        <v>5</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116168.37042349455</v>
      </c>
      <c r="C3" s="43" t="s">
        <v>170</v>
      </c>
      <c r="D3" s="43"/>
      <c r="E3" s="154"/>
      <c r="F3" s="43"/>
      <c r="G3" s="43"/>
      <c r="H3" s="43"/>
      <c r="I3" s="43"/>
      <c r="J3" s="43"/>
      <c r="K3" s="96"/>
    </row>
    <row r="4" spans="1:11">
      <c r="A4" s="383" t="s">
        <v>171</v>
      </c>
      <c r="B4" s="49">
        <f>IF(ISERROR('SEAP template'!B78+'SEAP template'!C78),0,'SEAP template'!B78+'SEAP template'!C78)</f>
        <v>6831.1236148939533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0.20800439445446298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892.55600000000004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892.55600000000004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0.20800439445446298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185.65557029669768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23331.541381999999</v>
      </c>
      <c r="C5" s="17">
        <f>IF(ISERROR('Eigen informatie GS &amp; warmtenet'!B57),0,'Eigen informatie GS &amp; warmtenet'!B57)</f>
        <v>0</v>
      </c>
      <c r="D5" s="30">
        <f>(SUM(HH_hh_gas_kWh,HH_rest_gas_kWh)/1000)*0.902</f>
        <v>48811.817437174002</v>
      </c>
      <c r="E5" s="17">
        <f>B46*B57</f>
        <v>2952.4872660568421</v>
      </c>
      <c r="F5" s="17">
        <f>B51*B62</f>
        <v>25510.577536876477</v>
      </c>
      <c r="G5" s="18"/>
      <c r="H5" s="17"/>
      <c r="I5" s="17"/>
      <c r="J5" s="17">
        <f>B50*B61+C50*C61</f>
        <v>0</v>
      </c>
      <c r="K5" s="17"/>
      <c r="L5" s="17"/>
      <c r="M5" s="17"/>
      <c r="N5" s="17">
        <f>B48*B59+C48*C59</f>
        <v>7384.0336773107247</v>
      </c>
      <c r="O5" s="17">
        <f>B69*B70*B71</f>
        <v>204.79666666666668</v>
      </c>
      <c r="P5" s="17">
        <f>B77*B78*B79/1000-B77*B78*B79/1000/B80</f>
        <v>781.73333333333335</v>
      </c>
    </row>
    <row r="6" spans="1:16">
      <c r="A6" s="16" t="s">
        <v>624</v>
      </c>
      <c r="B6" s="788">
        <f>kWh_PV_kleiner_dan_10kW</f>
        <v>3017.111666042917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26348.653048042917</v>
      </c>
      <c r="C8" s="21">
        <f>C5</f>
        <v>0</v>
      </c>
      <c r="D8" s="21">
        <f>D5</f>
        <v>48811.817437174002</v>
      </c>
      <c r="E8" s="21">
        <f>E5</f>
        <v>2952.4872660568421</v>
      </c>
      <c r="F8" s="21">
        <f>F5</f>
        <v>25510.577536876477</v>
      </c>
      <c r="G8" s="21"/>
      <c r="H8" s="21"/>
      <c r="I8" s="21"/>
      <c r="J8" s="21">
        <f>J5</f>
        <v>0</v>
      </c>
      <c r="K8" s="21"/>
      <c r="L8" s="21">
        <f>L5</f>
        <v>0</v>
      </c>
      <c r="M8" s="21">
        <f>M5</f>
        <v>0</v>
      </c>
      <c r="N8" s="21">
        <f>N5</f>
        <v>7384.0336773107247</v>
      </c>
      <c r="O8" s="21">
        <f>O5</f>
        <v>204.79666666666668</v>
      </c>
      <c r="P8" s="21">
        <f>P5</f>
        <v>781.73333333333335</v>
      </c>
    </row>
    <row r="9" spans="1:16">
      <c r="B9" s="19"/>
      <c r="C9" s="19"/>
      <c r="D9" s="258"/>
      <c r="E9" s="19"/>
      <c r="F9" s="19"/>
      <c r="G9" s="19"/>
      <c r="H9" s="19"/>
      <c r="I9" s="19"/>
      <c r="J9" s="19"/>
      <c r="K9" s="19"/>
      <c r="L9" s="19"/>
      <c r="M9" s="19"/>
      <c r="N9" s="19"/>
      <c r="O9" s="19"/>
      <c r="P9" s="19"/>
    </row>
    <row r="10" spans="1:16">
      <c r="A10" s="24" t="s">
        <v>214</v>
      </c>
      <c r="B10" s="25">
        <f ca="1">'EF ele_warmte'!B12</f>
        <v>0.20800439445446298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5480.6356219489071</v>
      </c>
      <c r="C12" s="23">
        <f ca="1">C10*C8</f>
        <v>0</v>
      </c>
      <c r="D12" s="23">
        <f>D8*D10</f>
        <v>9859.9871223091486</v>
      </c>
      <c r="E12" s="23">
        <f>E10*E8</f>
        <v>670.21460939490316</v>
      </c>
      <c r="F12" s="23">
        <f>F10*F8</f>
        <v>6811.3242023460198</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1616</v>
      </c>
      <c r="C18" s="166" t="s">
        <v>111</v>
      </c>
      <c r="D18" s="228"/>
      <c r="E18" s="15"/>
    </row>
    <row r="19" spans="1:7">
      <c r="A19" s="171" t="s">
        <v>72</v>
      </c>
      <c r="B19" s="37">
        <f>aantalw2001_ander</f>
        <v>1</v>
      </c>
      <c r="C19" s="166" t="s">
        <v>111</v>
      </c>
      <c r="D19" s="229"/>
      <c r="E19" s="15"/>
    </row>
    <row r="20" spans="1:7">
      <c r="A20" s="171" t="s">
        <v>73</v>
      </c>
      <c r="B20" s="37">
        <f>aantalw2001_propaan</f>
        <v>67</v>
      </c>
      <c r="C20" s="167">
        <f>IF(ISERROR(B20/SUM($B$20,$B$21,$B$22)*100),0,B20/SUM($B$20,$B$21,$B$22)*100)</f>
        <v>9.3575418994413404</v>
      </c>
      <c r="D20" s="229"/>
      <c r="E20" s="15"/>
    </row>
    <row r="21" spans="1:7">
      <c r="A21" s="171" t="s">
        <v>74</v>
      </c>
      <c r="B21" s="37">
        <f>aantalw2001_elektriciteit</f>
        <v>590</v>
      </c>
      <c r="C21" s="167">
        <f>IF(ISERROR(B21/SUM($B$20,$B$21,$B$22)*100),0,B21/SUM($B$20,$B$21,$B$22)*100)</f>
        <v>82.402234636871512</v>
      </c>
      <c r="D21" s="229"/>
      <c r="E21" s="15"/>
    </row>
    <row r="22" spans="1:7">
      <c r="A22" s="171" t="s">
        <v>75</v>
      </c>
      <c r="B22" s="37">
        <f>aantalw2001_hout</f>
        <v>59</v>
      </c>
      <c r="C22" s="167">
        <f>IF(ISERROR(B22/SUM($B$20,$B$21,$B$22)*100),0,B22/SUM($B$20,$B$21,$B$22)*100)</f>
        <v>8.2402234636871512</v>
      </c>
      <c r="D22" s="229"/>
      <c r="E22" s="15"/>
    </row>
    <row r="23" spans="1:7">
      <c r="A23" s="171" t="s">
        <v>76</v>
      </c>
      <c r="B23" s="37">
        <f>aantalw2001_niet_gespec</f>
        <v>94</v>
      </c>
      <c r="C23" s="166" t="s">
        <v>111</v>
      </c>
      <c r="D23" s="228"/>
      <c r="E23" s="15"/>
    </row>
    <row r="24" spans="1:7">
      <c r="A24" s="171" t="s">
        <v>77</v>
      </c>
      <c r="B24" s="37">
        <f>aantalw2001_steenkool</f>
        <v>177</v>
      </c>
      <c r="C24" s="166" t="s">
        <v>111</v>
      </c>
      <c r="D24" s="229"/>
      <c r="E24" s="15"/>
    </row>
    <row r="25" spans="1:7">
      <c r="A25" s="171" t="s">
        <v>78</v>
      </c>
      <c r="B25" s="37">
        <f>aantalw2001_stookolie</f>
        <v>2731</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698</v>
      </c>
      <c r="B28" s="37">
        <f>aantalHuishoudens2011</f>
        <v>5970</v>
      </c>
      <c r="C28" s="36"/>
      <c r="D28" s="228"/>
    </row>
    <row r="29" spans="1:7" s="15" customFormat="1">
      <c r="A29" s="230" t="s">
        <v>699</v>
      </c>
      <c r="B29" s="37">
        <f>SUM(HH_hh_gas_aantal,HH_rest_gas_aantal)</f>
        <v>3486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3486</v>
      </c>
      <c r="C32" s="167">
        <f>IF(ISERROR(B32/SUM($B$32,$B$34,$B$35,$B$36,$B$38,$B$39)*100),0,B32/SUM($B$32,$B$34,$B$35,$B$36,$B$38,$B$39)*100)</f>
        <v>58.795749704840617</v>
      </c>
      <c r="D32" s="233"/>
      <c r="G32" s="15"/>
    </row>
    <row r="33" spans="1:7">
      <c r="A33" s="171" t="s">
        <v>72</v>
      </c>
      <c r="B33" s="34" t="s">
        <v>111</v>
      </c>
      <c r="C33" s="167"/>
      <c r="D33" s="233"/>
      <c r="G33" s="15"/>
    </row>
    <row r="34" spans="1:7">
      <c r="A34" s="171" t="s">
        <v>73</v>
      </c>
      <c r="B34" s="33">
        <f>IF((($B$28-$B$32-$B$39-$B$77-$B$38)*C20/100)&lt;0,0,($B$28-$B$32-$B$39-$B$77-$B$38)*C20/100)</f>
        <v>130.53770949720672</v>
      </c>
      <c r="C34" s="167">
        <f>IF(ISERROR(B34/SUM($B$32,$B$34,$B$35,$B$36,$B$38,$B$39)*100),0,B34/SUM($B$32,$B$34,$B$35,$B$36,$B$38,$B$39)*100)</f>
        <v>2.2016817253703276</v>
      </c>
      <c r="D34" s="233"/>
      <c r="G34" s="15"/>
    </row>
    <row r="35" spans="1:7">
      <c r="A35" s="171" t="s">
        <v>74</v>
      </c>
      <c r="B35" s="33">
        <f>IF((($B$28-$B$32-$B$39-$B$77-$B$38)*C21/100)&lt;0,0,($B$28-$B$32-$B$39-$B$77-$B$38)*C21/100)</f>
        <v>1149.5111731843576</v>
      </c>
      <c r="C35" s="167">
        <f>IF(ISERROR(B35/SUM($B$32,$B$34,$B$35,$B$36,$B$38,$B$39)*100),0,B35/SUM($B$32,$B$34,$B$35,$B$36,$B$38,$B$39)*100)</f>
        <v>19.387943551768554</v>
      </c>
      <c r="D35" s="233"/>
      <c r="G35" s="15"/>
    </row>
    <row r="36" spans="1:7">
      <c r="A36" s="171" t="s">
        <v>75</v>
      </c>
      <c r="B36" s="33">
        <f>IF((($B$28-$B$32-$B$39-$B$77-$B$38)*C22/100)&lt;0,0,($B$28-$B$32-$B$39-$B$77-$B$38)*C22/100)</f>
        <v>114.95111731843575</v>
      </c>
      <c r="C36" s="167">
        <f>IF(ISERROR(B36/SUM($B$32,$B$34,$B$35,$B$36,$B$38,$B$39)*100),0,B36/SUM($B$32,$B$34,$B$35,$B$36,$B$38,$B$39)*100)</f>
        <v>1.9387943551768552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1048</v>
      </c>
      <c r="C39" s="167">
        <f>IF(ISERROR(B39/SUM($B$32,$B$34,$B$35,$B$36,$B$38,$B$39)*100),0,B39/SUM($B$32,$B$34,$B$35,$B$36,$B$38,$B$39)*100)</f>
        <v>17.675830662843651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3486</v>
      </c>
      <c r="C44" s="34" t="s">
        <v>111</v>
      </c>
      <c r="D44" s="174"/>
    </row>
    <row r="45" spans="1:7">
      <c r="A45" s="171" t="s">
        <v>72</v>
      </c>
      <c r="B45" s="33" t="str">
        <f t="shared" si="0"/>
        <v>-</v>
      </c>
      <c r="C45" s="34" t="s">
        <v>111</v>
      </c>
      <c r="D45" s="174"/>
    </row>
    <row r="46" spans="1:7">
      <c r="A46" s="171" t="s">
        <v>73</v>
      </c>
      <c r="B46" s="33">
        <f t="shared" si="0"/>
        <v>130.53770949720672</v>
      </c>
      <c r="C46" s="34" t="s">
        <v>111</v>
      </c>
      <c r="D46" s="174"/>
    </row>
    <row r="47" spans="1:7">
      <c r="A47" s="171" t="s">
        <v>74</v>
      </c>
      <c r="B47" s="33">
        <f t="shared" si="0"/>
        <v>1149.5111731843576</v>
      </c>
      <c r="C47" s="34" t="s">
        <v>111</v>
      </c>
      <c r="D47" s="174"/>
    </row>
    <row r="48" spans="1:7">
      <c r="A48" s="171" t="s">
        <v>75</v>
      </c>
      <c r="B48" s="33">
        <f t="shared" si="0"/>
        <v>114.95111731843575</v>
      </c>
      <c r="C48" s="33">
        <f>B48*10</f>
        <v>1149.5111731843574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1048</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26839.390497599998</v>
      </c>
      <c r="C5" s="17">
        <f>IF(ISERROR('Eigen informatie GS &amp; warmtenet'!B58),0,'Eigen informatie GS &amp; warmtenet'!B58)</f>
        <v>0</v>
      </c>
      <c r="D5" s="30">
        <f>SUM(D6:D12)</f>
        <v>14933.88497673842</v>
      </c>
      <c r="E5" s="17">
        <f>SUM(E6:E12)</f>
        <v>325.85568275863665</v>
      </c>
      <c r="F5" s="17">
        <f>SUM(F6:F12)</f>
        <v>6550.3566127968006</v>
      </c>
      <c r="G5" s="18"/>
      <c r="H5" s="17"/>
      <c r="I5" s="17"/>
      <c r="J5" s="17">
        <f>SUM(J6:J12)</f>
        <v>0</v>
      </c>
      <c r="K5" s="17"/>
      <c r="L5" s="17"/>
      <c r="M5" s="17"/>
      <c r="N5" s="17">
        <f>SUM(N6:N12)</f>
        <v>10161.977773531087</v>
      </c>
      <c r="O5" s="17">
        <f>B38*B39*B40</f>
        <v>3.1266666666666669</v>
      </c>
      <c r="P5" s="17">
        <f>B46*B47*B48/1000-B46*B47*B48/1000/B49</f>
        <v>95.333333333333343</v>
      </c>
      <c r="R5" s="32"/>
    </row>
    <row r="6" spans="1:18">
      <c r="A6" s="32" t="s">
        <v>54</v>
      </c>
      <c r="B6" s="37">
        <f>B26</f>
        <v>1624.8052095999999</v>
      </c>
      <c r="C6" s="33"/>
      <c r="D6" s="37">
        <f>IF(ISERROR(TER_kantoor_gas_kWh/1000),0,TER_kantoor_gas_kWh/1000)*0.902</f>
        <v>4135.5186237442003</v>
      </c>
      <c r="E6" s="33">
        <f>$C$26*'E Balans VL '!I12/100/3.6*1000000</f>
        <v>21.270701663461047</v>
      </c>
      <c r="F6" s="33">
        <f>$C$26*('E Balans VL '!L12+'E Balans VL '!N12)/100/3.6*1000000</f>
        <v>414.30853833815684</v>
      </c>
      <c r="G6" s="34"/>
      <c r="H6" s="33"/>
      <c r="I6" s="33"/>
      <c r="J6" s="33">
        <f>$C$26*('E Balans VL '!D12+'E Balans VL '!E12)/100/3.6*1000000</f>
        <v>0</v>
      </c>
      <c r="K6" s="33"/>
      <c r="L6" s="33"/>
      <c r="M6" s="33"/>
      <c r="N6" s="33">
        <f>$C$26*'E Balans VL '!Y12/100/3.6*1000000</f>
        <v>1.630276654114196</v>
      </c>
      <c r="O6" s="33"/>
      <c r="P6" s="33"/>
      <c r="R6" s="32"/>
    </row>
    <row r="7" spans="1:18">
      <c r="A7" s="32" t="s">
        <v>53</v>
      </c>
      <c r="B7" s="37">
        <f t="shared" ref="B7:B12" si="0">B27</f>
        <v>1159.4567967999999</v>
      </c>
      <c r="C7" s="33"/>
      <c r="D7" s="37">
        <f>IF(ISERROR(TER_horeca_gas_kWh/1000),0,TER_horeca_gas_kWh/1000)*0.902</f>
        <v>1976.5858791095998</v>
      </c>
      <c r="E7" s="33">
        <f>$C$27*'E Balans VL '!I9/100/3.6*1000000</f>
        <v>38.370967234975829</v>
      </c>
      <c r="F7" s="33">
        <f>$C$27*('E Balans VL '!L9+'E Balans VL '!N9)/100/3.6*1000000</f>
        <v>498.56197904731198</v>
      </c>
      <c r="G7" s="34"/>
      <c r="H7" s="33"/>
      <c r="I7" s="33"/>
      <c r="J7" s="33">
        <f>$C$27*('E Balans VL '!D9+'E Balans VL '!E9)/100/3.6*1000000</f>
        <v>0</v>
      </c>
      <c r="K7" s="33"/>
      <c r="L7" s="33"/>
      <c r="M7" s="33"/>
      <c r="N7" s="33">
        <f>$C$27*'E Balans VL '!Y9/100/3.6*1000000</f>
        <v>0.27909808815017434</v>
      </c>
      <c r="O7" s="33"/>
      <c r="P7" s="33"/>
      <c r="R7" s="32"/>
    </row>
    <row r="8" spans="1:18">
      <c r="A8" s="6" t="s">
        <v>52</v>
      </c>
      <c r="B8" s="37">
        <f t="shared" si="0"/>
        <v>3441.829162</v>
      </c>
      <c r="C8" s="33"/>
      <c r="D8" s="37">
        <f>IF(ISERROR(TER_handel_gas_kWh/1000),0,TER_handel_gas_kWh/1000)*0.902</f>
        <v>1803.0690848566001</v>
      </c>
      <c r="E8" s="33">
        <f>$C$28*'E Balans VL '!I13/100/3.6*1000000</f>
        <v>108.62938731113829</v>
      </c>
      <c r="F8" s="33">
        <f>$C$28*('E Balans VL '!L13+'E Balans VL '!N13)/100/3.6*1000000</f>
        <v>675.00330551693605</v>
      </c>
      <c r="G8" s="34"/>
      <c r="H8" s="33"/>
      <c r="I8" s="33"/>
      <c r="J8" s="33">
        <f>$C$28*('E Balans VL '!D13+'E Balans VL '!E13)/100/3.6*1000000</f>
        <v>0</v>
      </c>
      <c r="K8" s="33"/>
      <c r="L8" s="33"/>
      <c r="M8" s="33"/>
      <c r="N8" s="33">
        <f>$C$28*'E Balans VL '!Y13/100/3.6*1000000</f>
        <v>4.0847829923656134</v>
      </c>
      <c r="O8" s="33"/>
      <c r="P8" s="33"/>
      <c r="R8" s="32"/>
    </row>
    <row r="9" spans="1:18">
      <c r="A9" s="32" t="s">
        <v>51</v>
      </c>
      <c r="B9" s="37">
        <f t="shared" si="0"/>
        <v>224.04811942000001</v>
      </c>
      <c r="C9" s="33"/>
      <c r="D9" s="37">
        <f>IF(ISERROR(TER_gezond_gas_kWh/1000),0,TER_gezond_gas_kWh/1000)*0.902</f>
        <v>780.82197106341994</v>
      </c>
      <c r="E9" s="33">
        <f>$C$29*'E Balans VL '!I10/100/3.6*1000000</f>
        <v>2.8684713668064177E-2</v>
      </c>
      <c r="F9" s="33">
        <f>$C$29*('E Balans VL '!L10+'E Balans VL '!N10)/100/3.6*1000000</f>
        <v>46.67861399246798</v>
      </c>
      <c r="G9" s="34"/>
      <c r="H9" s="33"/>
      <c r="I9" s="33"/>
      <c r="J9" s="33">
        <f>$C$29*('E Balans VL '!D10+'E Balans VL '!E10)/100/3.6*1000000</f>
        <v>0</v>
      </c>
      <c r="K9" s="33"/>
      <c r="L9" s="33"/>
      <c r="M9" s="33"/>
      <c r="N9" s="33">
        <f>$C$29*'E Balans VL '!Y10/100/3.6*1000000</f>
        <v>2.6315510616512459</v>
      </c>
      <c r="O9" s="33"/>
      <c r="P9" s="33"/>
      <c r="R9" s="32"/>
    </row>
    <row r="10" spans="1:18">
      <c r="A10" s="32" t="s">
        <v>50</v>
      </c>
      <c r="B10" s="37">
        <f t="shared" si="0"/>
        <v>12001.184129000001</v>
      </c>
      <c r="C10" s="33"/>
      <c r="D10" s="37">
        <f>IF(ISERROR(TER_ander_gas_kWh/1000),0,TER_ander_gas_kWh/1000)*0.902</f>
        <v>970.06868521859997</v>
      </c>
      <c r="E10" s="33">
        <f>$C$30*'E Balans VL '!I14/100/3.6*1000000</f>
        <v>18.046958664494564</v>
      </c>
      <c r="F10" s="33">
        <f>$C$30*('E Balans VL '!L14+'E Balans VL '!N14)/100/3.6*1000000</f>
        <v>2649.4746023494286</v>
      </c>
      <c r="G10" s="34"/>
      <c r="H10" s="33"/>
      <c r="I10" s="33"/>
      <c r="J10" s="33">
        <f>$C$30*('E Balans VL '!D14+'E Balans VL '!E14)/100/3.6*1000000</f>
        <v>0</v>
      </c>
      <c r="K10" s="33"/>
      <c r="L10" s="33"/>
      <c r="M10" s="33"/>
      <c r="N10" s="33">
        <f>$C$30*'E Balans VL '!Y14/100/3.6*1000000</f>
        <v>9457.740742892478</v>
      </c>
      <c r="O10" s="33"/>
      <c r="P10" s="33"/>
      <c r="R10" s="32"/>
    </row>
    <row r="11" spans="1:18">
      <c r="A11" s="32" t="s">
        <v>55</v>
      </c>
      <c r="B11" s="37">
        <f t="shared" si="0"/>
        <v>515.96065148000002</v>
      </c>
      <c r="C11" s="33"/>
      <c r="D11" s="37">
        <f>IF(ISERROR(TER_onderwijs_gas_kWh/1000),0,TER_onderwijs_gas_kWh/1000)*0.902</f>
        <v>2012.145557884</v>
      </c>
      <c r="E11" s="33">
        <f>$C$31*'E Balans VL '!I11/100/3.6*1000000</f>
        <v>0.90864994460941806</v>
      </c>
      <c r="F11" s="33">
        <f>$C$31*('E Balans VL '!L11+'E Balans VL '!N11)/100/3.6*1000000</f>
        <v>238.22836908086299</v>
      </c>
      <c r="G11" s="34"/>
      <c r="H11" s="33"/>
      <c r="I11" s="33"/>
      <c r="J11" s="33">
        <f>$C$31*('E Balans VL '!D11+'E Balans VL '!E11)/100/3.6*1000000</f>
        <v>0</v>
      </c>
      <c r="K11" s="33"/>
      <c r="L11" s="33"/>
      <c r="M11" s="33"/>
      <c r="N11" s="33">
        <f>$C$31*'E Balans VL '!Y11/100/3.6*1000000</f>
        <v>0.96124182881291265</v>
      </c>
      <c r="O11" s="33"/>
      <c r="P11" s="33"/>
      <c r="R11" s="32"/>
    </row>
    <row r="12" spans="1:18">
      <c r="A12" s="32" t="s">
        <v>260</v>
      </c>
      <c r="B12" s="37">
        <f t="shared" si="0"/>
        <v>7872.1064292999999</v>
      </c>
      <c r="C12" s="33"/>
      <c r="D12" s="37">
        <f>IF(ISERROR(TER_rest_gas_kWh/1000),0,TER_rest_gas_kWh/1000)*0.902</f>
        <v>3255.6751748620004</v>
      </c>
      <c r="E12" s="33">
        <f>$C$32*'E Balans VL '!I8/100/3.6*1000000</f>
        <v>138.60033322628945</v>
      </c>
      <c r="F12" s="33">
        <f>$C$32*('E Balans VL '!L8+'E Balans VL '!N8)/100/3.6*1000000</f>
        <v>2028.1012044716363</v>
      </c>
      <c r="G12" s="34"/>
      <c r="H12" s="33"/>
      <c r="I12" s="33"/>
      <c r="J12" s="33">
        <f>$C$32*('E Balans VL '!D8+'E Balans VL '!E8)/100/3.6*1000000</f>
        <v>0</v>
      </c>
      <c r="K12" s="33"/>
      <c r="L12" s="33"/>
      <c r="M12" s="33"/>
      <c r="N12" s="33">
        <f>$C$32*'E Balans VL '!Y8/100/3.6*1000000</f>
        <v>694.65008001351691</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26839.390497599998</v>
      </c>
      <c r="C16" s="21">
        <f t="shared" ca="1" si="1"/>
        <v>0</v>
      </c>
      <c r="D16" s="21">
        <f t="shared" ca="1" si="1"/>
        <v>14933.88497673842</v>
      </c>
      <c r="E16" s="21">
        <f t="shared" si="1"/>
        <v>325.85568275863665</v>
      </c>
      <c r="F16" s="21">
        <f t="shared" ca="1" si="1"/>
        <v>6550.3566127968006</v>
      </c>
      <c r="G16" s="21">
        <f t="shared" si="1"/>
        <v>0</v>
      </c>
      <c r="H16" s="21">
        <f t="shared" si="1"/>
        <v>0</v>
      </c>
      <c r="I16" s="21">
        <f t="shared" si="1"/>
        <v>0</v>
      </c>
      <c r="J16" s="21">
        <f t="shared" si="1"/>
        <v>0</v>
      </c>
      <c r="K16" s="21">
        <f t="shared" si="1"/>
        <v>0</v>
      </c>
      <c r="L16" s="21">
        <f t="shared" ca="1" si="1"/>
        <v>0</v>
      </c>
      <c r="M16" s="21">
        <f t="shared" si="1"/>
        <v>0</v>
      </c>
      <c r="N16" s="21">
        <f t="shared" ca="1" si="1"/>
        <v>10161.977773531087</v>
      </c>
      <c r="O16" s="21">
        <f>O5</f>
        <v>3.1266666666666669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0.20800439445446298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5582.7111679801556</v>
      </c>
      <c r="C20" s="23">
        <f t="shared" ref="C20:P20" ca="1" si="2">C16*C18</f>
        <v>0</v>
      </c>
      <c r="D20" s="23">
        <f t="shared" ca="1" si="2"/>
        <v>3016.644765301161</v>
      </c>
      <c r="E20" s="23">
        <f t="shared" si="2"/>
        <v>73.969239986210525</v>
      </c>
      <c r="F20" s="23">
        <f t="shared" ca="1" si="2"/>
        <v>1748.9452156167458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1624.8052095999999</v>
      </c>
      <c r="C26" s="39">
        <f>IF(ISERROR(B26*3.6/1000000/'E Balans VL '!Z12*100),0,B26*3.6/1000000/'E Balans VL '!Z12*100)</f>
        <v>3.4804589851647444E-2</v>
      </c>
      <c r="D26" s="237" t="s">
        <v>660</v>
      </c>
      <c r="F26" s="6"/>
    </row>
    <row r="27" spans="1:18">
      <c r="A27" s="231" t="s">
        <v>53</v>
      </c>
      <c r="B27" s="33">
        <f>IF(ISERROR(TER_horeca_ele_kWh/1000),0,TER_horeca_ele_kWh/1000)</f>
        <v>1159.4567967999999</v>
      </c>
      <c r="C27" s="39">
        <f>IF(ISERROR(B27*3.6/1000000/'E Balans VL '!Z9*100),0,B27*3.6/1000000/'E Balans VL '!Z9*100)</f>
        <v>9.3042377712511545E-2</v>
      </c>
      <c r="D27" s="237" t="s">
        <v>660</v>
      </c>
      <c r="F27" s="6"/>
    </row>
    <row r="28" spans="1:18">
      <c r="A28" s="171" t="s">
        <v>52</v>
      </c>
      <c r="B28" s="33">
        <f>IF(ISERROR(TER_handel_ele_kWh/1000),0,TER_handel_ele_kWh/1000)</f>
        <v>3441.829162</v>
      </c>
      <c r="C28" s="39">
        <f>IF(ISERROR(B28*3.6/1000000/'E Balans VL '!Z13*100),0,B28*3.6/1000000/'E Balans VL '!Z13*100)</f>
        <v>0.10151421873435301</v>
      </c>
      <c r="D28" s="237" t="s">
        <v>660</v>
      </c>
      <c r="F28" s="6"/>
    </row>
    <row r="29" spans="1:18">
      <c r="A29" s="231" t="s">
        <v>51</v>
      </c>
      <c r="B29" s="33">
        <f>IF(ISERROR(TER_gezond_ele_kWh/1000),0,TER_gezond_ele_kWh/1000)</f>
        <v>224.04811942000001</v>
      </c>
      <c r="C29" s="39">
        <f>IF(ISERROR(B29*3.6/1000000/'E Balans VL '!Z10*100),0,B29*3.6/1000000/'E Balans VL '!Z10*100)</f>
        <v>2.3922332198715378E-2</v>
      </c>
      <c r="D29" s="237" t="s">
        <v>660</v>
      </c>
      <c r="F29" s="6"/>
    </row>
    <row r="30" spans="1:18">
      <c r="A30" s="231" t="s">
        <v>50</v>
      </c>
      <c r="B30" s="33">
        <f>IF(ISERROR(TER_ander_ele_kWh/1000),0,TER_ander_ele_kWh/1000)</f>
        <v>12001.184129000001</v>
      </c>
      <c r="C30" s="39">
        <f>IF(ISERROR(B30*3.6/1000000/'E Balans VL '!Z14*100),0,B30*3.6/1000000/'E Balans VL '!Z14*100)</f>
        <v>0.90649656401250844</v>
      </c>
      <c r="D30" s="237" t="s">
        <v>660</v>
      </c>
      <c r="F30" s="6"/>
    </row>
    <row r="31" spans="1:18">
      <c r="A31" s="231" t="s">
        <v>55</v>
      </c>
      <c r="B31" s="33">
        <f>IF(ISERROR(TER_onderwijs_ele_kWh/1000),0,TER_onderwijs_ele_kWh/1000)</f>
        <v>515.96065148000002</v>
      </c>
      <c r="C31" s="39">
        <f>IF(ISERROR(B31*3.6/1000000/'E Balans VL '!Z11*100),0,B31*3.6/1000000/'E Balans VL '!Z11*100)</f>
        <v>0.10418967963099245</v>
      </c>
      <c r="D31" s="237" t="s">
        <v>660</v>
      </c>
    </row>
    <row r="32" spans="1:18">
      <c r="A32" s="231" t="s">
        <v>260</v>
      </c>
      <c r="B32" s="33">
        <f>IF(ISERROR(TER_rest_ele_kWh/1000),0,TER_rest_ele_kWh/1000)</f>
        <v>7872.1064292999999</v>
      </c>
      <c r="C32" s="39">
        <f>IF(ISERROR(B32*3.6/1000000/'E Balans VL '!Z8*100),0,B32*3.6/1000000/'E Balans VL '!Z8*100)</f>
        <v>6.5270724128019833E-2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5</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59576.453962480002</v>
      </c>
      <c r="C5" s="17">
        <f>IF(ISERROR('Eigen informatie GS &amp; warmtenet'!B59),0,'Eigen informatie GS &amp; warmtenet'!B59)</f>
        <v>0</v>
      </c>
      <c r="D5" s="30">
        <f>SUM(D6:D15)</f>
        <v>27066.4372299321</v>
      </c>
      <c r="E5" s="17">
        <f>SUM(E6:E15)</f>
        <v>2970.0877265456757</v>
      </c>
      <c r="F5" s="17">
        <f>SUM(F6:F15)</f>
        <v>12597.323076939969</v>
      </c>
      <c r="G5" s="18"/>
      <c r="H5" s="17"/>
      <c r="I5" s="17"/>
      <c r="J5" s="17">
        <f>SUM(J6:J15)</f>
        <v>400.45188431378301</v>
      </c>
      <c r="K5" s="17"/>
      <c r="L5" s="17"/>
      <c r="M5" s="17"/>
      <c r="N5" s="17">
        <f>SUM(N6:N15)</f>
        <v>11586.629221922911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278.49393554</v>
      </c>
      <c r="C8" s="33"/>
      <c r="D8" s="37">
        <f>IF( ISERROR(IND_metaal_Gas_kWH/1000),0,IND_metaal_Gas_kWH/1000)*0.902</f>
        <v>167.24775531794</v>
      </c>
      <c r="E8" s="33">
        <f>C30*'E Balans VL '!I18/100/3.6*1000000</f>
        <v>10.021054301995692</v>
      </c>
      <c r="F8" s="33">
        <f>C30*'E Balans VL '!L18/100/3.6*1000000+C30*'E Balans VL '!N18/100/3.6*1000000</f>
        <v>121.60927384822787</v>
      </c>
      <c r="G8" s="34"/>
      <c r="H8" s="33"/>
      <c r="I8" s="33"/>
      <c r="J8" s="40">
        <f>C30*'E Balans VL '!D18/100/3.6*1000000+C30*'E Balans VL '!E18/100/3.6*1000000</f>
        <v>0</v>
      </c>
      <c r="K8" s="33"/>
      <c r="L8" s="33"/>
      <c r="M8" s="33"/>
      <c r="N8" s="33">
        <f>C30*'E Balans VL '!Y18/100/3.6*1000000</f>
        <v>13.957926792582041</v>
      </c>
      <c r="O8" s="33"/>
      <c r="P8" s="33"/>
      <c r="R8" s="32"/>
    </row>
    <row r="9" spans="1:18">
      <c r="A9" s="6" t="s">
        <v>33</v>
      </c>
      <c r="B9" s="37">
        <f t="shared" si="0"/>
        <v>661.22060174000001</v>
      </c>
      <c r="C9" s="33"/>
      <c r="D9" s="37">
        <f>IF( ISERROR(IND_andere_gas_kWh/1000),0,IND_andere_gas_kWh/1000)*0.902</f>
        <v>747.82169172634008</v>
      </c>
      <c r="E9" s="33">
        <f>C31*'E Balans VL '!I19/100/3.6*1000000</f>
        <v>168.72853702890461</v>
      </c>
      <c r="F9" s="33">
        <f>C31*'E Balans VL '!L19/100/3.6*1000000+C31*'E Balans VL '!N19/100/3.6*1000000</f>
        <v>569.26123882557158</v>
      </c>
      <c r="G9" s="34"/>
      <c r="H9" s="33"/>
      <c r="I9" s="33"/>
      <c r="J9" s="40">
        <f>C31*'E Balans VL '!D19/100/3.6*1000000+C31*'E Balans VL '!E19/100/3.6*1000000</f>
        <v>0</v>
      </c>
      <c r="K9" s="33"/>
      <c r="L9" s="33"/>
      <c r="M9" s="33"/>
      <c r="N9" s="33">
        <f>C31*'E Balans VL '!Y19/100/3.6*1000000</f>
        <v>206.78632660474986</v>
      </c>
      <c r="O9" s="33"/>
      <c r="P9" s="33"/>
      <c r="R9" s="32"/>
    </row>
    <row r="10" spans="1:18">
      <c r="A10" s="6" t="s">
        <v>41</v>
      </c>
      <c r="B10" s="37">
        <f t="shared" si="0"/>
        <v>3755.1371376000002</v>
      </c>
      <c r="C10" s="33"/>
      <c r="D10" s="37">
        <f>IF( ISERROR(IND_voed_gas_kWh/1000),0,IND_voed_gas_kWh/1000)*0.902</f>
        <v>5114.7766672200005</v>
      </c>
      <c r="E10" s="33">
        <f>C32*'E Balans VL '!I20/100/3.6*1000000</f>
        <v>95.460742263625917</v>
      </c>
      <c r="F10" s="33">
        <f>C32*'E Balans VL '!L20/100/3.6*1000000+C32*'E Balans VL '!N20/100/3.6*1000000</f>
        <v>849.73116476913856</v>
      </c>
      <c r="G10" s="34"/>
      <c r="H10" s="33"/>
      <c r="I10" s="33"/>
      <c r="J10" s="40">
        <f>C32*'E Balans VL '!D20/100/3.6*1000000+C32*'E Balans VL '!E20/100/3.6*1000000</f>
        <v>0</v>
      </c>
      <c r="K10" s="33"/>
      <c r="L10" s="33"/>
      <c r="M10" s="33"/>
      <c r="N10" s="33">
        <f>C32*'E Balans VL '!Y20/100/3.6*1000000</f>
        <v>1408.2782135957696</v>
      </c>
      <c r="O10" s="33"/>
      <c r="P10" s="33"/>
      <c r="R10" s="32"/>
    </row>
    <row r="11" spans="1:18">
      <c r="A11" s="6" t="s">
        <v>40</v>
      </c>
      <c r="B11" s="37">
        <f t="shared" si="0"/>
        <v>5486.4898346</v>
      </c>
      <c r="C11" s="33"/>
      <c r="D11" s="37">
        <f>IF( ISERROR(IND_textiel_gas_kWh/1000),0,IND_textiel_gas_kWh/1000)*0.902</f>
        <v>0</v>
      </c>
      <c r="E11" s="33">
        <f>C33*'E Balans VL '!I21/100/3.6*1000000</f>
        <v>15.061890038460835</v>
      </c>
      <c r="F11" s="33">
        <f>C33*'E Balans VL '!L21/100/3.6*1000000+C33*'E Balans VL '!N21/100/3.6*1000000</f>
        <v>290.87082588108649</v>
      </c>
      <c r="G11" s="34"/>
      <c r="H11" s="33"/>
      <c r="I11" s="33"/>
      <c r="J11" s="40">
        <f>C33*'E Balans VL '!D21/100/3.6*1000000+C33*'E Balans VL '!E21/100/3.6*1000000</f>
        <v>0</v>
      </c>
      <c r="K11" s="33"/>
      <c r="L11" s="33"/>
      <c r="M11" s="33"/>
      <c r="N11" s="33">
        <f>C33*'E Balans VL '!Y21/100/3.6*1000000</f>
        <v>11.026936648908968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362.04434635182002</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49395.112453000002</v>
      </c>
      <c r="C15" s="33"/>
      <c r="D15" s="37">
        <f>IF( ISERROR(IND_rest_gas_kWh/1000),0,IND_rest_gas_kWh/1000)*0.902</f>
        <v>20674.546769315999</v>
      </c>
      <c r="E15" s="33">
        <f>C37*'E Balans VL '!I15/100/3.6*1000000</f>
        <v>2680.8155029126888</v>
      </c>
      <c r="F15" s="33">
        <f>C37*'E Balans VL '!L15/100/3.6*1000000+C37*'E Balans VL '!N15/100/3.6*1000000</f>
        <v>10765.850573615944</v>
      </c>
      <c r="G15" s="34"/>
      <c r="H15" s="33"/>
      <c r="I15" s="33"/>
      <c r="J15" s="40">
        <f>C37*'E Balans VL '!D15/100/3.6*1000000+C37*'E Balans VL '!E15/100/3.6*1000000</f>
        <v>400.45188431378301</v>
      </c>
      <c r="K15" s="33"/>
      <c r="L15" s="33"/>
      <c r="M15" s="33"/>
      <c r="N15" s="33">
        <f>C37*'E Balans VL '!Y15/100/3.6*1000000</f>
        <v>9946.5798182809012</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59576.453962480002</v>
      </c>
      <c r="C18" s="21">
        <f>C5+C16</f>
        <v>0</v>
      </c>
      <c r="D18" s="21">
        <f>MAX((D5+D16),0)</f>
        <v>27066.4372299321</v>
      </c>
      <c r="E18" s="21">
        <f>MAX((E5+E16),0)</f>
        <v>2970.0877265456757</v>
      </c>
      <c r="F18" s="21">
        <f>MAX((F5+F16),0)</f>
        <v>12597.323076939969</v>
      </c>
      <c r="G18" s="21"/>
      <c r="H18" s="21"/>
      <c r="I18" s="21"/>
      <c r="J18" s="21">
        <f>MAX((J5+J16),0)</f>
        <v>400.45188431378301</v>
      </c>
      <c r="K18" s="21"/>
      <c r="L18" s="21">
        <f>MAX((L5+L16),0)</f>
        <v>0</v>
      </c>
      <c r="M18" s="21"/>
      <c r="N18" s="21">
        <f>MAX((N5+N16),0)</f>
        <v>11586.629221922911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0.20800439445446298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12392.164230209844</v>
      </c>
      <c r="C22" s="23">
        <f ca="1">C18*C20</f>
        <v>0</v>
      </c>
      <c r="D22" s="23">
        <f>D18*D20</f>
        <v>5467.4203204462847</v>
      </c>
      <c r="E22" s="23">
        <f>E18*E20</f>
        <v>674.20991392586836</v>
      </c>
      <c r="F22" s="23">
        <f>F18*F20</f>
        <v>3363.4852615429718</v>
      </c>
      <c r="G22" s="23"/>
      <c r="H22" s="23"/>
      <c r="I22" s="23"/>
      <c r="J22" s="23">
        <f>J18*J20</f>
        <v>141.75996704707919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278.49393554</v>
      </c>
      <c r="C30" s="39">
        <f>IF(ISERROR(B30*3.6/1000000/'E Balans VL '!Z18*100),0,B30*3.6/1000000/'E Balans VL '!Z18*100)</f>
        <v>5.9006894188310455E-2</v>
      </c>
      <c r="D30" s="237" t="s">
        <v>660</v>
      </c>
    </row>
    <row r="31" spans="1:18">
      <c r="A31" s="6" t="s">
        <v>33</v>
      </c>
      <c r="B31" s="37">
        <f>IF( ISERROR(IND_ander_ele_kWh/1000),0,IND_ander_ele_kWh/1000)</f>
        <v>661.22060174000001</v>
      </c>
      <c r="C31" s="39">
        <f>IF(ISERROR(B31*3.6/1000000/'E Balans VL '!Z19*100),0,B31*3.6/1000000/'E Balans VL '!Z19*100)</f>
        <v>2.7832276537804308E-2</v>
      </c>
      <c r="D31" s="237" t="s">
        <v>660</v>
      </c>
    </row>
    <row r="32" spans="1:18">
      <c r="A32" s="171" t="s">
        <v>41</v>
      </c>
      <c r="B32" s="37">
        <f>IF( ISERROR(IND_voed_ele_kWh/1000),0,IND_voed_ele_kWh/1000)</f>
        <v>3755.1371376000002</v>
      </c>
      <c r="C32" s="39">
        <f>IF(ISERROR(B32*3.6/1000000/'E Balans VL '!Z20*100),0,B32*3.6/1000000/'E Balans VL '!Z20*100)</f>
        <v>0.62733814529071497</v>
      </c>
      <c r="D32" s="237" t="s">
        <v>660</v>
      </c>
    </row>
    <row r="33" spans="1:5">
      <c r="A33" s="171" t="s">
        <v>40</v>
      </c>
      <c r="B33" s="37">
        <f>IF( ISERROR(IND_textiel_ele_kWh/1000),0,IND_textiel_ele_kWh/1000)</f>
        <v>5486.4898346</v>
      </c>
      <c r="C33" s="39">
        <f>IF(ISERROR(B33*3.6/1000000/'E Balans VL '!Z21*100),0,B33*3.6/1000000/'E Balans VL '!Z21*100)</f>
        <v>0.32031769495741375</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49395.112453000002</v>
      </c>
      <c r="C37" s="39">
        <f>IF(ISERROR(B37*3.6/1000000/'E Balans VL '!Z15*100),0,B37*3.6/1000000/'E Balans VL '!Z15*100)</f>
        <v>0.39878586949725753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607.97605505499996</v>
      </c>
      <c r="C5" s="17">
        <f>'Eigen informatie GS &amp; warmtenet'!B60</f>
        <v>0</v>
      </c>
      <c r="D5" s="30">
        <f>IF(ISERROR(SUM(LB_lb_gas_kWh,LB_rest_gas_kWh)/1000),0,SUM(LB_lb_gas_kWh,LB_rest_gas_kWh)/1000)*0.902</f>
        <v>279.09533099909999</v>
      </c>
      <c r="E5" s="17">
        <f>B17*'E Balans VL '!I25/3.6*1000000/100</f>
        <v>15.677368101703291</v>
      </c>
      <c r="F5" s="17">
        <f>B17*('E Balans VL '!L25/3.6*1000000+'E Balans VL '!N25/3.6*1000000)/100</f>
        <v>2222.2682646412832</v>
      </c>
      <c r="G5" s="18"/>
      <c r="H5" s="17"/>
      <c r="I5" s="17"/>
      <c r="J5" s="17">
        <f>('E Balans VL '!D25+'E Balans VL '!E25)/3.6*1000000*landbouw!B17/100</f>
        <v>87.526186521273431</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607.97605505499996</v>
      </c>
      <c r="C8" s="21">
        <f>C5+C6</f>
        <v>0</v>
      </c>
      <c r="D8" s="21">
        <f>MAX((D5+D6),0)</f>
        <v>279.09533099909999</v>
      </c>
      <c r="E8" s="21">
        <f>MAX((E5+E6),0)</f>
        <v>15.677368101703291</v>
      </c>
      <c r="F8" s="21">
        <f>MAX((F5+F6),0)</f>
        <v>2222.2682646412832</v>
      </c>
      <c r="G8" s="21"/>
      <c r="H8" s="21"/>
      <c r="I8" s="21"/>
      <c r="J8" s="21">
        <f>MAX((J5+J6),0)</f>
        <v>87.526186521273431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0.20800439445446298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126.46169117452851</v>
      </c>
      <c r="C12" s="23">
        <f ca="1">C8*C10</f>
        <v>0</v>
      </c>
      <c r="D12" s="23">
        <f>D8*D10</f>
        <v>56.377256861818204</v>
      </c>
      <c r="E12" s="23">
        <f>E8*E10</f>
        <v>3.558762559086647</v>
      </c>
      <c r="F12" s="23">
        <f>F8*F10</f>
        <v>593.3456266592226</v>
      </c>
      <c r="G12" s="23"/>
      <c r="H12" s="23"/>
      <c r="I12" s="23"/>
      <c r="J12" s="23">
        <f>J8*J10</f>
        <v>30.984270028530794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8.572865090584357E-2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159.3971065868993</v>
      </c>
      <c r="C26" s="247">
        <f>B26*'GWP N2O_CH4'!B5</f>
        <v>3347.3392383248852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26.827229695570267</v>
      </c>
      <c r="C27" s="247">
        <f>B27*'GWP N2O_CH4'!B5</f>
        <v>563.37182360697557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1.8396051921509033</v>
      </c>
      <c r="C28" s="247">
        <f>B28*'GWP N2O_CH4'!B4</f>
        <v>570.27760956678003</v>
      </c>
      <c r="D28" s="50"/>
    </row>
    <row r="29" spans="1:4">
      <c r="A29" s="41" t="s">
        <v>277</v>
      </c>
      <c r="B29" s="247">
        <f>B34*'ha_N2O bodem landbouw'!B4</f>
        <v>7.6202218485838253</v>
      </c>
      <c r="C29" s="247">
        <f>B29*'GWP N2O_CH4'!B4</f>
        <v>2362.2687730609859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1.714964010832383E-3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6.7777524059838871E-5</v>
      </c>
      <c r="C5" s="463" t="s">
        <v>211</v>
      </c>
      <c r="D5" s="448">
        <f>SUM(D6:D11)</f>
        <v>2.0550916526975528E-4</v>
      </c>
      <c r="E5" s="448">
        <f>SUM(E6:E11)</f>
        <v>7.6060297675975617E-4</v>
      </c>
      <c r="F5" s="461" t="s">
        <v>211</v>
      </c>
      <c r="G5" s="448">
        <f>SUM(G6:G11)</f>
        <v>0.21694401451335213</v>
      </c>
      <c r="H5" s="448">
        <f>SUM(H6:H11)</f>
        <v>5.4314694521639589E-2</v>
      </c>
      <c r="I5" s="463" t="s">
        <v>211</v>
      </c>
      <c r="J5" s="463" t="s">
        <v>211</v>
      </c>
      <c r="K5" s="463" t="s">
        <v>211</v>
      </c>
      <c r="L5" s="463" t="s">
        <v>211</v>
      </c>
      <c r="M5" s="448">
        <f>SUM(M6:M11)</f>
        <v>8.4625448588295758E-3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2.1519033739230768E-5</v>
      </c>
      <c r="C6" s="449"/>
      <c r="D6" s="892">
        <f>vkm_2011_GW_PW*SUMIFS(TableVerdeelsleutelVkm[CNG],TableVerdeelsleutelVkm[Voertuigtype],"Lichte voertuigen")*SUMIFS(TableECFTransport[EnergieConsumptieFactor (PJ per km)],TableECFTransport[Index],CONCATENATE($A6,"_CNG_CNG"))</f>
        <v>4.2758696978747604E-5</v>
      </c>
      <c r="E6" s="892">
        <f>vkm_2011_GW_PW*SUMIFS(TableVerdeelsleutelVkm[LPG],TableVerdeelsleutelVkm[Voertuigtype],"Lichte voertuigen")*SUMIFS(TableECFTransport[EnergieConsumptieFactor (PJ per km)],TableECFTransport[Index],CONCATENATE($A6,"_LPG_LPG"))</f>
        <v>1.6827080045519509E-4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4.0009022640407073E-2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1.1576065639106717E-2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1.6074389851566348E-3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2.1179677926977558E-2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6.8419406287517173E-6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6.6733924496078438E-4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4.6258490320608107E-5</v>
      </c>
      <c r="C8" s="449"/>
      <c r="D8" s="451">
        <f>vkm_2011_NGW_PW*SUMIFS(TableVerdeelsleutelVkm[CNG],TableVerdeelsleutelVkm[Voertuigtype],"Lichte voertuigen")*SUMIFS(TableECFTransport[EnergieConsumptieFactor (PJ per km)],TableECFTransport[Index],CONCATENATE($A8,"_CNG_CNG"))</f>
        <v>1.6275046829100767E-4</v>
      </c>
      <c r="E8" s="451">
        <f>vkm_2011_NGW_PW*SUMIFS(TableVerdeelsleutelVkm[LPG],TableVerdeelsleutelVkm[Voertuigtype],"Lichte voertuigen")*SUMIFS(TableECFTransport[EnergieConsumptieFactor (PJ per km)],TableECFTransport[Index],CONCATENATE($A8,"_LPG_LPG"))</f>
        <v>5.9233217630456111E-4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0.13151439420331626</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4.2724381135381427E-2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5.4239850865720187E-3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2.4240919742651239E-2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7.4058065226922835E-6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7.637815421401385E-4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18.827090016621909</v>
      </c>
      <c r="C14" s="21"/>
      <c r="D14" s="21">
        <f t="shared" ref="D14:M14" si="0">((D5)*10^9/3600)+D12</f>
        <v>57.08587924159869</v>
      </c>
      <c r="E14" s="21">
        <f t="shared" si="0"/>
        <v>211.27860465548784</v>
      </c>
      <c r="F14" s="21"/>
      <c r="G14" s="21">
        <f t="shared" si="0"/>
        <v>60262.226253708926</v>
      </c>
      <c r="H14" s="21">
        <f t="shared" si="0"/>
        <v>15087.415144899887</v>
      </c>
      <c r="I14" s="21"/>
      <c r="J14" s="21"/>
      <c r="K14" s="21"/>
      <c r="L14" s="21"/>
      <c r="M14" s="21">
        <f t="shared" si="0"/>
        <v>2350.7069052304378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0.20800439445446298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3.9161174582471054</v>
      </c>
      <c r="C18" s="23"/>
      <c r="D18" s="23">
        <f t="shared" ref="D18:M18" si="1">D14*D16</f>
        <v>11.531347606802935</v>
      </c>
      <c r="E18" s="23">
        <f t="shared" si="1"/>
        <v>47.960243256795742</v>
      </c>
      <c r="F18" s="23"/>
      <c r="G18" s="23">
        <f t="shared" si="1"/>
        <v>16090.014409740284</v>
      </c>
      <c r="H18" s="23">
        <f t="shared" si="1"/>
        <v>3756.7663710800721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1.5943459776248752E-3</v>
      </c>
      <c r="H50" s="321">
        <f t="shared" si="2"/>
        <v>0</v>
      </c>
      <c r="I50" s="321">
        <f t="shared" si="2"/>
        <v>0</v>
      </c>
      <c r="J50" s="321">
        <f t="shared" si="2"/>
        <v>0</v>
      </c>
      <c r="K50" s="321">
        <f t="shared" si="2"/>
        <v>0</v>
      </c>
      <c r="L50" s="321">
        <f t="shared" si="2"/>
        <v>0</v>
      </c>
      <c r="M50" s="321">
        <f t="shared" si="2"/>
        <v>4.9453045383660204E-5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1.5943459776248752E-3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4.9453045383660204E-5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442.87388267357647</v>
      </c>
      <c r="H54" s="21">
        <f t="shared" si="3"/>
        <v>0</v>
      </c>
      <c r="I54" s="21">
        <f t="shared" si="3"/>
        <v>0</v>
      </c>
      <c r="J54" s="21">
        <f t="shared" si="3"/>
        <v>0</v>
      </c>
      <c r="K54" s="21">
        <f t="shared" si="3"/>
        <v>0</v>
      </c>
      <c r="L54" s="21">
        <f t="shared" si="3"/>
        <v>0</v>
      </c>
      <c r="M54" s="21">
        <f t="shared" si="3"/>
        <v>13.736957051016724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0.20800439445446298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118.24732667384492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27731.946497599998</v>
      </c>
      <c r="D10" s="1012">
        <f ca="1">tertiair!C16</f>
        <v>0</v>
      </c>
      <c r="E10" s="1012">
        <f ca="1">tertiair!D16</f>
        <v>14933.88497673842</v>
      </c>
      <c r="F10" s="1012">
        <f>tertiair!E16</f>
        <v>325.85568275863665</v>
      </c>
      <c r="G10" s="1012">
        <f ca="1">tertiair!F16</f>
        <v>6550.3566127968006</v>
      </c>
      <c r="H10" s="1012">
        <f>tertiair!G16</f>
        <v>0</v>
      </c>
      <c r="I10" s="1012">
        <f>tertiair!H16</f>
        <v>0</v>
      </c>
      <c r="J10" s="1012">
        <f>tertiair!I16</f>
        <v>0</v>
      </c>
      <c r="K10" s="1012">
        <f>tertiair!J16</f>
        <v>0</v>
      </c>
      <c r="L10" s="1012">
        <f>tertiair!K16</f>
        <v>0</v>
      </c>
      <c r="M10" s="1012">
        <f ca="1">tertiair!L16</f>
        <v>0</v>
      </c>
      <c r="N10" s="1012">
        <f>tertiair!M16</f>
        <v>0</v>
      </c>
      <c r="O10" s="1012">
        <f ca="1">tertiair!N16</f>
        <v>10161.977773531087</v>
      </c>
      <c r="P10" s="1012">
        <f>tertiair!O16</f>
        <v>3.1266666666666669</v>
      </c>
      <c r="Q10" s="1013">
        <f>tertiair!P16</f>
        <v>95.333333333333343</v>
      </c>
      <c r="R10" s="700">
        <f ca="1">SUM(C10:Q10)</f>
        <v>59802.481543424939</v>
      </c>
      <c r="S10" s="67"/>
    </row>
    <row r="11" spans="1:19" s="473" customFormat="1">
      <c r="A11" s="809" t="s">
        <v>225</v>
      </c>
      <c r="B11" s="814"/>
      <c r="C11" s="1012">
        <f>huishoudens!B8</f>
        <v>26348.653048042917</v>
      </c>
      <c r="D11" s="1012">
        <f>huishoudens!C8</f>
        <v>0</v>
      </c>
      <c r="E11" s="1012">
        <f>huishoudens!D8</f>
        <v>48811.817437174002</v>
      </c>
      <c r="F11" s="1012">
        <f>huishoudens!E8</f>
        <v>2952.4872660568421</v>
      </c>
      <c r="G11" s="1012">
        <f>huishoudens!F8</f>
        <v>25510.577536876477</v>
      </c>
      <c r="H11" s="1012">
        <f>huishoudens!G8</f>
        <v>0</v>
      </c>
      <c r="I11" s="1012">
        <f>huishoudens!H8</f>
        <v>0</v>
      </c>
      <c r="J11" s="1012">
        <f>huishoudens!I8</f>
        <v>0</v>
      </c>
      <c r="K11" s="1012">
        <f>huishoudens!J8</f>
        <v>0</v>
      </c>
      <c r="L11" s="1012">
        <f>huishoudens!K8</f>
        <v>0</v>
      </c>
      <c r="M11" s="1012">
        <f>huishoudens!L8</f>
        <v>0</v>
      </c>
      <c r="N11" s="1012">
        <f>huishoudens!M8</f>
        <v>0</v>
      </c>
      <c r="O11" s="1012">
        <f>huishoudens!N8</f>
        <v>7384.0336773107247</v>
      </c>
      <c r="P11" s="1012">
        <f>huishoudens!O8</f>
        <v>204.79666666666668</v>
      </c>
      <c r="Q11" s="1013">
        <f>huishoudens!P8</f>
        <v>781.73333333333335</v>
      </c>
      <c r="R11" s="700">
        <f>SUM(C11:Q11)</f>
        <v>111994.09896546096</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59576.453962480002</v>
      </c>
      <c r="D13" s="1012">
        <f>industrie!C18</f>
        <v>0</v>
      </c>
      <c r="E13" s="1012">
        <f>industrie!D18</f>
        <v>27066.4372299321</v>
      </c>
      <c r="F13" s="1012">
        <f>industrie!E18</f>
        <v>2970.0877265456757</v>
      </c>
      <c r="G13" s="1012">
        <f>industrie!F18</f>
        <v>12597.323076939969</v>
      </c>
      <c r="H13" s="1012">
        <f>industrie!G18</f>
        <v>0</v>
      </c>
      <c r="I13" s="1012">
        <f>industrie!H18</f>
        <v>0</v>
      </c>
      <c r="J13" s="1012">
        <f>industrie!I18</f>
        <v>0</v>
      </c>
      <c r="K13" s="1012">
        <f>industrie!J18</f>
        <v>400.45188431378301</v>
      </c>
      <c r="L13" s="1012">
        <f>industrie!K18</f>
        <v>0</v>
      </c>
      <c r="M13" s="1012">
        <f>industrie!L18</f>
        <v>0</v>
      </c>
      <c r="N13" s="1012">
        <f>industrie!M18</f>
        <v>0</v>
      </c>
      <c r="O13" s="1012">
        <f>industrie!N18</f>
        <v>11586.629221922911</v>
      </c>
      <c r="P13" s="1012">
        <f>industrie!O18</f>
        <v>0</v>
      </c>
      <c r="Q13" s="1013">
        <f>industrie!P18</f>
        <v>0</v>
      </c>
      <c r="R13" s="700">
        <f>SUM(C13:Q13)</f>
        <v>114197.38310213444</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113657.05350812292</v>
      </c>
      <c r="D16" s="732">
        <f t="shared" ref="D16:R16" ca="1" si="0">SUM(D9:D15)</f>
        <v>0</v>
      </c>
      <c r="E16" s="732">
        <f t="shared" ca="1" si="0"/>
        <v>90812.139643844523</v>
      </c>
      <c r="F16" s="732">
        <f t="shared" si="0"/>
        <v>6248.4306753611545</v>
      </c>
      <c r="G16" s="732">
        <f t="shared" ca="1" si="0"/>
        <v>44658.257226613248</v>
      </c>
      <c r="H16" s="732">
        <f t="shared" si="0"/>
        <v>0</v>
      </c>
      <c r="I16" s="732">
        <f t="shared" si="0"/>
        <v>0</v>
      </c>
      <c r="J16" s="732">
        <f t="shared" si="0"/>
        <v>0</v>
      </c>
      <c r="K16" s="732">
        <f t="shared" si="0"/>
        <v>400.45188431378301</v>
      </c>
      <c r="L16" s="732">
        <f t="shared" si="0"/>
        <v>0</v>
      </c>
      <c r="M16" s="732">
        <f t="shared" ca="1" si="0"/>
        <v>0</v>
      </c>
      <c r="N16" s="732">
        <f t="shared" si="0"/>
        <v>0</v>
      </c>
      <c r="O16" s="732">
        <f t="shared" ca="1" si="0"/>
        <v>29132.640672764723</v>
      </c>
      <c r="P16" s="732">
        <f t="shared" si="0"/>
        <v>207.92333333333335</v>
      </c>
      <c r="Q16" s="732">
        <f t="shared" si="0"/>
        <v>877.06666666666672</v>
      </c>
      <c r="R16" s="732">
        <f t="shared" ca="1" si="0"/>
        <v>285993.96361102036</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442.87388267357647</v>
      </c>
      <c r="I19" s="1012">
        <f>transport!H54</f>
        <v>0</v>
      </c>
      <c r="J19" s="1012">
        <f>transport!I54</f>
        <v>0</v>
      </c>
      <c r="K19" s="1012">
        <f>transport!J54</f>
        <v>0</v>
      </c>
      <c r="L19" s="1012">
        <f>transport!K54</f>
        <v>0</v>
      </c>
      <c r="M19" s="1012">
        <f>transport!L54</f>
        <v>0</v>
      </c>
      <c r="N19" s="1012">
        <f>transport!M54</f>
        <v>13.736957051016724</v>
      </c>
      <c r="O19" s="1012">
        <f>transport!N54</f>
        <v>0</v>
      </c>
      <c r="P19" s="1012">
        <f>transport!O54</f>
        <v>0</v>
      </c>
      <c r="Q19" s="1013">
        <f>transport!P54</f>
        <v>0</v>
      </c>
      <c r="R19" s="700">
        <f>SUM(C19:Q19)</f>
        <v>456.61083972459318</v>
      </c>
      <c r="S19" s="67"/>
    </row>
    <row r="20" spans="1:19" s="473" customFormat="1">
      <c r="A20" s="809" t="s">
        <v>307</v>
      </c>
      <c r="B20" s="814"/>
      <c r="C20" s="1012">
        <f>transport!B14</f>
        <v>18.827090016621909</v>
      </c>
      <c r="D20" s="1012">
        <f>transport!C14</f>
        <v>0</v>
      </c>
      <c r="E20" s="1012">
        <f>transport!D14</f>
        <v>57.08587924159869</v>
      </c>
      <c r="F20" s="1012">
        <f>transport!E14</f>
        <v>211.27860465548784</v>
      </c>
      <c r="G20" s="1012">
        <f>transport!F14</f>
        <v>0</v>
      </c>
      <c r="H20" s="1012">
        <f>transport!G14</f>
        <v>60262.226253708926</v>
      </c>
      <c r="I20" s="1012">
        <f>transport!H14</f>
        <v>15087.415144899887</v>
      </c>
      <c r="J20" s="1012">
        <f>transport!I14</f>
        <v>0</v>
      </c>
      <c r="K20" s="1012">
        <f>transport!J14</f>
        <v>0</v>
      </c>
      <c r="L20" s="1012">
        <f>transport!K14</f>
        <v>0</v>
      </c>
      <c r="M20" s="1012">
        <f>transport!L14</f>
        <v>0</v>
      </c>
      <c r="N20" s="1012">
        <f>transport!M14</f>
        <v>2350.7069052304378</v>
      </c>
      <c r="O20" s="1012">
        <f>transport!N14</f>
        <v>0</v>
      </c>
      <c r="P20" s="1012">
        <f>transport!O14</f>
        <v>0</v>
      </c>
      <c r="Q20" s="1013">
        <f>transport!P14</f>
        <v>0</v>
      </c>
      <c r="R20" s="700">
        <f>SUM(C20:Q20)</f>
        <v>77987.539877752963</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18.827090016621909</v>
      </c>
      <c r="D22" s="812">
        <f t="shared" ref="D22:R22" si="1">SUM(D18:D21)</f>
        <v>0</v>
      </c>
      <c r="E22" s="812">
        <f t="shared" si="1"/>
        <v>57.08587924159869</v>
      </c>
      <c r="F22" s="812">
        <f t="shared" si="1"/>
        <v>211.27860465548784</v>
      </c>
      <c r="G22" s="812">
        <f t="shared" si="1"/>
        <v>0</v>
      </c>
      <c r="H22" s="812">
        <f t="shared" si="1"/>
        <v>60705.100136382505</v>
      </c>
      <c r="I22" s="812">
        <f t="shared" si="1"/>
        <v>15087.415144899887</v>
      </c>
      <c r="J22" s="812">
        <f t="shared" si="1"/>
        <v>0</v>
      </c>
      <c r="K22" s="812">
        <f t="shared" si="1"/>
        <v>0</v>
      </c>
      <c r="L22" s="812">
        <f t="shared" si="1"/>
        <v>0</v>
      </c>
      <c r="M22" s="812">
        <f t="shared" si="1"/>
        <v>0</v>
      </c>
      <c r="N22" s="812">
        <f t="shared" si="1"/>
        <v>2364.4438622814546</v>
      </c>
      <c r="O22" s="812">
        <f t="shared" si="1"/>
        <v>0</v>
      </c>
      <c r="P22" s="812">
        <f t="shared" si="1"/>
        <v>0</v>
      </c>
      <c r="Q22" s="812">
        <f t="shared" si="1"/>
        <v>0</v>
      </c>
      <c r="R22" s="812">
        <f t="shared" si="1"/>
        <v>78444.150717477562</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607.97605505499996</v>
      </c>
      <c r="D24" s="1012">
        <f>+landbouw!C8</f>
        <v>0</v>
      </c>
      <c r="E24" s="1012">
        <f>+landbouw!D8</f>
        <v>279.09533099909999</v>
      </c>
      <c r="F24" s="1012">
        <f>+landbouw!E8</f>
        <v>15.677368101703291</v>
      </c>
      <c r="G24" s="1012">
        <f>+landbouw!F8</f>
        <v>2222.2682646412832</v>
      </c>
      <c r="H24" s="1012">
        <f>+landbouw!G8</f>
        <v>0</v>
      </c>
      <c r="I24" s="1012">
        <f>+landbouw!H8</f>
        <v>0</v>
      </c>
      <c r="J24" s="1012">
        <f>+landbouw!I8</f>
        <v>0</v>
      </c>
      <c r="K24" s="1012">
        <f>+landbouw!J8</f>
        <v>87.526186521273431</v>
      </c>
      <c r="L24" s="1012">
        <f>+landbouw!K8</f>
        <v>0</v>
      </c>
      <c r="M24" s="1012">
        <f>+landbouw!L8</f>
        <v>0</v>
      </c>
      <c r="N24" s="1012">
        <f>+landbouw!M8</f>
        <v>0</v>
      </c>
      <c r="O24" s="1012">
        <f>+landbouw!N8</f>
        <v>0</v>
      </c>
      <c r="P24" s="1012">
        <f>+landbouw!O8</f>
        <v>0</v>
      </c>
      <c r="Q24" s="1013">
        <f>+landbouw!P8</f>
        <v>0</v>
      </c>
      <c r="R24" s="700">
        <f>SUM(C24:Q24)</f>
        <v>3212.5432053183599</v>
      </c>
      <c r="S24" s="67"/>
    </row>
    <row r="25" spans="1:19" s="473" customFormat="1" ht="15" thickBot="1">
      <c r="A25" s="831" t="s">
        <v>848</v>
      </c>
      <c r="B25" s="1015"/>
      <c r="C25" s="1016">
        <f>IF(Onbekend_ele_kWh="---",0,Onbekend_ele_kWh)/1000+IF(REST_rest_ele_kWh="---",0,REST_rest_ele_kWh)/1000</f>
        <v>1884.5137703</v>
      </c>
      <c r="D25" s="1016"/>
      <c r="E25" s="1016">
        <f>IF(onbekend_gas_kWh="---",0,onbekend_gas_kWh)/1000+IF(REST_rest_gas_kWh="---",0,REST_rest_gas_kWh)/1000</f>
        <v>1621.9622145000001</v>
      </c>
      <c r="F25" s="1016"/>
      <c r="G25" s="1016"/>
      <c r="H25" s="1016"/>
      <c r="I25" s="1016"/>
      <c r="J25" s="1016"/>
      <c r="K25" s="1016"/>
      <c r="L25" s="1016"/>
      <c r="M25" s="1016"/>
      <c r="N25" s="1016"/>
      <c r="O25" s="1016"/>
      <c r="P25" s="1016"/>
      <c r="Q25" s="1017"/>
      <c r="R25" s="700">
        <f>SUM(C25:Q25)</f>
        <v>3506.4759848000003</v>
      </c>
      <c r="S25" s="67"/>
    </row>
    <row r="26" spans="1:19" s="473" customFormat="1" ht="15.75" thickBot="1">
      <c r="A26" s="705" t="s">
        <v>849</v>
      </c>
      <c r="B26" s="817"/>
      <c r="C26" s="812">
        <f>SUM(C24:C25)</f>
        <v>2492.489825355</v>
      </c>
      <c r="D26" s="812">
        <f t="shared" ref="D26:R26" si="2">SUM(D24:D25)</f>
        <v>0</v>
      </c>
      <c r="E26" s="812">
        <f t="shared" si="2"/>
        <v>1901.0575454991001</v>
      </c>
      <c r="F26" s="812">
        <f t="shared" si="2"/>
        <v>15.677368101703291</v>
      </c>
      <c r="G26" s="812">
        <f t="shared" si="2"/>
        <v>2222.2682646412832</v>
      </c>
      <c r="H26" s="812">
        <f t="shared" si="2"/>
        <v>0</v>
      </c>
      <c r="I26" s="812">
        <f t="shared" si="2"/>
        <v>0</v>
      </c>
      <c r="J26" s="812">
        <f t="shared" si="2"/>
        <v>0</v>
      </c>
      <c r="K26" s="812">
        <f t="shared" si="2"/>
        <v>87.526186521273431</v>
      </c>
      <c r="L26" s="812">
        <f t="shared" si="2"/>
        <v>0</v>
      </c>
      <c r="M26" s="812">
        <f t="shared" si="2"/>
        <v>0</v>
      </c>
      <c r="N26" s="812">
        <f t="shared" si="2"/>
        <v>0</v>
      </c>
      <c r="O26" s="812">
        <f t="shared" si="2"/>
        <v>0</v>
      </c>
      <c r="P26" s="812">
        <f t="shared" si="2"/>
        <v>0</v>
      </c>
      <c r="Q26" s="812">
        <f t="shared" si="2"/>
        <v>0</v>
      </c>
      <c r="R26" s="812">
        <f t="shared" si="2"/>
        <v>6719.0191901183607</v>
      </c>
      <c r="S26" s="67"/>
    </row>
    <row r="27" spans="1:19" s="473" customFormat="1" ht="17.25" thickTop="1" thickBot="1">
      <c r="A27" s="706" t="s">
        <v>116</v>
      </c>
      <c r="B27" s="805"/>
      <c r="C27" s="707">
        <f ca="1">C22+C16+C26</f>
        <v>116168.37042349455</v>
      </c>
      <c r="D27" s="707">
        <f t="shared" ref="D27:R27" ca="1" si="3">D22+D16+D26</f>
        <v>0</v>
      </c>
      <c r="E27" s="707">
        <f t="shared" ca="1" si="3"/>
        <v>92770.283068585224</v>
      </c>
      <c r="F27" s="707">
        <f t="shared" si="3"/>
        <v>6475.386648118345</v>
      </c>
      <c r="G27" s="707">
        <f t="shared" ca="1" si="3"/>
        <v>46880.525491254535</v>
      </c>
      <c r="H27" s="707">
        <f t="shared" si="3"/>
        <v>60705.100136382505</v>
      </c>
      <c r="I27" s="707">
        <f t="shared" si="3"/>
        <v>15087.415144899887</v>
      </c>
      <c r="J27" s="707">
        <f t="shared" si="3"/>
        <v>0</v>
      </c>
      <c r="K27" s="707">
        <f t="shared" si="3"/>
        <v>487.97807083505643</v>
      </c>
      <c r="L27" s="707">
        <f t="shared" si="3"/>
        <v>0</v>
      </c>
      <c r="M27" s="707">
        <f t="shared" ca="1" si="3"/>
        <v>0</v>
      </c>
      <c r="N27" s="707">
        <f t="shared" si="3"/>
        <v>2364.4438622814546</v>
      </c>
      <c r="O27" s="707">
        <f t="shared" ca="1" si="3"/>
        <v>29132.640672764723</v>
      </c>
      <c r="P27" s="707">
        <f t="shared" si="3"/>
        <v>207.92333333333335</v>
      </c>
      <c r="Q27" s="707">
        <f t="shared" si="3"/>
        <v>877.06666666666672</v>
      </c>
      <c r="R27" s="707">
        <f t="shared" ca="1" si="3"/>
        <v>371157.13351861626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5768.3667382768535</v>
      </c>
      <c r="D40" s="1012">
        <f ca="1">tertiair!C20</f>
        <v>0</v>
      </c>
      <c r="E40" s="1012">
        <f ca="1">tertiair!D20</f>
        <v>3016.644765301161</v>
      </c>
      <c r="F40" s="1012">
        <f>tertiair!E20</f>
        <v>73.969239986210525</v>
      </c>
      <c r="G40" s="1012">
        <f ca="1">tertiair!F20</f>
        <v>1748.9452156167458</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10607.925959180971</v>
      </c>
    </row>
    <row r="41" spans="1:18">
      <c r="A41" s="822" t="s">
        <v>225</v>
      </c>
      <c r="B41" s="829"/>
      <c r="C41" s="1012">
        <f ca="1">huishoudens!B12</f>
        <v>5480.6356219489071</v>
      </c>
      <c r="D41" s="1012">
        <f ca="1">huishoudens!C12</f>
        <v>0</v>
      </c>
      <c r="E41" s="1012">
        <f>huishoudens!D12</f>
        <v>9859.9871223091486</v>
      </c>
      <c r="F41" s="1012">
        <f>huishoudens!E12</f>
        <v>670.21460939490316</v>
      </c>
      <c r="G41" s="1012">
        <f>huishoudens!F12</f>
        <v>6811.3242023460198</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22822.16155599898</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12392.164230209844</v>
      </c>
      <c r="D43" s="1012">
        <f ca="1">industrie!C22</f>
        <v>0</v>
      </c>
      <c r="E43" s="1012">
        <f>industrie!D22</f>
        <v>5467.4203204462847</v>
      </c>
      <c r="F43" s="1012">
        <f>industrie!E22</f>
        <v>674.20991392586836</v>
      </c>
      <c r="G43" s="1012">
        <f>industrie!F22</f>
        <v>3363.4852615429718</v>
      </c>
      <c r="H43" s="1012">
        <f>industrie!G22</f>
        <v>0</v>
      </c>
      <c r="I43" s="1012">
        <f>industrie!H22</f>
        <v>0</v>
      </c>
      <c r="J43" s="1012">
        <f>industrie!I22</f>
        <v>0</v>
      </c>
      <c r="K43" s="1012">
        <f>industrie!J22</f>
        <v>141.75996704707919</v>
      </c>
      <c r="L43" s="1012">
        <f>industrie!K22</f>
        <v>0</v>
      </c>
      <c r="M43" s="1012">
        <f>industrie!L22</f>
        <v>0</v>
      </c>
      <c r="N43" s="1012">
        <f>industrie!M22</f>
        <v>0</v>
      </c>
      <c r="O43" s="1012">
        <f>industrie!N22</f>
        <v>0</v>
      </c>
      <c r="P43" s="1012">
        <f>industrie!O22</f>
        <v>0</v>
      </c>
      <c r="Q43" s="774">
        <f>industrie!P22</f>
        <v>0</v>
      </c>
      <c r="R43" s="849">
        <f t="shared" ca="1" si="4"/>
        <v>22039.039693172053</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23641.166590435605</v>
      </c>
      <c r="D46" s="732">
        <f t="shared" ref="D46:Q46" ca="1" si="5">SUM(D39:D45)</f>
        <v>0</v>
      </c>
      <c r="E46" s="732">
        <f t="shared" ca="1" si="5"/>
        <v>18344.052208056593</v>
      </c>
      <c r="F46" s="732">
        <f t="shared" si="5"/>
        <v>1418.393763306982</v>
      </c>
      <c r="G46" s="732">
        <f t="shared" ca="1" si="5"/>
        <v>11923.754679505737</v>
      </c>
      <c r="H46" s="732">
        <f t="shared" si="5"/>
        <v>0</v>
      </c>
      <c r="I46" s="732">
        <f t="shared" si="5"/>
        <v>0</v>
      </c>
      <c r="J46" s="732">
        <f t="shared" si="5"/>
        <v>0</v>
      </c>
      <c r="K46" s="732">
        <f t="shared" si="5"/>
        <v>141.75996704707919</v>
      </c>
      <c r="L46" s="732">
        <f t="shared" si="5"/>
        <v>0</v>
      </c>
      <c r="M46" s="732">
        <f t="shared" ca="1" si="5"/>
        <v>0</v>
      </c>
      <c r="N46" s="732">
        <f t="shared" si="5"/>
        <v>0</v>
      </c>
      <c r="O46" s="732">
        <f t="shared" ca="1" si="5"/>
        <v>0</v>
      </c>
      <c r="P46" s="732">
        <f t="shared" si="5"/>
        <v>0</v>
      </c>
      <c r="Q46" s="732">
        <f t="shared" si="5"/>
        <v>0</v>
      </c>
      <c r="R46" s="732">
        <f ca="1">SUM(R39:R45)</f>
        <v>55469.127208352009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118.24732667384492</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118.24732667384492</v>
      </c>
    </row>
    <row r="50" spans="1:18">
      <c r="A50" s="825" t="s">
        <v>307</v>
      </c>
      <c r="B50" s="835"/>
      <c r="C50" s="703">
        <f ca="1">transport!B18</f>
        <v>3.9161174582471054</v>
      </c>
      <c r="D50" s="703">
        <f>transport!C18</f>
        <v>0</v>
      </c>
      <c r="E50" s="703">
        <f>transport!D18</f>
        <v>11.531347606802935</v>
      </c>
      <c r="F50" s="703">
        <f>transport!E18</f>
        <v>47.960243256795742</v>
      </c>
      <c r="G50" s="703">
        <f>transport!F18</f>
        <v>0</v>
      </c>
      <c r="H50" s="703">
        <f>transport!G18</f>
        <v>16090.014409740284</v>
      </c>
      <c r="I50" s="703">
        <f>transport!H18</f>
        <v>3756.7663710800721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19910.188489142201</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3.9161174582471054</v>
      </c>
      <c r="D52" s="732">
        <f t="shared" ref="D52:Q52" ca="1" si="6">SUM(D48:D51)</f>
        <v>0</v>
      </c>
      <c r="E52" s="732">
        <f t="shared" si="6"/>
        <v>11.531347606802935</v>
      </c>
      <c r="F52" s="732">
        <f t="shared" si="6"/>
        <v>47.960243256795742</v>
      </c>
      <c r="G52" s="732">
        <f t="shared" si="6"/>
        <v>0</v>
      </c>
      <c r="H52" s="732">
        <f t="shared" si="6"/>
        <v>16208.26173641413</v>
      </c>
      <c r="I52" s="732">
        <f t="shared" si="6"/>
        <v>3756.7663710800721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20028.435815816047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126.46169117452851</v>
      </c>
      <c r="D54" s="703">
        <f ca="1">+landbouw!C12</f>
        <v>0</v>
      </c>
      <c r="E54" s="703">
        <f>+landbouw!D12</f>
        <v>56.377256861818204</v>
      </c>
      <c r="F54" s="703">
        <f>+landbouw!E12</f>
        <v>3.558762559086647</v>
      </c>
      <c r="G54" s="703">
        <f>+landbouw!F12</f>
        <v>593.3456266592226</v>
      </c>
      <c r="H54" s="703">
        <f>+landbouw!G12</f>
        <v>0</v>
      </c>
      <c r="I54" s="703">
        <f>+landbouw!H12</f>
        <v>0</v>
      </c>
      <c r="J54" s="703">
        <f>+landbouw!I12</f>
        <v>0</v>
      </c>
      <c r="K54" s="703">
        <f>+landbouw!J12</f>
        <v>30.984270028530794</v>
      </c>
      <c r="L54" s="703">
        <f>+landbouw!K12</f>
        <v>0</v>
      </c>
      <c r="M54" s="703">
        <f>+landbouw!L12</f>
        <v>0</v>
      </c>
      <c r="N54" s="703">
        <f>+landbouw!M12</f>
        <v>0</v>
      </c>
      <c r="O54" s="703">
        <f>+landbouw!N12</f>
        <v>0</v>
      </c>
      <c r="P54" s="703">
        <f>+landbouw!O12</f>
        <v>0</v>
      </c>
      <c r="Q54" s="704">
        <f>+landbouw!P12</f>
        <v>0</v>
      </c>
      <c r="R54" s="731">
        <f ca="1">SUM(C54:Q54)</f>
        <v>810.72760728318679</v>
      </c>
    </row>
    <row r="55" spans="1:18" ht="15" thickBot="1">
      <c r="A55" s="825" t="s">
        <v>848</v>
      </c>
      <c r="B55" s="835"/>
      <c r="C55" s="703">
        <f ca="1">C25*'EF ele_warmte'!B12</f>
        <v>391.98714563234842</v>
      </c>
      <c r="D55" s="703"/>
      <c r="E55" s="703">
        <f>E25*EF_CO2_aardgas</f>
        <v>327.63636732900005</v>
      </c>
      <c r="F55" s="703"/>
      <c r="G55" s="703"/>
      <c r="H55" s="703"/>
      <c r="I55" s="703"/>
      <c r="J55" s="703"/>
      <c r="K55" s="703"/>
      <c r="L55" s="703"/>
      <c r="M55" s="703"/>
      <c r="N55" s="703"/>
      <c r="O55" s="703"/>
      <c r="P55" s="703"/>
      <c r="Q55" s="704"/>
      <c r="R55" s="731">
        <f ca="1">SUM(C55:Q55)</f>
        <v>719.62351296134852</v>
      </c>
    </row>
    <row r="56" spans="1:18" ht="15.75" thickBot="1">
      <c r="A56" s="823" t="s">
        <v>849</v>
      </c>
      <c r="B56" s="836"/>
      <c r="C56" s="732">
        <f ca="1">SUM(C54:C55)</f>
        <v>518.4488368068769</v>
      </c>
      <c r="D56" s="732">
        <f t="shared" ref="D56:Q56" ca="1" si="7">SUM(D54:D55)</f>
        <v>0</v>
      </c>
      <c r="E56" s="732">
        <f t="shared" si="7"/>
        <v>384.01362419081823</v>
      </c>
      <c r="F56" s="732">
        <f t="shared" si="7"/>
        <v>3.558762559086647</v>
      </c>
      <c r="G56" s="732">
        <f t="shared" si="7"/>
        <v>593.3456266592226</v>
      </c>
      <c r="H56" s="732">
        <f t="shared" si="7"/>
        <v>0</v>
      </c>
      <c r="I56" s="732">
        <f t="shared" si="7"/>
        <v>0</v>
      </c>
      <c r="J56" s="732">
        <f t="shared" si="7"/>
        <v>0</v>
      </c>
      <c r="K56" s="732">
        <f t="shared" si="7"/>
        <v>30.984270028530794</v>
      </c>
      <c r="L56" s="732">
        <f t="shared" si="7"/>
        <v>0</v>
      </c>
      <c r="M56" s="732">
        <f t="shared" si="7"/>
        <v>0</v>
      </c>
      <c r="N56" s="732">
        <f t="shared" si="7"/>
        <v>0</v>
      </c>
      <c r="O56" s="732">
        <f t="shared" si="7"/>
        <v>0</v>
      </c>
      <c r="P56" s="732">
        <f t="shared" si="7"/>
        <v>0</v>
      </c>
      <c r="Q56" s="733">
        <f t="shared" si="7"/>
        <v>0</v>
      </c>
      <c r="R56" s="734">
        <f ca="1">SUM(R54:R55)</f>
        <v>1530.3511202445352</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24163.531544700731</v>
      </c>
      <c r="D61" s="740">
        <f t="shared" ref="D61:Q61" ca="1" si="8">D46+D52+D56</f>
        <v>0</v>
      </c>
      <c r="E61" s="740">
        <f t="shared" ca="1" si="8"/>
        <v>18739.597179854216</v>
      </c>
      <c r="F61" s="740">
        <f t="shared" si="8"/>
        <v>1469.9127691228646</v>
      </c>
      <c r="G61" s="740">
        <f t="shared" ca="1" si="8"/>
        <v>12517.100306164959</v>
      </c>
      <c r="H61" s="740">
        <f t="shared" si="8"/>
        <v>16208.26173641413</v>
      </c>
      <c r="I61" s="740">
        <f t="shared" si="8"/>
        <v>3756.7663710800721</v>
      </c>
      <c r="J61" s="740">
        <f t="shared" si="8"/>
        <v>0</v>
      </c>
      <c r="K61" s="740">
        <f t="shared" si="8"/>
        <v>172.74423707560999</v>
      </c>
      <c r="L61" s="740">
        <f t="shared" si="8"/>
        <v>0</v>
      </c>
      <c r="M61" s="740">
        <f t="shared" ca="1" si="8"/>
        <v>0</v>
      </c>
      <c r="N61" s="740">
        <f t="shared" si="8"/>
        <v>0</v>
      </c>
      <c r="O61" s="740">
        <f t="shared" ca="1" si="8"/>
        <v>0</v>
      </c>
      <c r="P61" s="740">
        <f t="shared" si="8"/>
        <v>0</v>
      </c>
      <c r="Q61" s="740">
        <f t="shared" si="8"/>
        <v>0</v>
      </c>
      <c r="R61" s="740">
        <f ca="1">R46+R52+R56</f>
        <v>77027.914144412585</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0.20800439445446298</v>
      </c>
      <c r="D63" s="781">
        <f t="shared" ca="1" si="9"/>
        <v>0</v>
      </c>
      <c r="E63" s="1023">
        <f t="shared" ca="1" si="9"/>
        <v>0.20200000000000001</v>
      </c>
      <c r="F63" s="781">
        <f t="shared" si="9"/>
        <v>0.22700000000000004</v>
      </c>
      <c r="G63" s="781">
        <f t="shared" ca="1" si="9"/>
        <v>0.26699999999999996</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6831.1236148939533</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6831.1236148939533</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6831.1236148939533</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6831.1236148939533</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26348.653048042917</v>
      </c>
      <c r="C4" s="477">
        <f>huishoudens!C8</f>
        <v>0</v>
      </c>
      <c r="D4" s="477">
        <f>huishoudens!D8</f>
        <v>48811.817437174002</v>
      </c>
      <c r="E4" s="477">
        <f>huishoudens!E8</f>
        <v>2952.4872660568421</v>
      </c>
      <c r="F4" s="477">
        <f>huishoudens!F8</f>
        <v>25510.577536876477</v>
      </c>
      <c r="G4" s="477">
        <f>huishoudens!G8</f>
        <v>0</v>
      </c>
      <c r="H4" s="477">
        <f>huishoudens!H8</f>
        <v>0</v>
      </c>
      <c r="I4" s="477">
        <f>huishoudens!I8</f>
        <v>0</v>
      </c>
      <c r="J4" s="477">
        <f>huishoudens!J8</f>
        <v>0</v>
      </c>
      <c r="K4" s="477">
        <f>huishoudens!K8</f>
        <v>0</v>
      </c>
      <c r="L4" s="477">
        <f>huishoudens!L8</f>
        <v>0</v>
      </c>
      <c r="M4" s="477">
        <f>huishoudens!M8</f>
        <v>0</v>
      </c>
      <c r="N4" s="477">
        <f>huishoudens!N8</f>
        <v>7384.0336773107247</v>
      </c>
      <c r="O4" s="477">
        <f>huishoudens!O8</f>
        <v>204.79666666666668</v>
      </c>
      <c r="P4" s="478">
        <f>huishoudens!P8</f>
        <v>781.73333333333335</v>
      </c>
      <c r="Q4" s="479">
        <f>SUM(B4:P4)</f>
        <v>111994.09896546096</v>
      </c>
    </row>
    <row r="5" spans="1:17">
      <c r="A5" s="476" t="s">
        <v>156</v>
      </c>
      <c r="B5" s="477">
        <f ca="1">tertiair!B16</f>
        <v>26839.390497599998</v>
      </c>
      <c r="C5" s="477">
        <f ca="1">tertiair!C16</f>
        <v>0</v>
      </c>
      <c r="D5" s="477">
        <f ca="1">tertiair!D16</f>
        <v>14933.88497673842</v>
      </c>
      <c r="E5" s="477">
        <f>tertiair!E16</f>
        <v>325.85568275863665</v>
      </c>
      <c r="F5" s="477">
        <f ca="1">tertiair!F16</f>
        <v>6550.3566127968006</v>
      </c>
      <c r="G5" s="477">
        <f>tertiair!G16</f>
        <v>0</v>
      </c>
      <c r="H5" s="477">
        <f>tertiair!H16</f>
        <v>0</v>
      </c>
      <c r="I5" s="477">
        <f>tertiair!I16</f>
        <v>0</v>
      </c>
      <c r="J5" s="477">
        <f>tertiair!J16</f>
        <v>0</v>
      </c>
      <c r="K5" s="477">
        <f>tertiair!K16</f>
        <v>0</v>
      </c>
      <c r="L5" s="477">
        <f ca="1">tertiair!L16</f>
        <v>0</v>
      </c>
      <c r="M5" s="477">
        <f>tertiair!M16</f>
        <v>0</v>
      </c>
      <c r="N5" s="477">
        <f ca="1">tertiair!N16</f>
        <v>10161.977773531087</v>
      </c>
      <c r="O5" s="477">
        <f>tertiair!O16</f>
        <v>3.1266666666666669</v>
      </c>
      <c r="P5" s="478">
        <f>tertiair!P16</f>
        <v>95.333333333333343</v>
      </c>
      <c r="Q5" s="476">
        <f t="shared" ref="Q5:Q14" ca="1" si="0">SUM(B5:P5)</f>
        <v>58909.925543424935</v>
      </c>
    </row>
    <row r="6" spans="1:17">
      <c r="A6" s="476" t="s">
        <v>194</v>
      </c>
      <c r="B6" s="477">
        <f>'openbare verlichting'!B8</f>
        <v>892.55600000000004</v>
      </c>
      <c r="C6" s="477"/>
      <c r="D6" s="477"/>
      <c r="E6" s="477"/>
      <c r="F6" s="477"/>
      <c r="G6" s="477"/>
      <c r="H6" s="477"/>
      <c r="I6" s="477"/>
      <c r="J6" s="477"/>
      <c r="K6" s="477"/>
      <c r="L6" s="477"/>
      <c r="M6" s="477"/>
      <c r="N6" s="477"/>
      <c r="O6" s="477"/>
      <c r="P6" s="478"/>
      <c r="Q6" s="476">
        <f t="shared" si="0"/>
        <v>892.55600000000004</v>
      </c>
    </row>
    <row r="7" spans="1:17">
      <c r="A7" s="476" t="s">
        <v>112</v>
      </c>
      <c r="B7" s="477">
        <f>landbouw!B8</f>
        <v>607.97605505499996</v>
      </c>
      <c r="C7" s="477">
        <f>landbouw!C8</f>
        <v>0</v>
      </c>
      <c r="D7" s="477">
        <f>landbouw!D8</f>
        <v>279.09533099909999</v>
      </c>
      <c r="E7" s="477">
        <f>landbouw!E8</f>
        <v>15.677368101703291</v>
      </c>
      <c r="F7" s="477">
        <f>landbouw!F8</f>
        <v>2222.2682646412832</v>
      </c>
      <c r="G7" s="477">
        <f>landbouw!G8</f>
        <v>0</v>
      </c>
      <c r="H7" s="477">
        <f>landbouw!H8</f>
        <v>0</v>
      </c>
      <c r="I7" s="477">
        <f>landbouw!I8</f>
        <v>0</v>
      </c>
      <c r="J7" s="477">
        <f>landbouw!J8</f>
        <v>87.526186521273431</v>
      </c>
      <c r="K7" s="477">
        <f>landbouw!K8</f>
        <v>0</v>
      </c>
      <c r="L7" s="477">
        <f>landbouw!L8</f>
        <v>0</v>
      </c>
      <c r="M7" s="477">
        <f>landbouw!M8</f>
        <v>0</v>
      </c>
      <c r="N7" s="477">
        <f>landbouw!N8</f>
        <v>0</v>
      </c>
      <c r="O7" s="477">
        <f>landbouw!O8</f>
        <v>0</v>
      </c>
      <c r="P7" s="478">
        <f>landbouw!P8</f>
        <v>0</v>
      </c>
      <c r="Q7" s="476">
        <f t="shared" si="0"/>
        <v>3212.5432053183599</v>
      </c>
    </row>
    <row r="8" spans="1:17">
      <c r="A8" s="476" t="s">
        <v>638</v>
      </c>
      <c r="B8" s="477">
        <f>industrie!B18</f>
        <v>59576.453962480002</v>
      </c>
      <c r="C8" s="477">
        <f>industrie!C18</f>
        <v>0</v>
      </c>
      <c r="D8" s="477">
        <f>industrie!D18</f>
        <v>27066.4372299321</v>
      </c>
      <c r="E8" s="477">
        <f>industrie!E18</f>
        <v>2970.0877265456757</v>
      </c>
      <c r="F8" s="477">
        <f>industrie!F18</f>
        <v>12597.323076939969</v>
      </c>
      <c r="G8" s="477">
        <f>industrie!G18</f>
        <v>0</v>
      </c>
      <c r="H8" s="477">
        <f>industrie!H18</f>
        <v>0</v>
      </c>
      <c r="I8" s="477">
        <f>industrie!I18</f>
        <v>0</v>
      </c>
      <c r="J8" s="477">
        <f>industrie!J18</f>
        <v>400.45188431378301</v>
      </c>
      <c r="K8" s="477">
        <f>industrie!K18</f>
        <v>0</v>
      </c>
      <c r="L8" s="477">
        <f>industrie!L18</f>
        <v>0</v>
      </c>
      <c r="M8" s="477">
        <f>industrie!M18</f>
        <v>0</v>
      </c>
      <c r="N8" s="477">
        <f>industrie!N18</f>
        <v>11586.629221922911</v>
      </c>
      <c r="O8" s="477">
        <f>industrie!O18</f>
        <v>0</v>
      </c>
      <c r="P8" s="478">
        <f>industrie!P18</f>
        <v>0</v>
      </c>
      <c r="Q8" s="476">
        <f t="shared" si="0"/>
        <v>114197.38310213444</v>
      </c>
    </row>
    <row r="9" spans="1:17" s="482" customFormat="1">
      <c r="A9" s="480" t="s">
        <v>564</v>
      </c>
      <c r="B9" s="481">
        <f>transport!B14</f>
        <v>18.827090016621909</v>
      </c>
      <c r="C9" s="481">
        <f>transport!C14</f>
        <v>0</v>
      </c>
      <c r="D9" s="481">
        <f>transport!D14</f>
        <v>57.08587924159869</v>
      </c>
      <c r="E9" s="481">
        <f>transport!E14</f>
        <v>211.27860465548784</v>
      </c>
      <c r="F9" s="481">
        <f>transport!F14</f>
        <v>0</v>
      </c>
      <c r="G9" s="481">
        <f>transport!G14</f>
        <v>60262.226253708926</v>
      </c>
      <c r="H9" s="481">
        <f>transport!H14</f>
        <v>15087.415144899887</v>
      </c>
      <c r="I9" s="481">
        <f>transport!I14</f>
        <v>0</v>
      </c>
      <c r="J9" s="481">
        <f>transport!J14</f>
        <v>0</v>
      </c>
      <c r="K9" s="481">
        <f>transport!K14</f>
        <v>0</v>
      </c>
      <c r="L9" s="481">
        <f>transport!L14</f>
        <v>0</v>
      </c>
      <c r="M9" s="481">
        <f>transport!M14</f>
        <v>2350.7069052304378</v>
      </c>
      <c r="N9" s="481">
        <f>transport!N14</f>
        <v>0</v>
      </c>
      <c r="O9" s="481">
        <f>transport!O14</f>
        <v>0</v>
      </c>
      <c r="P9" s="481">
        <f>transport!P14</f>
        <v>0</v>
      </c>
      <c r="Q9" s="480">
        <f>SUM(B9:P9)</f>
        <v>77987.539877752963</v>
      </c>
    </row>
    <row r="10" spans="1:17">
      <c r="A10" s="476" t="s">
        <v>554</v>
      </c>
      <c r="B10" s="477">
        <f>transport!B54</f>
        <v>0</v>
      </c>
      <c r="C10" s="477">
        <f>transport!C54</f>
        <v>0</v>
      </c>
      <c r="D10" s="477">
        <f>transport!D54</f>
        <v>0</v>
      </c>
      <c r="E10" s="477">
        <f>transport!E54</f>
        <v>0</v>
      </c>
      <c r="F10" s="477">
        <f>transport!F54</f>
        <v>0</v>
      </c>
      <c r="G10" s="477">
        <f>transport!G54</f>
        <v>442.87388267357647</v>
      </c>
      <c r="H10" s="477">
        <f>transport!H54</f>
        <v>0</v>
      </c>
      <c r="I10" s="477">
        <f>transport!I54</f>
        <v>0</v>
      </c>
      <c r="J10" s="477">
        <f>transport!J54</f>
        <v>0</v>
      </c>
      <c r="K10" s="477">
        <f>transport!K54</f>
        <v>0</v>
      </c>
      <c r="L10" s="477">
        <f>transport!L54</f>
        <v>0</v>
      </c>
      <c r="M10" s="477">
        <f>transport!M54</f>
        <v>13.736957051016724</v>
      </c>
      <c r="N10" s="477">
        <f>transport!N54</f>
        <v>0</v>
      </c>
      <c r="O10" s="477">
        <f>transport!O54</f>
        <v>0</v>
      </c>
      <c r="P10" s="478">
        <f>transport!P54</f>
        <v>0</v>
      </c>
      <c r="Q10" s="476">
        <f t="shared" si="0"/>
        <v>456.61083972459318</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1884.5137703</v>
      </c>
      <c r="C14" s="484"/>
      <c r="D14" s="484">
        <f>'SEAP template'!E25</f>
        <v>1621.9622145000001</v>
      </c>
      <c r="E14" s="484"/>
      <c r="F14" s="484"/>
      <c r="G14" s="484"/>
      <c r="H14" s="484"/>
      <c r="I14" s="484"/>
      <c r="J14" s="484"/>
      <c r="K14" s="484"/>
      <c r="L14" s="484"/>
      <c r="M14" s="484"/>
      <c r="N14" s="484"/>
      <c r="O14" s="484"/>
      <c r="P14" s="485"/>
      <c r="Q14" s="476">
        <f t="shared" si="0"/>
        <v>3506.4759848000003</v>
      </c>
    </row>
    <row r="15" spans="1:17" s="486" customFormat="1">
      <c r="A15" s="1038" t="s">
        <v>558</v>
      </c>
      <c r="B15" s="978">
        <f ca="1">SUM(B4:B14)</f>
        <v>116168.37042349452</v>
      </c>
      <c r="C15" s="978">
        <f t="shared" ref="C15:Q15" ca="1" si="1">SUM(C4:C14)</f>
        <v>0</v>
      </c>
      <c r="D15" s="978">
        <f t="shared" ca="1" si="1"/>
        <v>92770.283068585224</v>
      </c>
      <c r="E15" s="978">
        <f t="shared" si="1"/>
        <v>6475.3866481183459</v>
      </c>
      <c r="F15" s="978">
        <f t="shared" ca="1" si="1"/>
        <v>46880.525491254528</v>
      </c>
      <c r="G15" s="978">
        <f t="shared" si="1"/>
        <v>60705.100136382505</v>
      </c>
      <c r="H15" s="978">
        <f t="shared" si="1"/>
        <v>15087.415144899887</v>
      </c>
      <c r="I15" s="978">
        <f t="shared" si="1"/>
        <v>0</v>
      </c>
      <c r="J15" s="978">
        <f t="shared" si="1"/>
        <v>487.97807083505643</v>
      </c>
      <c r="K15" s="978">
        <f t="shared" si="1"/>
        <v>0</v>
      </c>
      <c r="L15" s="978">
        <f t="shared" ca="1" si="1"/>
        <v>0</v>
      </c>
      <c r="M15" s="978">
        <f t="shared" si="1"/>
        <v>2364.4438622814546</v>
      </c>
      <c r="N15" s="978">
        <f t="shared" ca="1" si="1"/>
        <v>29132.640672764723</v>
      </c>
      <c r="O15" s="978">
        <f t="shared" si="1"/>
        <v>207.92333333333335</v>
      </c>
      <c r="P15" s="978">
        <f t="shared" si="1"/>
        <v>877.06666666666672</v>
      </c>
      <c r="Q15" s="978">
        <f t="shared" ca="1" si="1"/>
        <v>371157.13351861626</v>
      </c>
    </row>
    <row r="17" spans="1:17">
      <c r="A17" s="487" t="s">
        <v>559</v>
      </c>
      <c r="B17" s="786">
        <f ca="1">huishoudens!B10</f>
        <v>0.20800439445446298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5480.6356219489071</v>
      </c>
      <c r="C22" s="477">
        <f t="shared" ref="C22:C32" ca="1" si="3">C4*$C$17</f>
        <v>0</v>
      </c>
      <c r="D22" s="477">
        <f t="shared" ref="D22:D32" si="4">D4*$D$17</f>
        <v>9859.9871223091486</v>
      </c>
      <c r="E22" s="477">
        <f t="shared" ref="E22:E32" si="5">E4*$E$17</f>
        <v>670.21460939490316</v>
      </c>
      <c r="F22" s="477">
        <f t="shared" ref="F22:F32" si="6">F4*$F$17</f>
        <v>6811.3242023460198</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22822.16155599898</v>
      </c>
    </row>
    <row r="23" spans="1:17">
      <c r="A23" s="476" t="s">
        <v>156</v>
      </c>
      <c r="B23" s="477">
        <f t="shared" ca="1" si="2"/>
        <v>5582.7111679801556</v>
      </c>
      <c r="C23" s="477">
        <f t="shared" ca="1" si="3"/>
        <v>0</v>
      </c>
      <c r="D23" s="477">
        <f t="shared" ca="1" si="4"/>
        <v>3016.644765301161</v>
      </c>
      <c r="E23" s="477">
        <f t="shared" si="5"/>
        <v>73.969239986210525</v>
      </c>
      <c r="F23" s="477">
        <f t="shared" ca="1" si="6"/>
        <v>1748.9452156167458</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10422.270388884273</v>
      </c>
    </row>
    <row r="24" spans="1:17">
      <c r="A24" s="476" t="s">
        <v>194</v>
      </c>
      <c r="B24" s="477">
        <f t="shared" ca="1" si="2"/>
        <v>185.65557029669768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185.65557029669768</v>
      </c>
    </row>
    <row r="25" spans="1:17">
      <c r="A25" s="476" t="s">
        <v>112</v>
      </c>
      <c r="B25" s="477">
        <f t="shared" ca="1" si="2"/>
        <v>126.46169117452851</v>
      </c>
      <c r="C25" s="477">
        <f t="shared" ca="1" si="3"/>
        <v>0</v>
      </c>
      <c r="D25" s="477">
        <f t="shared" si="4"/>
        <v>56.377256861818204</v>
      </c>
      <c r="E25" s="477">
        <f t="shared" si="5"/>
        <v>3.558762559086647</v>
      </c>
      <c r="F25" s="477">
        <f t="shared" si="6"/>
        <v>593.3456266592226</v>
      </c>
      <c r="G25" s="477">
        <f t="shared" si="7"/>
        <v>0</v>
      </c>
      <c r="H25" s="477">
        <f t="shared" si="8"/>
        <v>0</v>
      </c>
      <c r="I25" s="477">
        <f t="shared" si="9"/>
        <v>0</v>
      </c>
      <c r="J25" s="477">
        <f t="shared" si="10"/>
        <v>30.984270028530794</v>
      </c>
      <c r="K25" s="477">
        <f t="shared" si="11"/>
        <v>0</v>
      </c>
      <c r="L25" s="477">
        <f t="shared" si="12"/>
        <v>0</v>
      </c>
      <c r="M25" s="477">
        <f t="shared" si="13"/>
        <v>0</v>
      </c>
      <c r="N25" s="477">
        <f t="shared" si="14"/>
        <v>0</v>
      </c>
      <c r="O25" s="477">
        <f t="shared" si="15"/>
        <v>0</v>
      </c>
      <c r="P25" s="478">
        <f t="shared" si="16"/>
        <v>0</v>
      </c>
      <c r="Q25" s="476">
        <f t="shared" ca="1" si="17"/>
        <v>810.72760728318679</v>
      </c>
    </row>
    <row r="26" spans="1:17">
      <c r="A26" s="476" t="s">
        <v>638</v>
      </c>
      <c r="B26" s="477">
        <f t="shared" ca="1" si="2"/>
        <v>12392.164230209844</v>
      </c>
      <c r="C26" s="477">
        <f t="shared" ca="1" si="3"/>
        <v>0</v>
      </c>
      <c r="D26" s="477">
        <f t="shared" si="4"/>
        <v>5467.4203204462847</v>
      </c>
      <c r="E26" s="477">
        <f t="shared" si="5"/>
        <v>674.20991392586836</v>
      </c>
      <c r="F26" s="477">
        <f t="shared" si="6"/>
        <v>3363.4852615429718</v>
      </c>
      <c r="G26" s="477">
        <f t="shared" si="7"/>
        <v>0</v>
      </c>
      <c r="H26" s="477">
        <f t="shared" si="8"/>
        <v>0</v>
      </c>
      <c r="I26" s="477">
        <f t="shared" si="9"/>
        <v>0</v>
      </c>
      <c r="J26" s="477">
        <f t="shared" si="10"/>
        <v>141.75996704707919</v>
      </c>
      <c r="K26" s="477">
        <f t="shared" si="11"/>
        <v>0</v>
      </c>
      <c r="L26" s="477">
        <f t="shared" si="12"/>
        <v>0</v>
      </c>
      <c r="M26" s="477">
        <f t="shared" si="13"/>
        <v>0</v>
      </c>
      <c r="N26" s="477">
        <f t="shared" si="14"/>
        <v>0</v>
      </c>
      <c r="O26" s="477">
        <f t="shared" si="15"/>
        <v>0</v>
      </c>
      <c r="P26" s="478">
        <f t="shared" si="16"/>
        <v>0</v>
      </c>
      <c r="Q26" s="476">
        <f t="shared" ca="1" si="17"/>
        <v>22039.039693172053</v>
      </c>
    </row>
    <row r="27" spans="1:17" s="482" customFormat="1">
      <c r="A27" s="480" t="s">
        <v>564</v>
      </c>
      <c r="B27" s="780">
        <f t="shared" ca="1" si="2"/>
        <v>3.9161174582471054</v>
      </c>
      <c r="C27" s="481">
        <f t="shared" ca="1" si="3"/>
        <v>0</v>
      </c>
      <c r="D27" s="481">
        <f t="shared" si="4"/>
        <v>11.531347606802935</v>
      </c>
      <c r="E27" s="481">
        <f t="shared" si="5"/>
        <v>47.960243256795742</v>
      </c>
      <c r="F27" s="481">
        <f t="shared" si="6"/>
        <v>0</v>
      </c>
      <c r="G27" s="481">
        <f t="shared" si="7"/>
        <v>16090.014409740284</v>
      </c>
      <c r="H27" s="481">
        <f t="shared" si="8"/>
        <v>3756.7663710800721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19910.188489142201</v>
      </c>
    </row>
    <row r="28" spans="1:17">
      <c r="A28" s="476" t="s">
        <v>554</v>
      </c>
      <c r="B28" s="477">
        <f t="shared" ca="1" si="2"/>
        <v>0</v>
      </c>
      <c r="C28" s="477">
        <f t="shared" ca="1" si="3"/>
        <v>0</v>
      </c>
      <c r="D28" s="477">
        <f t="shared" si="4"/>
        <v>0</v>
      </c>
      <c r="E28" s="477">
        <f t="shared" si="5"/>
        <v>0</v>
      </c>
      <c r="F28" s="477">
        <f t="shared" si="6"/>
        <v>0</v>
      </c>
      <c r="G28" s="477">
        <f t="shared" si="7"/>
        <v>118.24732667384492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118.24732667384492</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391.98714563234842</v>
      </c>
      <c r="C32" s="477">
        <f t="shared" ca="1" si="3"/>
        <v>0</v>
      </c>
      <c r="D32" s="477">
        <f t="shared" si="4"/>
        <v>327.63636732900005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719.62351296134852</v>
      </c>
    </row>
    <row r="33" spans="1:17" s="486" customFormat="1">
      <c r="A33" s="1038" t="s">
        <v>558</v>
      </c>
      <c r="B33" s="978">
        <f ca="1">SUM(B22:B32)</f>
        <v>24163.531544700731</v>
      </c>
      <c r="C33" s="978">
        <f t="shared" ref="C33:Q33" ca="1" si="18">SUM(C22:C32)</f>
        <v>0</v>
      </c>
      <c r="D33" s="978">
        <f t="shared" ca="1" si="18"/>
        <v>18739.59717985422</v>
      </c>
      <c r="E33" s="978">
        <f t="shared" si="18"/>
        <v>1469.9127691228646</v>
      </c>
      <c r="F33" s="978">
        <f t="shared" ca="1" si="18"/>
        <v>12517.100306164959</v>
      </c>
      <c r="G33" s="978">
        <f t="shared" si="18"/>
        <v>16208.26173641413</v>
      </c>
      <c r="H33" s="978">
        <f t="shared" si="18"/>
        <v>3756.7663710800721</v>
      </c>
      <c r="I33" s="978">
        <f t="shared" si="18"/>
        <v>0</v>
      </c>
      <c r="J33" s="978">
        <f t="shared" si="18"/>
        <v>172.74423707560999</v>
      </c>
      <c r="K33" s="978">
        <f t="shared" si="18"/>
        <v>0</v>
      </c>
      <c r="L33" s="978">
        <f t="shared" ca="1" si="18"/>
        <v>0</v>
      </c>
      <c r="M33" s="978">
        <f t="shared" si="18"/>
        <v>0</v>
      </c>
      <c r="N33" s="978">
        <f t="shared" ca="1" si="18"/>
        <v>0</v>
      </c>
      <c r="O33" s="978">
        <f t="shared" si="18"/>
        <v>0</v>
      </c>
      <c r="P33" s="978">
        <f t="shared" si="18"/>
        <v>0</v>
      </c>
      <c r="Q33" s="978">
        <f t="shared" ca="1" si="18"/>
        <v>77027.914144412571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6831.1236148939533</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6831.1236148939533</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0.20800439445446298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0.20800439445446298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2019-08-12T08:25:14Z</dcterms:modified>
</cp:coreProperties>
</file>