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L20" s="1"/>
  <c r="K19"/>
  <c r="K20" s="1"/>
  <c r="J19"/>
  <c r="J89" i="14" s="1"/>
  <c r="J19" i="59" s="1"/>
  <c r="I19" i="18"/>
  <c r="I89" i="14" s="1"/>
  <c r="I19" i="59" s="1"/>
  <c r="H19" i="18"/>
  <c r="G19"/>
  <c r="H89" i="14" s="1"/>
  <c r="H19" i="59" s="1"/>
  <c r="F19" i="18"/>
  <c r="E19"/>
  <c r="D19"/>
  <c r="D20" s="1"/>
  <c r="C19"/>
  <c r="B19"/>
  <c r="N18"/>
  <c r="L88" i="14" s="1"/>
  <c r="M18" i="18"/>
  <c r="K88" i="14" s="1"/>
  <c r="K18" i="59" s="1"/>
  <c r="L18" i="18"/>
  <c r="K18"/>
  <c r="J18"/>
  <c r="J88" i="14" s="1"/>
  <c r="J18" i="59" s="1"/>
  <c r="I18" i="18"/>
  <c r="I88" i="14" s="1"/>
  <c r="I18" i="59" s="1"/>
  <c r="H18" i="18"/>
  <c r="M88" i="14" s="1"/>
  <c r="M18" i="59" s="1"/>
  <c r="G18" i="18"/>
  <c r="F18"/>
  <c r="F20" s="1"/>
  <c r="E18"/>
  <c r="D18"/>
  <c r="C18"/>
  <c r="B18"/>
  <c r="L9"/>
  <c r="K9"/>
  <c r="I9"/>
  <c r="I77" i="14" s="1"/>
  <c r="I9" i="59" s="1"/>
  <c r="G9" i="18"/>
  <c r="F9"/>
  <c r="D9"/>
  <c r="C9"/>
  <c r="D77" i="14" s="1"/>
  <c r="D9" i="59" s="1"/>
  <c r="B9" i="18"/>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P89"/>
  <c r="O89"/>
  <c r="N89"/>
  <c r="M89"/>
  <c r="W61"/>
  <c r="V61"/>
  <c r="N6" i="17" s="1"/>
  <c r="U61" i="18"/>
  <c r="T61"/>
  <c r="S61"/>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M58"/>
  <c r="G22"/>
  <c r="F22"/>
  <c r="E22"/>
  <c r="D22"/>
  <c r="C22"/>
  <c r="G20"/>
  <c r="G12"/>
  <c r="F12"/>
  <c r="E12"/>
  <c r="D12"/>
  <c r="C12"/>
  <c r="G10"/>
  <c r="F10"/>
  <c r="B6"/>
  <c r="B74" i="14" s="1"/>
  <c r="B6" i="59" s="1"/>
  <c r="B5" i="18"/>
  <c r="B73" i="14" s="1"/>
  <c r="B5" i="59" s="1"/>
  <c r="B4" i="18"/>
  <c r="D5" i="17"/>
  <c r="B19" i="6"/>
  <c r="B18"/>
  <c r="B5"/>
  <c r="B6"/>
  <c r="D14" i="48"/>
  <c r="P7"/>
  <c r="O7"/>
  <c r="O25" s="1"/>
  <c r="M7"/>
  <c r="K7"/>
  <c r="I7"/>
  <c r="H7"/>
  <c r="G7"/>
  <c r="P10"/>
  <c r="P28" s="1"/>
  <c r="O10"/>
  <c r="N10"/>
  <c r="L10"/>
  <c r="K10"/>
  <c r="J10"/>
  <c r="I10"/>
  <c r="H10"/>
  <c r="F10"/>
  <c r="E10"/>
  <c r="D10"/>
  <c r="C10"/>
  <c r="P9"/>
  <c r="O9"/>
  <c r="N9"/>
  <c r="L9"/>
  <c r="K9"/>
  <c r="J9"/>
  <c r="I9"/>
  <c r="F9"/>
  <c r="C9"/>
  <c r="P13"/>
  <c r="O13"/>
  <c r="O31" s="1"/>
  <c r="N13"/>
  <c r="L13"/>
  <c r="K13"/>
  <c r="J13"/>
  <c r="I13"/>
  <c r="F13"/>
  <c r="E13"/>
  <c r="D13"/>
  <c r="C13"/>
  <c r="B13"/>
  <c r="M8"/>
  <c r="K8"/>
  <c r="I8"/>
  <c r="H8"/>
  <c r="G8"/>
  <c r="B12"/>
  <c r="P17"/>
  <c r="O17"/>
  <c r="M4"/>
  <c r="L4"/>
  <c r="K4"/>
  <c r="I4"/>
  <c r="H4"/>
  <c r="G4"/>
  <c r="P11"/>
  <c r="O11"/>
  <c r="N11"/>
  <c r="M11"/>
  <c r="L11"/>
  <c r="K11"/>
  <c r="J11"/>
  <c r="I11"/>
  <c r="H11"/>
  <c r="G11"/>
  <c r="F11"/>
  <c r="E11"/>
  <c r="D11"/>
  <c r="C11"/>
  <c r="B11"/>
  <c r="Q12"/>
  <c r="O28"/>
  <c r="M89" i="14"/>
  <c r="M19" i="59" s="1"/>
  <c r="L89" i="14"/>
  <c r="L19" i="59" s="1"/>
  <c r="K89" i="14"/>
  <c r="K19" i="59" s="1"/>
  <c r="G89" i="14"/>
  <c r="G19" i="59" s="1"/>
  <c r="E89" i="14"/>
  <c r="E19" i="59" s="1"/>
  <c r="D89" i="14"/>
  <c r="D19" i="59" s="1"/>
  <c r="O88" i="14"/>
  <c r="O18" i="59" s="1"/>
  <c r="N88" i="14"/>
  <c r="N18" i="59" s="1"/>
  <c r="H88" i="14"/>
  <c r="F88"/>
  <c r="F18" i="59" s="1"/>
  <c r="E88" i="14"/>
  <c r="E18" i="59" s="1"/>
  <c r="D88" i="14"/>
  <c r="D18" i="59" s="1"/>
  <c r="O87" i="14"/>
  <c r="O17" i="59" s="1"/>
  <c r="N87" i="14"/>
  <c r="N17" i="59" s="1"/>
  <c r="L87" i="14"/>
  <c r="L17" i="59" s="1"/>
  <c r="K87" i="14"/>
  <c r="H87"/>
  <c r="H17" i="59" s="1"/>
  <c r="G87" i="14"/>
  <c r="G17" i="59" s="1"/>
  <c r="E87" i="14"/>
  <c r="E17" i="59" s="1"/>
  <c r="L77" i="14"/>
  <c r="L9" i="59" s="1"/>
  <c r="K77" i="14"/>
  <c r="K9" i="59" s="1"/>
  <c r="H77" i="14"/>
  <c r="H9" i="59" s="1"/>
  <c r="G77" i="14"/>
  <c r="G9" i="59" s="1"/>
  <c r="O76" i="14"/>
  <c r="O8" i="59" s="1"/>
  <c r="N76" i="14"/>
  <c r="N8" i="59" s="1"/>
  <c r="L76" i="14"/>
  <c r="K76"/>
  <c r="K8" i="59" s="1"/>
  <c r="K10"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G20"/>
  <c r="D20"/>
  <c r="Q19"/>
  <c r="P19"/>
  <c r="P22" s="1"/>
  <c r="O19"/>
  <c r="O22" s="1"/>
  <c r="M19"/>
  <c r="L19"/>
  <c r="K19"/>
  <c r="J19"/>
  <c r="I19"/>
  <c r="G19"/>
  <c r="G22" s="1"/>
  <c r="F19"/>
  <c r="E19"/>
  <c r="D19"/>
  <c r="Q48"/>
  <c r="P48"/>
  <c r="P52" s="1"/>
  <c r="O48"/>
  <c r="M48"/>
  <c r="L48"/>
  <c r="K48"/>
  <c r="J48"/>
  <c r="G48"/>
  <c r="D48"/>
  <c r="Q18"/>
  <c r="P18"/>
  <c r="O18"/>
  <c r="M18"/>
  <c r="M22" s="1"/>
  <c r="L18"/>
  <c r="L22" s="1"/>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R78"/>
  <c r="P56"/>
  <c r="L56"/>
  <c r="I56"/>
  <c r="Q52"/>
  <c r="R44"/>
  <c r="E25"/>
  <c r="E55" s="1"/>
  <c r="C25"/>
  <c r="Q26"/>
  <c r="P26"/>
  <c r="N26"/>
  <c r="L26"/>
  <c r="R12"/>
  <c r="O77" l="1"/>
  <c r="L10" i="18"/>
  <c r="H78" i="14"/>
  <c r="H8" i="59"/>
  <c r="H10" s="1"/>
  <c r="N77" i="14"/>
  <c r="N9" i="59" s="1"/>
  <c r="N10" s="1"/>
  <c r="K10" i="18"/>
  <c r="P32" i="48"/>
  <c r="P25"/>
  <c r="P31"/>
  <c r="P29"/>
  <c r="O32"/>
  <c r="O29"/>
  <c r="L18" i="59"/>
  <c r="L20" s="1"/>
  <c r="L90" i="14"/>
  <c r="K17" i="59"/>
  <c r="K90" i="14"/>
  <c r="H90"/>
  <c r="H18" i="59"/>
  <c r="B98" i="18"/>
  <c r="C102" s="1"/>
  <c r="B17"/>
  <c r="B20" s="1"/>
  <c r="D10"/>
  <c r="E77" i="14"/>
  <c r="E9" i="59" s="1"/>
  <c r="B14" i="48"/>
  <c r="R25" i="14"/>
  <c r="C98" i="18"/>
  <c r="C101" s="1"/>
  <c r="B8"/>
  <c r="B10" s="1"/>
  <c r="L78" i="14"/>
  <c r="L8" i="59"/>
  <c r="L10" s="1"/>
  <c r="O89" i="14"/>
  <c r="N89"/>
  <c r="Q22"/>
  <c r="P27" i="48"/>
  <c r="H20" i="59"/>
  <c r="O27" i="48"/>
  <c r="Q11"/>
  <c r="K78" i="14"/>
  <c r="L6" i="17"/>
  <c r="J9" i="18"/>
  <c r="J77" i="14" s="1"/>
  <c r="J9" i="59" s="1"/>
  <c r="E20"/>
  <c r="E10"/>
  <c r="K20"/>
  <c r="F13" i="15"/>
  <c r="G78" i="14"/>
  <c r="O19" i="18"/>
  <c r="L13" i="15"/>
  <c r="N13"/>
  <c r="O9" i="18"/>
  <c r="O18"/>
  <c r="G88" i="14"/>
  <c r="F89"/>
  <c r="F101" i="18"/>
  <c r="I102"/>
  <c r="H17" s="1"/>
  <c r="F102"/>
  <c r="B102"/>
  <c r="C17" s="1"/>
  <c r="Q14" i="48"/>
  <c r="O24"/>
  <c r="O30"/>
  <c r="P24"/>
  <c r="P30"/>
  <c r="E78" i="14"/>
  <c r="E90"/>
  <c r="N78"/>
  <c r="G90" l="1"/>
  <c r="G18" i="59"/>
  <c r="G20" s="1"/>
  <c r="N19"/>
  <c r="N20" s="1"/>
  <c r="N90" i="14"/>
  <c r="O78"/>
  <c r="O9" i="59"/>
  <c r="O10" s="1"/>
  <c r="C89" i="14"/>
  <c r="C19" i="59" s="1"/>
  <c r="F19"/>
  <c r="O19"/>
  <c r="O20" s="1"/>
  <c r="O90" i="14"/>
  <c r="B101" i="18"/>
  <c r="C8" s="1"/>
  <c r="C10" s="1"/>
  <c r="Q88" i="14"/>
  <c r="P18" i="59" s="1"/>
  <c r="I101" i="18"/>
  <c r="H8" s="1"/>
  <c r="B88" i="14"/>
  <c r="B18" i="59" s="1"/>
  <c r="E102" i="18"/>
  <c r="E17" s="1"/>
  <c r="E101"/>
  <c r="E8" s="1"/>
  <c r="B77" i="14"/>
  <c r="B9" i="59" s="1"/>
  <c r="H102" i="18"/>
  <c r="H101"/>
  <c r="Q77" i="14"/>
  <c r="P9" i="59" s="1"/>
  <c r="C77" i="14"/>
  <c r="C9" i="59" s="1"/>
  <c r="D102" i="18"/>
  <c r="D101"/>
  <c r="C88" i="14"/>
  <c r="C18" i="59" s="1"/>
  <c r="G102" i="18"/>
  <c r="I17" s="1"/>
  <c r="O17" s="1"/>
  <c r="O20" s="1"/>
  <c r="G101"/>
  <c r="B89" i="14"/>
  <c r="B19" i="59" s="1"/>
  <c r="Q89" i="14"/>
  <c r="P19" i="59" s="1"/>
  <c r="C20" i="18"/>
  <c r="D87" i="14"/>
  <c r="D17" i="59" s="1"/>
  <c r="D20" s="1"/>
  <c r="J17" i="18"/>
  <c r="J8"/>
  <c r="F87" i="14"/>
  <c r="E20" i="18"/>
  <c r="E10"/>
  <c r="F76" i="14"/>
  <c r="F8" i="59" s="1"/>
  <c r="F10" s="1"/>
  <c r="H20" i="18"/>
  <c r="M87" i="14"/>
  <c r="I8" i="18"/>
  <c r="O8" s="1"/>
  <c r="O10" s="1"/>
  <c r="M76" i="14"/>
  <c r="H10" i="18"/>
  <c r="H14" i="15"/>
  <c r="H16" s="1"/>
  <c r="G14"/>
  <c r="G16" s="1"/>
  <c r="G5" i="48" l="1"/>
  <c r="H10" i="14"/>
  <c r="H16" s="1"/>
  <c r="M90"/>
  <c r="M17" i="59"/>
  <c r="M20" s="1"/>
  <c r="M78" i="14"/>
  <c r="M8" i="59"/>
  <c r="M10" s="1"/>
  <c r="F90" i="14"/>
  <c r="F17" i="59"/>
  <c r="F20" s="1"/>
  <c r="H5" i="48"/>
  <c r="I10" i="14"/>
  <c r="I16" s="1"/>
  <c r="D76"/>
  <c r="D8" i="59" s="1"/>
  <c r="D10" s="1"/>
  <c r="I76" i="14"/>
  <c r="I8" i="59" s="1"/>
  <c r="I10" s="1"/>
  <c r="I10" i="18"/>
  <c r="Q87" i="14"/>
  <c r="D90"/>
  <c r="F78"/>
  <c r="J87"/>
  <c r="J20" i="18"/>
  <c r="J10"/>
  <c r="J76" i="14"/>
  <c r="I87"/>
  <c r="I17" i="59" s="1"/>
  <c r="I20" s="1"/>
  <c r="I20" i="18"/>
  <c r="Q76" i="14"/>
  <c r="D78"/>
  <c r="B24" i="44"/>
  <c r="B23"/>
  <c r="Q78" i="14" l="1"/>
  <c r="B9" i="6" s="1"/>
  <c r="P8" i="59"/>
  <c r="P10" s="1"/>
  <c r="J90" i="14"/>
  <c r="J17" i="59"/>
  <c r="J20" s="1"/>
  <c r="J78" i="14"/>
  <c r="J8" i="59"/>
  <c r="J10" s="1"/>
  <c r="Q90" i="14"/>
  <c r="B17" i="6" s="1"/>
  <c r="P17" i="59"/>
  <c r="P2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8" i="48" l="1"/>
  <c r="J27"/>
  <c r="J32"/>
  <c r="J29"/>
  <c r="J31"/>
  <c r="J24"/>
  <c r="J30"/>
  <c r="P4"/>
  <c r="Q11" i="14"/>
  <c r="O4" i="48"/>
  <c r="P11" i="14"/>
  <c r="I27" i="48"/>
  <c r="I32"/>
  <c r="I31"/>
  <c r="I25"/>
  <c r="I26"/>
  <c r="I29"/>
  <c r="I28"/>
  <c r="I22"/>
  <c r="I30"/>
  <c r="I24"/>
  <c r="D4"/>
  <c r="D22" s="1"/>
  <c r="E11" i="14"/>
  <c r="H32" i="48"/>
  <c r="H25"/>
  <c r="H29"/>
  <c r="H26"/>
  <c r="H28"/>
  <c r="H22"/>
  <c r="H30"/>
  <c r="H24"/>
  <c r="H23"/>
  <c r="C4"/>
  <c r="D11" i="14"/>
  <c r="G32" i="48"/>
  <c r="G25"/>
  <c r="G29"/>
  <c r="G26"/>
  <c r="G24"/>
  <c r="G22"/>
  <c r="G30"/>
  <c r="G23"/>
  <c r="B4"/>
  <c r="C11" i="14"/>
  <c r="F32" i="48"/>
  <c r="F28"/>
  <c r="F27"/>
  <c r="F30"/>
  <c r="F24"/>
  <c r="F31"/>
  <c r="F29"/>
  <c r="N32"/>
  <c r="N28"/>
  <c r="N27"/>
  <c r="N24"/>
  <c r="N29"/>
  <c r="N30"/>
  <c r="N31"/>
  <c r="B10"/>
  <c r="C19" i="14"/>
  <c r="E28" i="48"/>
  <c r="E32"/>
  <c r="E24"/>
  <c r="E31"/>
  <c r="E30"/>
  <c r="E29"/>
  <c r="M32"/>
  <c r="M25"/>
  <c r="M22"/>
  <c r="M30"/>
  <c r="M29"/>
  <c r="M26"/>
  <c r="M24"/>
  <c r="M23"/>
  <c r="L10" i="14"/>
  <c r="L16" s="1"/>
  <c r="L27" s="1"/>
  <c r="K5" i="48"/>
  <c r="D28"/>
  <c r="D32"/>
  <c r="D30"/>
  <c r="D31"/>
  <c r="D29"/>
  <c r="D24"/>
  <c r="L28"/>
  <c r="L27"/>
  <c r="L32"/>
  <c r="L22"/>
  <c r="L31"/>
  <c r="L30"/>
  <c r="L24"/>
  <c r="L29"/>
  <c r="P5"/>
  <c r="P23" s="1"/>
  <c r="Q10" i="14"/>
  <c r="K28" i="48"/>
  <c r="K27"/>
  <c r="K32"/>
  <c r="K31"/>
  <c r="K25"/>
  <c r="K24"/>
  <c r="K22"/>
  <c r="K26"/>
  <c r="K30"/>
  <c r="K29"/>
  <c r="C24" i="14"/>
  <c r="C26" s="1"/>
  <c r="B7" i="48"/>
  <c r="N46" i="14"/>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4" i="48" l="1"/>
  <c r="F22" s="1"/>
  <c r="G11" i="14"/>
  <c r="I5" i="48"/>
  <c r="J10" i="14"/>
  <c r="J16" s="1"/>
  <c r="J27" s="1"/>
  <c r="M12" i="22"/>
  <c r="M13" i="48"/>
  <c r="M31" s="1"/>
  <c r="N18" i="14"/>
  <c r="O22" i="48"/>
  <c r="H18" i="14"/>
  <c r="G13" i="48"/>
  <c r="H13"/>
  <c r="H31" s="1"/>
  <c r="I18" i="14"/>
  <c r="K23" i="48"/>
  <c r="K15"/>
  <c r="C22" i="14"/>
  <c r="P8" i="48"/>
  <c r="P26" s="1"/>
  <c r="Q13" i="14"/>
  <c r="F20"/>
  <c r="F22" s="1"/>
  <c r="E9" i="48"/>
  <c r="E27" s="1"/>
  <c r="E20" i="14"/>
  <c r="E22" s="1"/>
  <c r="D9" i="48"/>
  <c r="D27" s="1"/>
  <c r="O5"/>
  <c r="O23" s="1"/>
  <c r="P10" i="14"/>
  <c r="J7" i="48"/>
  <c r="J25" s="1"/>
  <c r="K24" i="14"/>
  <c r="K26" s="1"/>
  <c r="C20"/>
  <c r="B9" i="48"/>
  <c r="P22"/>
  <c r="J46" i="14"/>
  <c r="J61" s="1"/>
  <c r="K33" i="48"/>
  <c r="Q16" i="14"/>
  <c r="Q27" s="1"/>
  <c r="Q63" s="1"/>
  <c r="I20" i="15"/>
  <c r="J40" i="14"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N4" i="48" l="1"/>
  <c r="N22" s="1"/>
  <c r="O11" i="14"/>
  <c r="M10" i="48"/>
  <c r="M28" s="1"/>
  <c r="N19" i="14"/>
  <c r="G10" i="48"/>
  <c r="H19" i="14"/>
  <c r="R18"/>
  <c r="E12" i="13"/>
  <c r="F41" i="14" s="1"/>
  <c r="F11"/>
  <c r="E4" i="48"/>
  <c r="G31"/>
  <c r="Q13"/>
  <c r="I23"/>
  <c r="I33" s="1"/>
  <c r="I15"/>
  <c r="J4"/>
  <c r="K11" i="14"/>
  <c r="E7" i="48"/>
  <c r="E25" s="1"/>
  <c r="F24" i="14"/>
  <c r="F26" s="1"/>
  <c r="O22" i="16"/>
  <c r="P43" i="14" s="1"/>
  <c r="O8" i="48"/>
  <c r="O26" s="1"/>
  <c r="P13" i="14"/>
  <c r="I20"/>
  <c r="H9" i="48"/>
  <c r="P16" i="14"/>
  <c r="P27" s="1"/>
  <c r="O33" i="48"/>
  <c r="P46" i="14"/>
  <c r="P61" s="1"/>
  <c r="J63"/>
  <c r="I22"/>
  <c r="I27" s="1"/>
  <c r="M14" i="22"/>
  <c r="P15" i="48"/>
  <c r="G14" i="22"/>
  <c r="P33" i="48"/>
  <c r="O15"/>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D18" i="22"/>
  <c r="E50" i="14" s="1"/>
  <c r="E52" s="1"/>
  <c r="E18" i="22"/>
  <c r="F50" i="14" s="1"/>
  <c r="F52" s="1"/>
  <c r="G58" i="22"/>
  <c r="H49" i="14" s="1"/>
  <c r="N20" i="15"/>
  <c r="O40" i="14" s="1"/>
  <c r="F20" i="15"/>
  <c r="G40" i="14" s="1"/>
  <c r="N5" i="16"/>
  <c r="E5"/>
  <c r="J5"/>
  <c r="C35" i="13"/>
  <c r="F5" i="16"/>
  <c r="C36" i="13"/>
  <c r="N12"/>
  <c r="O41" i="14" s="1"/>
  <c r="C38" i="13"/>
  <c r="C39"/>
  <c r="C32"/>
  <c r="C34"/>
  <c r="J12"/>
  <c r="K41" i="14" s="1"/>
  <c r="L20" i="15"/>
  <c r="M40" i="14" s="1"/>
  <c r="E5" i="48" l="1"/>
  <c r="E23" s="1"/>
  <c r="F10" i="14"/>
  <c r="J5" i="48"/>
  <c r="J23" s="1"/>
  <c r="K10" i="14"/>
  <c r="E22" i="48"/>
  <c r="Q4"/>
  <c r="N20" i="14"/>
  <c r="N22" s="1"/>
  <c r="N27" s="1"/>
  <c r="M9" i="48"/>
  <c r="G28"/>
  <c r="Q10"/>
  <c r="G9"/>
  <c r="H20" i="14"/>
  <c r="H27" i="48"/>
  <c r="H33" s="1"/>
  <c r="H15"/>
  <c r="J22"/>
  <c r="R11" i="14"/>
  <c r="P63"/>
  <c r="R24"/>
  <c r="R26" s="1"/>
  <c r="R19"/>
  <c r="M18" i="22"/>
  <c r="N50" i="14" s="1"/>
  <c r="N52" s="1"/>
  <c r="N61" s="1"/>
  <c r="N63" s="1"/>
  <c r="H22"/>
  <c r="H27" s="1"/>
  <c r="J20" i="15"/>
  <c r="K40" i="14" s="1"/>
  <c r="Q7" i="48"/>
  <c r="E20" i="15"/>
  <c r="F40" i="14" s="1"/>
  <c r="J18" i="16"/>
  <c r="E18"/>
  <c r="F18"/>
  <c r="F22" s="1"/>
  <c r="G43" i="14" s="1"/>
  <c r="N18" i="16"/>
  <c r="G18" i="22"/>
  <c r="H50" i="14" s="1"/>
  <c r="H52" s="1"/>
  <c r="H61" s="1"/>
  <c r="E22" i="16"/>
  <c r="F43" i="14" s="1"/>
  <c r="H18" i="22"/>
  <c r="I50" i="14" s="1"/>
  <c r="I52" s="1"/>
  <c r="I61" s="1"/>
  <c r="I63" s="1"/>
  <c r="M27" i="48" l="1"/>
  <c r="M33" s="1"/>
  <c r="M15"/>
  <c r="G27"/>
  <c r="G33" s="1"/>
  <c r="G15"/>
  <c r="Q9"/>
  <c r="J22" i="16"/>
  <c r="K43" i="14" s="1"/>
  <c r="J8" i="48"/>
  <c r="K13" i="14"/>
  <c r="E8" i="48"/>
  <c r="E26" s="1"/>
  <c r="E33" s="1"/>
  <c r="F13" i="14"/>
  <c r="F16" s="1"/>
  <c r="F27" s="1"/>
  <c r="H63"/>
  <c r="K46"/>
  <c r="K61" s="1"/>
  <c r="K63" s="1"/>
  <c r="F46"/>
  <c r="F61" s="1"/>
  <c r="K16"/>
  <c r="K27" s="1"/>
  <c r="R20"/>
  <c r="R22" s="1"/>
  <c r="N8" i="48"/>
  <c r="N26" s="1"/>
  <c r="O13" i="14"/>
  <c r="N22" i="16"/>
  <c r="O43" i="14" s="1"/>
  <c r="G13"/>
  <c r="F8" i="48"/>
  <c r="J26" l="1"/>
  <c r="J33" s="1"/>
  <c r="J15"/>
  <c r="E15"/>
  <c r="R13" i="14"/>
  <c r="F63"/>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<sst xmlns="http://schemas.openxmlformats.org/spreadsheetml/2006/main" count="2401" uniqueCount="897">
  <si>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</si>
  <si>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</si>
  <si>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</si>
  <si>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</si>
  <si>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</si>
  <si>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</si>
  <si>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</si>
  <si>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</si>
  <si>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</si>
  <si>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</si>
  <si>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</si>
  <si>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</si>
  <si>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</si>
  <si>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</si>
  <si>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</si>
  <si>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</si>
  <si>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</si>
  <si>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</si>
  <si>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</si>
  <si>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</si>
  <si>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</si>
  <si>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</si>
  <si>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</si>
  <si>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</si>
  <si>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</si>
  <si>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</si>
  <si>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</si>
  <si>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</si>
  <si>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</si>
  <si>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</si>
  <si>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</si>
  <si>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</si>
  <si>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</si>
  <si>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</si>
  <si>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</si>
  <si>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</si>
  <si>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</si>
  <si>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</si>
  <si>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</si>
  <si>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</si>
  <si>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</si>
  <si>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</si>
  <si>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</si>
  <si>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</si>
  <si>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</si>
  <si>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</si>
  <si>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</si>
  <si>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</si>
  <si>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</si>
  <si>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</si>
  <si>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</si>
  <si>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</si>
  <si>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</si>
  <si>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</si>
  <si>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</si>
  <si>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</si>
  <si>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</si>
  <si>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</si>
  <si>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</si>
  <si>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</si>
  <si>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</si>
  <si>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</si>
  <si>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</si>
  <si>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</si>
  <si>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</si>
  <si>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</si>
  <si>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</si>
  <si>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</si>
  <si>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</si>
  <si>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</si>
  <si>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</si>
  <si>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</si>
  <si>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</si>
  <si>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</si>
  <si>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</si>
  <si>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</si>
  <si>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</si>
  <si>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</si>
  <si>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</si>
  <si>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</si>
  <si>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</si>
  <si>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</si>
  <si>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</si>
  <si>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</si>
  <si>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</si>
  <si>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</si>
  <si>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</si>
  <si>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</si>
  <si>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</si>
  <si>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</si>
  <si>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</si>
  <si>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</si>
  <si>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</si>
  <si>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</si>
  <si>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</si>
  <si>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</si>
  <si>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</si>
  <si>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</si>
  <si>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</si>
  <si>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</si>
  <si>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</si>
  <si>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</si>
  <si>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</si>
  <si>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</si>
  <si>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</si>
  <si>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</si>
  <si>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</si>
  <si>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</si>
  <si>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</si>
  <si>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</si>
  <si>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</si>
  <si>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</si>
  <si>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</si>
  <si>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</si>
  <si>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</si>
  <si>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</si>
  <si>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</si>
  <si>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</si>
  <si>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</si>
  <si>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</si>
  <si>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</si>
  <si>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</si>
  <si>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</si>
  <si>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</si>
  <si>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</si>
  <si>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</si>
  <si>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</si>
  <si>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</si>
  <si>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</si>
  <si>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</si>
  <si>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</si>
  <si>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</si>
  <si>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</si>
  <si>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</si>
  <si>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</si>
  <si>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</si>
  <si>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</si>
  <si>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</si>
  <si>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</si>
  <si>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</si>
  <si>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</si>
  <si>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</si>
  <si>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</si>
  <si>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</si>
  <si>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</si>
  <si>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</si>
  <si>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</si>
  <si>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</si>
  <si>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</si>
  <si>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</si>
  <si>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</si>
  <si>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</si>
  <si>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</si>
  <si>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</si>
  <si>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</si>
  <si>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</si>
  <si>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</si>
  <si>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</si>
  <si>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</si>
  <si>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</si>
  <si>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</si>
  <si>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</si>
  <si>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</si>
  <si>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</si>
  <si>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</si>
  <si>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</si>
  <si>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</si>
  <si>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</si>
  <si>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</si>
  <si>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</si>
  <si>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</si>
  <si>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</si>
  <si>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</si>
  <si>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</si>
  <si>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</si>
  <si>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</si>
  <si>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</si>
  <si>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</si>
  <si>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</si>
  <si>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</si>
  <si>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</si>
  <si>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</si>
  <si>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</si>
  <si>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</si>
  <si>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</si>
  <si>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</si>
  <si>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</si>
  <si>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</si>
  <si>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</si>
  <si>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</si>
  <si>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</si>
  <si>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</si>
  <si>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</si>
  <si>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</si>
  <si>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</si>
  <si>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</si>
  <si>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</si>
  <si>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</si>
  <si>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</si>
  <si>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</si>
  <si>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</si>
  <si>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</si>
  <si>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</si>
  <si>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</si>
  <si>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</si>
  <si>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</si>
  <si>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</si>
  <si>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</si>
  <si>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</si>
  <si>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</si>
  <si>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</si>
  <si>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</si>
  <si>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</si>
  <si>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</si>
  <si>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</si>
  <si>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</si>
  <si>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</si>
  <si>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</si>
  <si>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</si>
  <si>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</si>
  <si>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</si>
  <si>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</si>
  <si>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</si>
  <si>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</si>
  <si>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</si>
  <si>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</si>
  <si>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</si>
  <si>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</si>
  <si>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</si>
  <si>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</si>
  <si>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</si>
  <si>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</si>
  <si>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</si>
  <si>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</si>
  <si>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</si>
  <si>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</si>
  <si>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</si>
  <si>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</si>
  <si>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</si>
  <si>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</si>
  <si>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</si>
  <si>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</si>
  <si>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</si>
  <si>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</si>
  <si>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</si>
  <si>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</si>
  <si>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</si>
  <si>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</si>
  <si>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</si>
  <si>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</si>
  <si>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</si>
  <si>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</si>
  <si>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</si>
  <si>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</si>
  <si>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</si>
  <si>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</si>
  <si>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</si>
  <si>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</si>
  <si>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</si>
  <si>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</si>
  <si>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</si>
  <si>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</si>
  <si>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</si>
  <si>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</si>
  <si>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</si>
  <si>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</si>
  <si>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</si>
  <si>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</si>
  <si>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</si>
  <si>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</si>
  <si>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</si>
  <si>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</si>
  <si>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</si>
  <si>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</si>
  <si>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</si>
  <si>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</si>
  <si>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</si>
  <si>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</si>
  <si>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</si>
  <si>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</si>
  <si>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</si>
  <si>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</si>
  <si>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</si>
  <si>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</si>
  <si>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</si>
  <si>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</si>
  <si>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</si>
  <si>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</si>
  <si>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</si>
  <si>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</si>
  <si>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</si>
  <si>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</si>
  <si>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</si>
  <si>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</si>
  <si>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</si>
  <si>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</si>
  <si>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</si>
  <si>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</si>
  <si>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</si>
  <si>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</si>
  <si>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</si>
  <si>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</si>
  <si>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</si>
  <si>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</si>
  <si>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</si>
  <si>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</si>
  <si>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</si>
  <si>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</si>
  <si>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</si>
  <si>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</si>
  <si>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</si>
  <si>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</si>
  <si>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</si>
  <si>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</si>
  <si>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</si>
  <si>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</si>
  <si>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</si>
  <si>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</si>
  <si>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</si>
  <si>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</si>
  <si>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</si>
  <si>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</si>
  <si>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</si>
  <si>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</si>
  <si>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</si>
  <si>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</si>
  <si>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</si>
  <si>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</si>
  <si>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</si>
  <si>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</si>
  <si>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</si>
  <si>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</si>
  <si>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</si>
  <si>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</si>
  <si>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</si>
  <si>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</si>
  <si>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</si>
  <si>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</si>
  <si>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</si>
  <si>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</si>
  <si>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</si>
  <si>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</si>
  <si>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</si>
  <si>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</si>
  <si>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</si>
  <si>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</si>
  <si>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</si>
  <si>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</si>
  <si>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</si>
  <si>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</si>
  <si>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</si>
  <si>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</si>
  <si>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</si>
  <si>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</si>
  <si>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</si>
  <si>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</si>
  <si>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</si>
  <si>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</si>
  <si>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</si>
  <si>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</si>
  <si>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</si>
  <si>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</si>
  <si>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</si>
  <si>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</si>
  <si>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</si>
  <si>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</si>
  <si>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</si>
  <si>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</si>
  <si>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</si>
  <si>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</si>
  <si>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</si>
  <si>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</si>
  <si>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</si>
  <si>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</si>
  <si>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</si>
  <si>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</si>
  <si>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</si>
  <si>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</si>
  <si>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</si>
  <si>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</si>
  <si>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</si>
  <si>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</si>
  <si>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</si>
  <si>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</si>
  <si>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</si>
  <si>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</si>
  <si>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</si>
  <si>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</si>
  <si>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</si>
  <si>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</si>
  <si>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</si>
  <si>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</si>
  <si>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</si>
  <si>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</si>
  <si>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</si>
  <si>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</si>
  <si>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</si>
  <si>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</si>
  <si>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</si>
  <si>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</si>
  <si>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</si>
  <si>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</si>
  <si>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</si>
  <si>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</si>
  <si>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</si>
  <si>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</si>
  <si>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</si>
  <si>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</si>
  <si>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</si>
  <si>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</si>
  <si>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</si>
  <si>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</si>
  <si>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</si>
  <si>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</si>
  <si>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</si>
  <si>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</si>
  <si>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</si>
  <si>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</si>
  <si>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</si>
  <si>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</si>
  <si>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</si>
  <si>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</si>
  <si>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</si>
  <si>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</si>
  <si>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</si>
  <si>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</si>
  <si>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</si>
  <si>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</si>
  <si>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</si>
  <si>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</si>
  <si>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</si>
  <si>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</si>
  <si>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</si>
  <si>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</si>
  <si>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</si>
  <si>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</si>
  <si>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</si>
  <si>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</si>
  <si>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</si>
  <si>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</si>
  <si>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</si>
  <si>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</si>
  <si>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</si>
  <si>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</si>
  <si>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</si>
  <si>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</si>
  <si>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</si>
  <si>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</si>
  <si>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</si>
  <si>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</si>
  <si>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</si>
  <si>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</si>
  <si>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</si>
  <si>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</si>
  <si>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</si>
  <si>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</si>
  <si>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</si>
  <si>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</si>
  <si>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</si>
  <si>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</si>
  <si>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</si>
  <si>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</si>
  <si>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</si>
  <si>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</si>
  <si>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</si>
  <si>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</si>
  <si>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</si>
  <si>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</si>
  <si>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</si>
  <si>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</si>
  <si>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</si>
  <si>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</si>
  <si>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</si>
  <si>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</si>
  <si>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</si>
  <si>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</si>
  <si>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</si>
  <si>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</si>
  <si>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</si>
  <si>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</si>
  <si>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</si>
  <si>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</si>
  <si>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</si>
  <si>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</si>
  <si>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</si>
  <si>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</si>
  <si>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</si>
  <si>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</si>
  <si>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</si>
  <si>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</si>
  <si>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</si>
  <si>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</si>
  <si>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</si>
  <si>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</si>
  <si>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</si>
  <si>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</si>
  <si>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</si>
  <si>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</si>
  <si>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</si>
  <si>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</si>
  <si>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</si>
  <si>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</si>
  <si>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</si>
  <si>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</si>
  <si>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</si>
  <si>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</si>
  <si>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</si>
  <si>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</si>
  <si>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</si>
  <si>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</si>
  <si>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</si>
  <si>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</si>
  <si>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</si>
  <si>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</si>
  <si>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</si>
  <si>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</si>
  <si>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</si>
  <si>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</si>
  <si>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</si>
  <si>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</si>
  <si>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</si>
  <si>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</si>
  <si>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</si>
  <si>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</si>
  <si>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</si>
  <si>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</si>
  <si>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</si>
  <si>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</si>
  <si>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</si>
  <si>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</si>
  <si>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</si>
  <si>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</si>
  <si>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</si>
  <si>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</si>
  <si>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</si>
  <si>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</si>
  <si>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</si>
  <si>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</si>
  <si>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</si>
  <si>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</si>
  <si>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</si>
  <si>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</si>
  <si>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</si>
  <si>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</si>
  <si>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</si>
  <si>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</si>
  <si>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</si>
  <si>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</si>
  <si>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</si>
  <si>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</si>
  <si>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</si>
  <si>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</si>
  <si>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</si>
  <si>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</si>
  <si>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</si>
  <si>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</si>
  <si>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</si>
  <si>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</si>
  <si>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</si>
  <si>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</si>
  <si>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</si>
  <si>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</si>
  <si>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</si>
  <si>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</si>
  <si>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</si>
  <si>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</si>
  <si>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</si>
  <si>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</si>
  <si>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</si>
  <si>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</si>
  <si>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</si>
  <si>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</si>
  <si>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</si>
  <si>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</si>
  <si>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</si>
  <si>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</si>
  <si>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</si>
  <si>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</si>
  <si>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</si>
  <si>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</si>
  <si>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</si>
  <si>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</si>
  <si>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</si>
  <si>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</si>
  <si>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</si>
  <si>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</si>
  <si>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</si>
  <si>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</si>
  <si>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</si>
  <si>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</si>
  <si>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</si>
  <si>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</si>
  <si>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</si>
  <si>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</si>
  <si>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</si>
  <si>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</si>
  <si>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</si>
  <si>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</si>
  <si>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</si>
  <si>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</si>
  <si>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</si>
  <si>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</si>
  <si>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</si>
  <si>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</si>
  <si>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</si>
  <si>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</si>
  <si>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</si>
  <si>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</si>
  <si>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</si>
  <si>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</si>
  <si>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</si>
  <si>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</si>
  <si>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</si>
  <si>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</si>
  <si>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</si>
  <si>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</si>
  <si>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</si>
  <si>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</si>
  <si>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</si>
  <si>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</si>
  <si>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</si>
  <si>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</si>
  <si>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</si>
  <si>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</si>
  <si>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</si>
  <si>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</si>
  <si>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</si>
  <si>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</si>
  <si>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</si>
  <si>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</si>
  <si>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</si>
  <si>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</si>
  <si>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</si>
  <si>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</si>
  <si>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</si>
  <si>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</si>
  <si>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</si>
  <si>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</si>
  <si>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</si>
  <si>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</si>
  <si>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</si>
  <si>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</si>
  <si>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</si>
  <si>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</si>
  <si>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</si>
  <si>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</si>
  <si>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</si>
  <si>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</si>
  <si>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</si>
  <si>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</si>
  <si>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</si>
  <si>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</si>
  <si>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</si>
  <si>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</si>
  <si>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</si>
  <si>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</si>
  <si>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</si>
  <si>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</si>
  <si>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</si>
  <si>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</si>
  <si>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</si>
  <si>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</si>
  <si>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</si>
  <si>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</si>
  <si>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</si>
  <si>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</si>
  <si>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</si>
  <si>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</si>
  <si>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</si>
  <si>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</si>
  <si>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</si>
  <si>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</si>
  <si>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</si>
  <si>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</si>
  <si>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</si>
  <si>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</si>
  <si>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</si>
  <si>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</si>
  <si>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</si>
  <si>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</si>
  <si>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</si>
  <si>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</si>
  <si>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</si>
  <si>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</si>
  <si>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</si>
  <si>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</si>
  <si>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</si>
  <si>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</si>
  <si>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</si>
  <si>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</si>
  <si>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</si>
  <si>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</si>
  <si>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</si>
  <si>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</si>
  <si>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</si>
  <si>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</si>
  <si>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</si>
  <si>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</si>
  <si>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</si>
  <si>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</si>
  <si>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</si>
  <si>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</si>
  <si>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</si>
  <si>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</si>
  <si>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</si>
  <si>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</si>
  <si>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</si>
  <si>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</si>
  <si>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</si>
  <si>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</si>
  <si>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</si>
  <si>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</si>
  <si>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</si>
  <si>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</si>
  <si>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</si>
  <si>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</si>
  <si>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</si>
  <si>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</si>
  <si>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</si>
  <si>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</si>
  <si>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</si>
  <si>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</si>
  <si>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</si>
  <si>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</si>
  <si>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</si>
  <si>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</si>
  <si>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</si>
  <si>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</si>
  <si>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</si>
  <si>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</si>
  <si>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</si>
  <si>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</si>
  <si>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</si>
  <si>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</si>
  <si>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</si>
  <si>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</si>
  <si>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</si>
  <si>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</si>
  <si>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</si>
  <si>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</si>
  <si>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</si>
  <si>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</si>
  <si>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</si>
  <si>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</si>
  <si>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</si>
  <si>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</si>
  <si>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</si>
  <si>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</si>
  <si>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</si>
  <si>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</si>
  <si>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</si>
  <si>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</si>
  <si>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</si>
  <si>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</si>
  <si>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</si>
  <si>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</si>
  <si>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</si>
  <si>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</si>
  <si>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</si>
  <si>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</si>
  <si>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</si>
  <si>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</si>
  <si>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</si>
  <si>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</si>
  <si>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</si>
  <si>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</si>
  <si>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</si>
  <si>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</si>
  <si>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</si>
  <si>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</si>
  <si>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</si>
  <si>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</si>
  <si>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</si>
  <si>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</si>
  <si>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</si>
  <si>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</si>
  <si>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</si>
  <si>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</si>
  <si>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</si>
  <si>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</si>
  <si>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</si>
  <si>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</si>
  <si>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</si>
  <si>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</si>
  <si>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</si>
  <si>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</si>
  <si>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</si>
  <si>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</si>
  <si>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</si>
  <si>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</si>
  <si>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</si>
  <si>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</si>
  <si>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</si>
  <si>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</si>
  <si>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</si>
  <si>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</si>
  <si>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</si>
  <si>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</si>
  <si>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</si>
  <si>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</si>
  <si>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</si>
  <si>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</si>
  <si>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</si>
  <si>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</si>
  <si>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</si>
  <si>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</si>
  <si>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</si>
  <si>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</si>
  <si>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</si>
  <si>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</si>
  <si>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</si>
  <si>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</si>
  <si>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</si>
  <si>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</si>
  <si>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</si>
  <si>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</si>
  <si>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</si>
  <si>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</si>
  <si>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</si>
  <si>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</si>
  <si>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</si>
  <si>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</si>
  <si>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</si>
  <si>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</si>
  <si>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</si>
  <si>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</si>
  <si>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</si>
  <si>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</si>
  <si>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</si>
  <si>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</si>
  <si>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</si>
  <si>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</si>
  <si>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</si>
  <si>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</si>
  <si>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</si>
  <si>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</si>
  <si>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</si>
  <si>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</si>
  <si>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</si>
  <si>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</si>
  <si>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</si>
  <si>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</si>
  <si>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</si>
  <si>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</si>
  <si>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</si>
  <si>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</si>
  <si>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</si>
  <si>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</si>
  <si>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</si>
  <si>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</si>
  <si>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</si>
  <si>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</si>
  <si>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</si>
  <si>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</si>
  <si>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</si>
  <si>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</si>
  <si>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</si>
  <si>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</si>
  <si>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</si>
  <si>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</si>
  <si>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</si>
  <si>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</si>
  <si>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</si>
  <si>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</si>
  <si>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</si>
  <si>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</si>
  <si>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</si>
  <si>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</si>
  <si>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</si>
  <si>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</si>
  <si>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</si>
  <si>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</si>
  <si>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</si>
  <si>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</si>
  <si>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</si>
  <si>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</si>
  <si>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</si>
  <si>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</si>
  <si>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</si>
  <si>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</si>
  <si>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</si>
  <si>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</si>
  <si>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41048</t>
  </si>
  <si>
    <t>NINOVE</t>
  </si>
  <si>
    <t>Paarden&amp;pony's 200 - 600 kg</t>
  </si>
  <si>
    <t>Paarden&amp;pony's &lt; 200 kg</t>
  </si>
  <si>
    <t>referentietaak LNE (2017); Jaarverslag De Lijn (2015)</t>
  </si>
  <si>
    <t>op basis van VEA (maart 2018) en Inventaris Hernieuwbare Energiebronnen (juni 2018)</t>
  </si>
  <si>
    <t>VEA (januari 2017)</t>
  </si>
  <si>
    <t>VEA (juni 2018)</t>
  </si>
  <si>
    <t>DvD E-Consult bvba</t>
  </si>
  <si>
    <t>Zolderstraat 25 , 8553 Otegem</t>
  </si>
  <si>
    <t>BGS-0048 Voorde Stort</t>
  </si>
  <si>
    <t>biogas - stortgas</t>
  </si>
  <si>
    <t>niet WKK interne verbrandingsmotor (gas)</t>
  </si>
  <si>
    <t>Geraardsbergsesteenweg 660 , 9400 Voorde</t>
  </si>
  <si>
    <t>Intergem</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</si>
</sst>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305964.7033068632</c:v>
                </c:pt>
                <c:pt idx="1">
                  <c:v>106716.04643866558</c:v>
                </c:pt>
                <c:pt idx="2">
                  <c:v>2562.884</c:v>
                </c:pt>
                <c:pt idx="3">
                  <c:v>6391.5878421967282</c:v>
                </c:pt>
                <c:pt idx="4">
                  <c:v>126578.4517868637</c:v>
                </c:pt>
                <c:pt idx="5">
                  <c:v>198728.56122744211</c:v>
                </c:pt>
                <c:pt idx="6">
                  <c:v>3013.1450551644475</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2432128"/>
        <c:axId val="182433664"/>
      </c:barChart>
      <c:catAx>
        <c:axId val="182432128"/>
        <c:scaling>
          <c:orientation val="minMax"/>
        </c:scaling>
        <c:axPos val="b"/>
        <c:numFmt formatCode="General" sourceLinked="0"/>
        <c:tickLblPos val="nextTo"/>
        <c:crossAx val="182433664"/>
        <c:crosses val="autoZero"/>
        <c:auto val="1"/>
        <c:lblAlgn val="ctr"/>
        <c:lblOffset val="100"/>
      </c:catAx>
      <c:valAx>
        <c:axId val="182433664"/>
        <c:scaling>
          <c:orientation val="minMax"/>
        </c:scaling>
        <c:axPos val="l"/>
        <c:majorGridlines/>
        <c:numFmt formatCode="#,##0" sourceLinked="1"/>
        <c:tickLblPos val="nextTo"/>
        <c:crossAx val="18243212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305964.7033068632</c:v>
                </c:pt>
                <c:pt idx="1">
                  <c:v>106716.04643866558</c:v>
                </c:pt>
                <c:pt idx="2">
                  <c:v>2562.884</c:v>
                </c:pt>
                <c:pt idx="3">
                  <c:v>6391.5878421967282</c:v>
                </c:pt>
                <c:pt idx="4">
                  <c:v>126578.4517868637</c:v>
                </c:pt>
                <c:pt idx="5">
                  <c:v>198728.56122744211</c:v>
                </c:pt>
                <c:pt idx="6">
                  <c:v>3013.1450551644475</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60973.24492505884</c:v>
                </c:pt>
                <c:pt idx="2">
                  <c:v>22500.051702469318</c:v>
                </c:pt>
                <c:pt idx="3">
                  <c:v>527.31638171865643</c:v>
                </c:pt>
                <c:pt idx="4">
                  <c:v>1621.8654585692796</c:v>
                </c:pt>
                <c:pt idx="5">
                  <c:v>24181.983937923811</c:v>
                </c:pt>
                <c:pt idx="6">
                  <c:v>50891.623611657065</c:v>
                </c:pt>
                <c:pt idx="7">
                  <c:v>780.30637176421965</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2918144"/>
        <c:axId val="182948608"/>
      </c:barChart>
      <c:catAx>
        <c:axId val="182918144"/>
        <c:scaling>
          <c:orientation val="minMax"/>
        </c:scaling>
        <c:axPos val="b"/>
        <c:numFmt formatCode="General" sourceLinked="0"/>
        <c:tickLblPos val="nextTo"/>
        <c:crossAx val="182948608"/>
        <c:crosses val="autoZero"/>
        <c:auto val="1"/>
        <c:lblAlgn val="ctr"/>
        <c:lblOffset val="100"/>
      </c:catAx>
      <c:valAx>
        <c:axId val="182948608"/>
        <c:scaling>
          <c:orientation val="minMax"/>
        </c:scaling>
        <c:axPos val="l"/>
        <c:majorGridlines/>
        <c:numFmt formatCode="#,##0" sourceLinked="1"/>
        <c:tickLblPos val="nextTo"/>
        <c:crossAx val="1829181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60973.24492505884</c:v>
                </c:pt>
                <c:pt idx="2">
                  <c:v>22500.051702469318</c:v>
                </c:pt>
                <c:pt idx="3">
                  <c:v>527.31638171865643</c:v>
                </c:pt>
                <c:pt idx="4">
                  <c:v>1621.8654585692796</c:v>
                </c:pt>
                <c:pt idx="5">
                  <c:v>24181.983937923811</c:v>
                </c:pt>
                <c:pt idx="6">
                  <c:v>50891.623611657065</c:v>
                </c:pt>
                <c:pt idx="7">
                  <c:v>780.30637176421965</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41048</v>
      </c>
      <c r="B6" s="415"/>
      <c r="C6" s="416"/>
    </row>
    <row r="7" spans="1:7" s="413" customFormat="1" ht="15.75" customHeight="1">
      <c r="A7" s="417" t="str">
        <f>txtMunicipality</f>
        <v>NINOVE</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0.20575117005633356</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0.20575117005633356</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41048</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16040</v>
      </c>
      <c r="C9" s="342">
        <v>17074</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3907.42</v>
      </c>
    </row>
    <row r="15" spans="1:6">
      <c r="A15" s="348" t="s">
        <v>184</v>
      </c>
      <c r="B15" s="334">
        <v>131</v>
      </c>
    </row>
    <row r="16" spans="1:6">
      <c r="A16" s="348" t="s">
        <v>6</v>
      </c>
      <c r="B16" s="334">
        <v>1530</v>
      </c>
    </row>
    <row r="17" spans="1:6">
      <c r="A17" s="348" t="s">
        <v>7</v>
      </c>
      <c r="B17" s="334">
        <v>1256</v>
      </c>
    </row>
    <row r="18" spans="1:6">
      <c r="A18" s="348" t="s">
        <v>8</v>
      </c>
      <c r="B18" s="334">
        <v>1869</v>
      </c>
    </row>
    <row r="19" spans="1:6">
      <c r="A19" s="348" t="s">
        <v>9</v>
      </c>
      <c r="B19" s="334">
        <v>1863</v>
      </c>
    </row>
    <row r="20" spans="1:6">
      <c r="A20" s="348" t="s">
        <v>10</v>
      </c>
      <c r="B20" s="334">
        <v>1707</v>
      </c>
    </row>
    <row r="21" spans="1:6">
      <c r="A21" s="348" t="s">
        <v>11</v>
      </c>
      <c r="B21" s="334">
        <v>367</v>
      </c>
    </row>
    <row r="22" spans="1:6">
      <c r="A22" s="348" t="s">
        <v>12</v>
      </c>
      <c r="B22" s="334">
        <v>1923</v>
      </c>
    </row>
    <row r="23" spans="1:6">
      <c r="A23" s="348" t="s">
        <v>13</v>
      </c>
      <c r="B23" s="334">
        <v>7</v>
      </c>
    </row>
    <row r="24" spans="1:6">
      <c r="A24" s="348" t="s">
        <v>14</v>
      </c>
      <c r="B24" s="334">
        <v>0</v>
      </c>
    </row>
    <row r="25" spans="1:6">
      <c r="A25" s="348" t="s">
        <v>15</v>
      </c>
      <c r="B25" s="334">
        <v>169</v>
      </c>
    </row>
    <row r="26" spans="1:6">
      <c r="A26" s="348" t="s">
        <v>16</v>
      </c>
      <c r="B26" s="334">
        <v>435</v>
      </c>
    </row>
    <row r="27" spans="1:6">
      <c r="A27" s="348" t="s">
        <v>17</v>
      </c>
      <c r="B27" s="334">
        <v>4</v>
      </c>
    </row>
    <row r="28" spans="1:6" s="356" customFormat="1">
      <c r="A28" s="355" t="s">
        <v>18</v>
      </c>
      <c r="B28" s="355">
        <v>6</v>
      </c>
    </row>
    <row r="29" spans="1:6">
      <c r="A29" s="355" t="s">
        <v>884</v>
      </c>
      <c r="B29" s="355">
        <v>185</v>
      </c>
      <c r="C29" s="356"/>
      <c r="D29" s="356"/>
      <c r="E29" s="356"/>
      <c r="F29" s="356"/>
    </row>
    <row r="30" spans="1:6">
      <c r="A30" s="355" t="s">
        <v>885</v>
      </c>
      <c r="B30" s="341">
        <v>56</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3768</v>
      </c>
    </row>
    <row r="37" spans="1:6">
      <c r="A37" s="348" t="s">
        <v>25</v>
      </c>
      <c r="B37" s="348" t="s">
        <v>28</v>
      </c>
      <c r="C37" s="334">
        <v>0</v>
      </c>
      <c r="D37" s="334">
        <v>0</v>
      </c>
      <c r="E37" s="334">
        <v>0</v>
      </c>
      <c r="F37" s="334">
        <v>0</v>
      </c>
    </row>
    <row r="38" spans="1:6">
      <c r="A38" s="348" t="s">
        <v>25</v>
      </c>
      <c r="B38" s="348" t="s">
        <v>29</v>
      </c>
      <c r="C38" s="334">
        <v>1</v>
      </c>
      <c r="D38" s="334">
        <v>140190.9853</v>
      </c>
      <c r="E38" s="334">
        <v>2</v>
      </c>
      <c r="F38" s="334">
        <v>5593</v>
      </c>
    </row>
    <row r="39" spans="1:6">
      <c r="A39" s="348" t="s">
        <v>30</v>
      </c>
      <c r="B39" s="348" t="s">
        <v>31</v>
      </c>
      <c r="C39" s="334">
        <v>8371</v>
      </c>
      <c r="D39" s="334">
        <v>118782131.95</v>
      </c>
      <c r="E39" s="334">
        <v>15832</v>
      </c>
      <c r="F39" s="334">
        <v>62537772.870999999</v>
      </c>
    </row>
    <row r="40" spans="1:6">
      <c r="A40" s="348" t="s">
        <v>30</v>
      </c>
      <c r="B40" s="348" t="s">
        <v>29</v>
      </c>
      <c r="C40" s="334">
        <v>0</v>
      </c>
      <c r="D40" s="334">
        <v>0</v>
      </c>
      <c r="E40" s="334">
        <v>0</v>
      </c>
      <c r="F40" s="334">
        <v>0</v>
      </c>
    </row>
    <row r="41" spans="1:6">
      <c r="A41" s="348" t="s">
        <v>32</v>
      </c>
      <c r="B41" s="348" t="s">
        <v>33</v>
      </c>
      <c r="C41" s="334">
        <v>75</v>
      </c>
      <c r="D41" s="334">
        <v>1843924.7974</v>
      </c>
      <c r="E41" s="334">
        <v>298</v>
      </c>
      <c r="F41" s="334">
        <v>2625755.6850000001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461568.81466999999</v>
      </c>
      <c r="E44" s="334">
        <v>32</v>
      </c>
      <c r="F44" s="334">
        <v>2796250.4531999999</v>
      </c>
    </row>
    <row r="45" spans="1:6">
      <c r="A45" s="348" t="s">
        <v>32</v>
      </c>
      <c r="B45" s="348" t="s">
        <v>37</v>
      </c>
      <c r="C45" s="334">
        <v>0</v>
      </c>
      <c r="D45" s="334">
        <v>0</v>
      </c>
      <c r="E45" s="334">
        <v>3</v>
      </c>
      <c r="F45" s="334">
        <v>563825.44541000004</v>
      </c>
    </row>
    <row r="46" spans="1:6">
      <c r="A46" s="348" t="s">
        <v>32</v>
      </c>
      <c r="B46" s="348" t="s">
        <v>38</v>
      </c>
      <c r="C46" s="334">
        <v>0</v>
      </c>
      <c r="D46" s="334">
        <v>0</v>
      </c>
      <c r="E46" s="334">
        <v>0</v>
      </c>
      <c r="F46" s="334">
        <v>0</v>
      </c>
    </row>
    <row r="47" spans="1:6">
      <c r="A47" s="348" t="s">
        <v>32</v>
      </c>
      <c r="B47" s="348" t="s">
        <v>39</v>
      </c>
      <c r="C47" s="334">
        <v>0</v>
      </c>
      <c r="D47" s="334">
        <v>0</v>
      </c>
      <c r="E47" s="334">
        <v>8</v>
      </c>
      <c r="F47" s="334">
        <v>281181.04347999999</v>
      </c>
    </row>
    <row r="48" spans="1:6">
      <c r="A48" s="348" t="s">
        <v>32</v>
      </c>
      <c r="B48" s="348" t="s">
        <v>29</v>
      </c>
      <c r="C48" s="334">
        <v>71</v>
      </c>
      <c r="D48" s="334">
        <v>26090104.952</v>
      </c>
      <c r="E48" s="334">
        <v>103</v>
      </c>
      <c r="F48" s="334">
        <v>26668085.261</v>
      </c>
    </row>
    <row r="49" spans="1:6">
      <c r="A49" s="348" t="s">
        <v>32</v>
      </c>
      <c r="B49" s="348" t="s">
        <v>40</v>
      </c>
      <c r="C49" s="334">
        <v>0</v>
      </c>
      <c r="D49" s="334">
        <v>0</v>
      </c>
      <c r="E49" s="334">
        <v>0</v>
      </c>
      <c r="F49" s="334">
        <v>0</v>
      </c>
    </row>
    <row r="50" spans="1:6">
      <c r="A50" s="348" t="s">
        <v>32</v>
      </c>
      <c r="B50" s="348" t="s">
        <v>41</v>
      </c>
      <c r="C50" s="334">
        <v>14</v>
      </c>
      <c r="D50" s="334">
        <v>28260674.112</v>
      </c>
      <c r="E50" s="334">
        <v>24</v>
      </c>
      <c r="F50" s="334">
        <v>14652816.362</v>
      </c>
    </row>
    <row r="51" spans="1:6">
      <c r="A51" s="348" t="s">
        <v>42</v>
      </c>
      <c r="B51" s="348" t="s">
        <v>43</v>
      </c>
      <c r="C51" s="334">
        <v>6</v>
      </c>
      <c r="D51" s="334">
        <v>281100.70290999999</v>
      </c>
      <c r="E51" s="334">
        <v>94</v>
      </c>
      <c r="F51" s="334">
        <v>1091987.2697000001</v>
      </c>
    </row>
    <row r="52" spans="1:6">
      <c r="A52" s="348" t="s">
        <v>42</v>
      </c>
      <c r="B52" s="348" t="s">
        <v>29</v>
      </c>
      <c r="C52" s="334">
        <v>6</v>
      </c>
      <c r="D52" s="334">
        <v>99562.367759000001</v>
      </c>
      <c r="E52" s="334">
        <v>16</v>
      </c>
      <c r="F52" s="334">
        <v>161547.48616</v>
      </c>
    </row>
    <row r="53" spans="1:6">
      <c r="A53" s="348" t="s">
        <v>44</v>
      </c>
      <c r="B53" s="348" t="s">
        <v>45</v>
      </c>
      <c r="C53" s="334">
        <v>214</v>
      </c>
      <c r="D53" s="334">
        <v>4506537.7604999999</v>
      </c>
      <c r="E53" s="334">
        <v>553</v>
      </c>
      <c r="F53" s="334">
        <v>2503581.8413</v>
      </c>
    </row>
    <row r="54" spans="1:6">
      <c r="A54" s="348" t="s">
        <v>46</v>
      </c>
      <c r="B54" s="348" t="s">
        <v>47</v>
      </c>
      <c r="C54" s="334">
        <v>0</v>
      </c>
      <c r="D54" s="334">
        <v>0</v>
      </c>
      <c r="E54" s="334">
        <v>1</v>
      </c>
      <c r="F54" s="334">
        <v>2562884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86</v>
      </c>
      <c r="D57" s="334">
        <v>3185440.6275999998</v>
      </c>
      <c r="E57" s="334">
        <v>185</v>
      </c>
      <c r="F57" s="334">
        <v>4229471.6748000002</v>
      </c>
    </row>
    <row r="58" spans="1:6">
      <c r="A58" s="348" t="s">
        <v>49</v>
      </c>
      <c r="B58" s="348" t="s">
        <v>51</v>
      </c>
      <c r="C58" s="334">
        <v>41</v>
      </c>
      <c r="D58" s="334">
        <v>1138592.1187</v>
      </c>
      <c r="E58" s="334">
        <v>86</v>
      </c>
      <c r="F58" s="334">
        <v>858541.12431999994</v>
      </c>
    </row>
    <row r="59" spans="1:6">
      <c r="A59" s="348" t="s">
        <v>49</v>
      </c>
      <c r="B59" s="348" t="s">
        <v>52</v>
      </c>
      <c r="C59" s="334">
        <v>178</v>
      </c>
      <c r="D59" s="334">
        <v>15775699.158</v>
      </c>
      <c r="E59" s="334">
        <v>488</v>
      </c>
      <c r="F59" s="334">
        <v>21044686.083999999</v>
      </c>
    </row>
    <row r="60" spans="1:6">
      <c r="A60" s="348" t="s">
        <v>49</v>
      </c>
      <c r="B60" s="348" t="s">
        <v>53</v>
      </c>
      <c r="C60" s="334">
        <v>119</v>
      </c>
      <c r="D60" s="334">
        <v>4396183.2821000004</v>
      </c>
      <c r="E60" s="334">
        <v>199</v>
      </c>
      <c r="F60" s="334">
        <v>4805665.9896</v>
      </c>
    </row>
    <row r="61" spans="1:6">
      <c r="A61" s="348" t="s">
        <v>49</v>
      </c>
      <c r="B61" s="348" t="s">
        <v>54</v>
      </c>
      <c r="C61" s="334">
        <v>212</v>
      </c>
      <c r="D61" s="334">
        <v>7812039.8696999997</v>
      </c>
      <c r="E61" s="334">
        <v>709</v>
      </c>
      <c r="F61" s="334">
        <v>8402810.2129999995</v>
      </c>
    </row>
    <row r="62" spans="1:6">
      <c r="A62" s="348" t="s">
        <v>49</v>
      </c>
      <c r="B62" s="348" t="s">
        <v>55</v>
      </c>
      <c r="C62" s="334">
        <v>36</v>
      </c>
      <c r="D62" s="334">
        <v>7619201.0722000003</v>
      </c>
      <c r="E62" s="334">
        <v>22</v>
      </c>
      <c r="F62" s="334">
        <v>916886.38988999999</v>
      </c>
    </row>
    <row r="63" spans="1:6">
      <c r="A63" s="348" t="s">
        <v>49</v>
      </c>
      <c r="B63" s="348" t="s">
        <v>29</v>
      </c>
      <c r="C63" s="334">
        <v>194</v>
      </c>
      <c r="D63" s="334">
        <v>10415558.969000001</v>
      </c>
      <c r="E63" s="334">
        <v>298</v>
      </c>
      <c r="F63" s="334">
        <v>6263910.1501000002</v>
      </c>
    </row>
    <row r="64" spans="1:6">
      <c r="A64" s="348" t="s">
        <v>56</v>
      </c>
      <c r="B64" s="348" t="s">
        <v>57</v>
      </c>
      <c r="C64" s="334">
        <v>0</v>
      </c>
      <c r="D64" s="334">
        <v>0</v>
      </c>
      <c r="E64" s="334">
        <v>0</v>
      </c>
      <c r="F64" s="334">
        <v>0</v>
      </c>
    </row>
    <row r="65" spans="1:6">
      <c r="A65" s="348" t="s">
        <v>56</v>
      </c>
      <c r="B65" s="348" t="s">
        <v>29</v>
      </c>
      <c r="C65" s="334">
        <v>5</v>
      </c>
      <c r="D65" s="334">
        <v>214017.06028999999</v>
      </c>
      <c r="E65" s="334">
        <v>9</v>
      </c>
      <c r="F65" s="334">
        <v>151625.50141999999</v>
      </c>
    </row>
    <row r="66" spans="1:6">
      <c r="A66" s="348" t="s">
        <v>56</v>
      </c>
      <c r="B66" s="348" t="s">
        <v>58</v>
      </c>
      <c r="C66" s="334">
        <v>0</v>
      </c>
      <c r="D66" s="334">
        <v>0</v>
      </c>
      <c r="E66" s="334">
        <v>17</v>
      </c>
      <c r="F66" s="334">
        <v>687111.29547999997</v>
      </c>
    </row>
    <row r="67" spans="1:6">
      <c r="A67" s="355" t="s">
        <v>56</v>
      </c>
      <c r="B67" s="355" t="s">
        <v>59</v>
      </c>
      <c r="C67" s="334">
        <v>0</v>
      </c>
      <c r="D67" s="334">
        <v>0</v>
      </c>
      <c r="E67" s="334">
        <v>0</v>
      </c>
      <c r="F67" s="334">
        <v>0</v>
      </c>
    </row>
    <row r="68" spans="1:6">
      <c r="A68" s="341" t="s">
        <v>56</v>
      </c>
      <c r="B68" s="341" t="s">
        <v>60</v>
      </c>
      <c r="C68" s="334">
        <v>3</v>
      </c>
      <c r="D68" s="334">
        <v>95619.968137999997</v>
      </c>
      <c r="E68" s="334">
        <v>10</v>
      </c>
      <c r="F68" s="334">
        <v>150824.61395</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144333275</v>
      </c>
      <c r="E73" s="475">
        <v>156668721.58466604</v>
      </c>
    </row>
    <row r="74" spans="1:6">
      <c r="A74" s="348" t="s">
        <v>64</v>
      </c>
      <c r="B74" s="348" t="s">
        <v>667</v>
      </c>
      <c r="C74" s="1294" t="s">
        <v>669</v>
      </c>
      <c r="D74" s="475">
        <v>20622924.158327147</v>
      </c>
      <c r="E74" s="475">
        <v>21646115.232161723</v>
      </c>
    </row>
    <row r="75" spans="1:6">
      <c r="A75" s="348" t="s">
        <v>65</v>
      </c>
      <c r="B75" s="348" t="s">
        <v>666</v>
      </c>
      <c r="C75" s="1294" t="s">
        <v>670</v>
      </c>
      <c r="D75" s="475">
        <v>53901197</v>
      </c>
      <c r="E75" s="475">
        <v>59572232.77437745</v>
      </c>
    </row>
    <row r="76" spans="1:6">
      <c r="A76" s="348" t="s">
        <v>65</v>
      </c>
      <c r="B76" s="348" t="s">
        <v>667</v>
      </c>
      <c r="C76" s="1294" t="s">
        <v>671</v>
      </c>
      <c r="D76" s="475">
        <v>2522407.1583271469</v>
      </c>
      <c r="E76" s="475">
        <v>2703595.2152746511</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809289.6833457062</v>
      </c>
      <c r="C83" s="475">
        <v>809289.6833457062</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5533.5439801737975</v>
      </c>
    </row>
    <row r="92" spans="1:6">
      <c r="A92" s="341" t="s">
        <v>69</v>
      </c>
      <c r="B92" s="342">
        <v>4060.0159506139194</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4030</v>
      </c>
    </row>
    <row r="98" spans="1:6">
      <c r="A98" s="348" t="s">
        <v>72</v>
      </c>
      <c r="B98" s="334">
        <v>2</v>
      </c>
    </row>
    <row r="99" spans="1:6">
      <c r="A99" s="348" t="s">
        <v>73</v>
      </c>
      <c r="B99" s="334">
        <v>188</v>
      </c>
    </row>
    <row r="100" spans="1:6">
      <c r="A100" s="348" t="s">
        <v>74</v>
      </c>
      <c r="B100" s="334">
        <v>1269</v>
      </c>
    </row>
    <row r="101" spans="1:6">
      <c r="A101" s="348" t="s">
        <v>75</v>
      </c>
      <c r="B101" s="334">
        <v>211</v>
      </c>
    </row>
    <row r="102" spans="1:6">
      <c r="A102" s="348" t="s">
        <v>76</v>
      </c>
      <c r="B102" s="334">
        <v>300</v>
      </c>
    </row>
    <row r="103" spans="1:6">
      <c r="A103" s="348" t="s">
        <v>77</v>
      </c>
      <c r="B103" s="334">
        <v>540</v>
      </c>
    </row>
    <row r="104" spans="1:6">
      <c r="A104" s="348" t="s">
        <v>78</v>
      </c>
      <c r="B104" s="334">
        <v>7256</v>
      </c>
    </row>
    <row r="105" spans="1:6">
      <c r="A105" s="341" t="s">
        <v>79</v>
      </c>
      <c r="B105" s="341">
        <v>9</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1</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32</v>
      </c>
      <c r="C123" s="334">
        <v>31</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204</v>
      </c>
    </row>
    <row r="130" spans="1:6">
      <c r="A130" s="348" t="s">
        <v>295</v>
      </c>
      <c r="B130" s="334">
        <v>2</v>
      </c>
    </row>
    <row r="131" spans="1:6">
      <c r="A131" s="348" t="s">
        <v>296</v>
      </c>
      <c r="B131" s="334">
        <v>3</v>
      </c>
    </row>
    <row r="132" spans="1:6">
      <c r="A132" s="341" t="s">
        <v>297</v>
      </c>
      <c r="B132" s="342">
        <v>39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170734.65664724284</v>
      </c>
      <c r="C3" s="43" t="s">
        <v>170</v>
      </c>
      <c r="D3" s="43"/>
      <c r="E3" s="154"/>
      <c r="F3" s="43"/>
      <c r="G3" s="43"/>
      <c r="H3" s="43"/>
      <c r="I3" s="43"/>
      <c r="J3" s="43"/>
      <c r="K3" s="96"/>
    </row>
    <row r="4" spans="1:11">
      <c r="A4" s="383" t="s">
        <v>171</v>
      </c>
      <c r="B4" s="49">
        <f>IF(ISERROR('SEAP template'!B78+'SEAP template'!C78),0,'SEAP template'!B78+'SEAP template'!C78)</f>
        <v>11780.559930787716</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0.20575117005633356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2562.884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2562.884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0.20575117005633356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527.31638171865643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62537.772871000001</v>
      </c>
      <c r="C5" s="17">
        <f>IF(ISERROR('Eigen informatie GS &amp; warmtenet'!B57),0,'Eigen informatie GS &amp; warmtenet'!B57)</f>
        <v>0</v>
      </c>
      <c r="D5" s="30">
        <f>(SUM(HH_hh_gas_kWh,HH_rest_gas_kWh)/1000)*0.902</f>
        <v>107141.48301890001</v>
      </c>
      <c r="E5" s="17">
        <f>B46*B57</f>
        <v>10561.577287247772</v>
      </c>
      <c r="F5" s="17">
        <f>B51*B62</f>
        <v>81524.308424382645</v>
      </c>
      <c r="G5" s="18"/>
      <c r="H5" s="17"/>
      <c r="I5" s="17"/>
      <c r="J5" s="17">
        <f>B50*B61+C50*C61</f>
        <v>3278.0900348056571</v>
      </c>
      <c r="K5" s="17"/>
      <c r="L5" s="17"/>
      <c r="M5" s="17"/>
      <c r="N5" s="17">
        <f>B48*B59+C48*C59</f>
        <v>33665.247690353317</v>
      </c>
      <c r="O5" s="17">
        <f>B69*B70*B71</f>
        <v>368.94666666666672</v>
      </c>
      <c r="P5" s="17">
        <f>B77*B78*B79/1000-B77*B78*B79/1000/B80</f>
        <v>1353.7333333333333</v>
      </c>
    </row>
    <row r="6" spans="1:16">
      <c r="A6" s="16" t="s">
        <v>624</v>
      </c>
      <c r="B6" s="788">
        <f>kWh_PV_kleiner_dan_10kW</f>
        <v>5533.5439801737975</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68071.316851173804</v>
      </c>
      <c r="C8" s="21">
        <f>C5</f>
        <v>0</v>
      </c>
      <c r="D8" s="21">
        <f>D5</f>
        <v>107141.48301890001</v>
      </c>
      <c r="E8" s="21">
        <f>E5</f>
        <v>10561.577287247772</v>
      </c>
      <c r="F8" s="21">
        <f>F5</f>
        <v>81524.308424382645</v>
      </c>
      <c r="G8" s="21"/>
      <c r="H8" s="21"/>
      <c r="I8" s="21"/>
      <c r="J8" s="21">
        <f>J5</f>
        <v>3278.0900348056571</v>
      </c>
      <c r="K8" s="21"/>
      <c r="L8" s="21">
        <f>L5</f>
        <v>0</v>
      </c>
      <c r="M8" s="21">
        <f>M5</f>
        <v>0</v>
      </c>
      <c r="N8" s="21">
        <f>N5</f>
        <v>33665.247690353317</v>
      </c>
      <c r="O8" s="21">
        <f>O5</f>
        <v>368.94666666666672</v>
      </c>
      <c r="P8" s="21">
        <f>P5</f>
        <v>1353.7333333333333</v>
      </c>
    </row>
    <row r="9" spans="1:16">
      <c r="B9" s="19"/>
      <c r="C9" s="19"/>
      <c r="D9" s="258"/>
      <c r="E9" s="19"/>
      <c r="F9" s="19"/>
      <c r="G9" s="19"/>
      <c r="H9" s="19"/>
      <c r="I9" s="19"/>
      <c r="J9" s="19"/>
      <c r="K9" s="19"/>
      <c r="L9" s="19"/>
      <c r="M9" s="19"/>
      <c r="N9" s="19"/>
      <c r="O9" s="19"/>
      <c r="P9" s="19"/>
    </row>
    <row r="10" spans="1:16">
      <c r="A10" s="24" t="s">
        <v>214</v>
      </c>
      <c r="B10" s="25">
        <f ca="1">'EF ele_warmte'!B12</f>
        <v>0.20575117005633356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14005.753089404425</v>
      </c>
      <c r="C12" s="23">
        <f ca="1">C10*C8</f>
        <v>0</v>
      </c>
      <c r="D12" s="23">
        <f>D8*D10</f>
        <v>21642.579569817801</v>
      </c>
      <c r="E12" s="23">
        <f>E10*E8</f>
        <v>2397.4780442052443</v>
      </c>
      <c r="F12" s="23">
        <f>F10*F8</f>
        <v>21766.990349310166</v>
      </c>
      <c r="G12" s="23"/>
      <c r="H12" s="23"/>
      <c r="I12" s="23"/>
      <c r="J12" s="23">
        <f>J10*J8</f>
        <v>1160.4438723212024</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4030</v>
      </c>
      <c r="C18" s="166" t="s">
        <v>111</v>
      </c>
      <c r="D18" s="228"/>
      <c r="E18" s="15"/>
    </row>
    <row r="19" spans="1:7">
      <c r="A19" s="171" t="s">
        <v>72</v>
      </c>
      <c r="B19" s="37">
        <f>aantalw2001_ander</f>
        <v>2</v>
      </c>
      <c r="C19" s="166" t="s">
        <v>111</v>
      </c>
      <c r="D19" s="229"/>
      <c r="E19" s="15"/>
    </row>
    <row r="20" spans="1:7">
      <c r="A20" s="171" t="s">
        <v>73</v>
      </c>
      <c r="B20" s="37">
        <f>aantalw2001_propaan</f>
        <v>188</v>
      </c>
      <c r="C20" s="167">
        <f>IF(ISERROR(B20/SUM($B$20,$B$21,$B$22)*100),0,B20/SUM($B$20,$B$21,$B$22)*100)</f>
        <v>11.270983213429256</v>
      </c>
      <c r="D20" s="229"/>
      <c r="E20" s="15"/>
    </row>
    <row r="21" spans="1:7">
      <c r="A21" s="171" t="s">
        <v>74</v>
      </c>
      <c r="B21" s="37">
        <f>aantalw2001_elektriciteit</f>
        <v>1269</v>
      </c>
      <c r="C21" s="167">
        <f>IF(ISERROR(B21/SUM($B$20,$B$21,$B$22)*100),0,B21/SUM($B$20,$B$21,$B$22)*100)</f>
        <v>76.079136690647488</v>
      </c>
      <c r="D21" s="229"/>
      <c r="E21" s="15"/>
    </row>
    <row r="22" spans="1:7">
      <c r="A22" s="171" t="s">
        <v>75</v>
      </c>
      <c r="B22" s="37">
        <f>aantalw2001_hout</f>
        <v>211</v>
      </c>
      <c r="C22" s="167">
        <f>IF(ISERROR(B22/SUM($B$20,$B$21,$B$22)*100),0,B22/SUM($B$20,$B$21,$B$22)*100)</f>
        <v>12.64988009592326</v>
      </c>
      <c r="D22" s="229"/>
      <c r="E22" s="15"/>
    </row>
    <row r="23" spans="1:7">
      <c r="A23" s="171" t="s">
        <v>76</v>
      </c>
      <c r="B23" s="37">
        <f>aantalw2001_niet_gespec</f>
        <v>300</v>
      </c>
      <c r="C23" s="166" t="s">
        <v>111</v>
      </c>
      <c r="D23" s="228"/>
      <c r="E23" s="15"/>
    </row>
    <row r="24" spans="1:7">
      <c r="A24" s="171" t="s">
        <v>77</v>
      </c>
      <c r="B24" s="37">
        <f>aantalw2001_steenkool</f>
        <v>540</v>
      </c>
      <c r="C24" s="166" t="s">
        <v>111</v>
      </c>
      <c r="D24" s="229"/>
      <c r="E24" s="15"/>
    </row>
    <row r="25" spans="1:7">
      <c r="A25" s="171" t="s">
        <v>78</v>
      </c>
      <c r="B25" s="37">
        <f>aantalw2001_stookolie</f>
        <v>7256</v>
      </c>
      <c r="C25" s="166" t="s">
        <v>111</v>
      </c>
      <c r="D25" s="228"/>
      <c r="E25" s="52"/>
    </row>
    <row r="26" spans="1:7">
      <c r="A26" s="171" t="s">
        <v>79</v>
      </c>
      <c r="B26" s="37">
        <f>aantalw2001_WP</f>
        <v>9</v>
      </c>
      <c r="C26" s="166" t="s">
        <v>111</v>
      </c>
      <c r="D26" s="228"/>
      <c r="E26" s="15"/>
    </row>
    <row r="27" spans="1:7" s="15" customFormat="1">
      <c r="A27" s="171"/>
      <c r="B27" s="29"/>
      <c r="C27" s="36"/>
      <c r="D27" s="228"/>
    </row>
    <row r="28" spans="1:7" s="15" customFormat="1">
      <c r="A28" s="230" t="s">
        <v>698</v>
      </c>
      <c r="B28" s="37">
        <f>aantalHuishoudens2011</f>
        <v>16040</v>
      </c>
      <c r="C28" s="36"/>
      <c r="D28" s="228"/>
    </row>
    <row r="29" spans="1:7" s="15" customFormat="1">
      <c r="A29" s="230" t="s">
        <v>699</v>
      </c>
      <c r="B29" s="37">
        <f>SUM(HH_hh_gas_aantal,HH_rest_gas_aantal)</f>
        <v>8371</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8371</v>
      </c>
      <c r="C32" s="167">
        <f>IF(ISERROR(B32/SUM($B$32,$B$34,$B$35,$B$36,$B$38,$B$39)*100),0,B32/SUM($B$32,$B$34,$B$35,$B$36,$B$38,$B$39)*100)</f>
        <v>52.420314359070694</v>
      </c>
      <c r="D32" s="233"/>
      <c r="G32" s="15"/>
    </row>
    <row r="33" spans="1:7">
      <c r="A33" s="171" t="s">
        <v>72</v>
      </c>
      <c r="B33" s="34" t="s">
        <v>111</v>
      </c>
      <c r="C33" s="167"/>
      <c r="D33" s="233"/>
      <c r="G33" s="15"/>
    </row>
    <row r="34" spans="1:7">
      <c r="A34" s="171" t="s">
        <v>73</v>
      </c>
      <c r="B34" s="33">
        <f>IF((($B$28-$B$32-$B$39-$B$77-$B$38)*C20/100)&lt;0,0,($B$28-$B$32-$B$39-$B$77-$B$38)*C20/100)</f>
        <v>466.95683453237405</v>
      </c>
      <c r="C34" s="167">
        <f>IF(ISERROR(B34/SUM($B$32,$B$34,$B$35,$B$36,$B$38,$B$39)*100),0,B34/SUM($B$32,$B$34,$B$35,$B$36,$B$38,$B$39)*100)</f>
        <v>2.9241457482145035</v>
      </c>
      <c r="D34" s="233"/>
      <c r="G34" s="15"/>
    </row>
    <row r="35" spans="1:7">
      <c r="A35" s="171" t="s">
        <v>74</v>
      </c>
      <c r="B35" s="33">
        <f>IF((($B$28-$B$32-$B$39-$B$77-$B$38)*C21/100)&lt;0,0,($B$28-$B$32-$B$39-$B$77-$B$38)*C21/100)</f>
        <v>3151.9586330935253</v>
      </c>
      <c r="C35" s="167">
        <f>IF(ISERROR(B35/SUM($B$32,$B$34,$B$35,$B$36,$B$38,$B$39)*100),0,B35/SUM($B$32,$B$34,$B$35,$B$36,$B$38,$B$39)*100)</f>
        <v>19.7379838004479</v>
      </c>
      <c r="D35" s="233"/>
      <c r="G35" s="15"/>
    </row>
    <row r="36" spans="1:7">
      <c r="A36" s="171" t="s">
        <v>75</v>
      </c>
      <c r="B36" s="33">
        <f>IF((($B$28-$B$32-$B$39-$B$77-$B$38)*C22/100)&lt;0,0,($B$28-$B$32-$B$39-$B$77-$B$38)*C22/100)</f>
        <v>524.08453237410072</v>
      </c>
      <c r="C36" s="167">
        <f>IF(ISERROR(B36/SUM($B$32,$B$34,$B$35,$B$36,$B$38,$B$39)*100),0,B36/SUM($B$32,$B$34,$B$35,$B$36,$B$38,$B$39)*100)</f>
        <v>3.2818869833684059</v>
      </c>
      <c r="D36" s="233"/>
      <c r="G36" s="15"/>
    </row>
    <row r="37" spans="1:7">
      <c r="A37" s="171" t="s">
        <v>76</v>
      </c>
      <c r="B37" s="34" t="s">
        <v>111</v>
      </c>
      <c r="C37" s="167"/>
      <c r="D37" s="173"/>
      <c r="G37" s="15"/>
    </row>
    <row r="38" spans="1:7">
      <c r="A38" s="171" t="s">
        <v>77</v>
      </c>
      <c r="B38" s="33">
        <f>IF((B24-(B29-B18)*0.1)&lt;0,0,B24-(B29-B18)*0.1)</f>
        <v>105.89999999999998</v>
      </c>
      <c r="C38" s="167">
        <f>IF(ISERROR(B38/SUM($B$32,$B$34,$B$35,$B$36,$B$38,$B$39)*100),0,B38/SUM($B$32,$B$34,$B$35,$B$36,$B$38,$B$39)*100)</f>
        <v>0.66315987225248907</v>
      </c>
      <c r="D38" s="234"/>
      <c r="G38" s="15"/>
    </row>
    <row r="39" spans="1:7">
      <c r="A39" s="171" t="s">
        <v>78</v>
      </c>
      <c r="B39" s="33">
        <f>IF((B25-(B29-B18))&lt;0,0,B25-(B29-B18)*0.9)</f>
        <v>3349.1</v>
      </c>
      <c r="C39" s="167">
        <f>IF(ISERROR(B39/SUM($B$32,$B$34,$B$35,$B$36,$B$38,$B$39)*100),0,B39/SUM($B$32,$B$34,$B$35,$B$36,$B$38,$B$39)*100)</f>
        <v>20.972509236646001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8371</v>
      </c>
      <c r="C44" s="34" t="s">
        <v>111</v>
      </c>
      <c r="D44" s="174"/>
    </row>
    <row r="45" spans="1:7">
      <c r="A45" s="171" t="s">
        <v>72</v>
      </c>
      <c r="B45" s="33" t="str">
        <f t="shared" si="0"/>
        <v>-</v>
      </c>
      <c r="C45" s="34" t="s">
        <v>111</v>
      </c>
      <c r="D45" s="174"/>
    </row>
    <row r="46" spans="1:7">
      <c r="A46" s="171" t="s">
        <v>73</v>
      </c>
      <c r="B46" s="33">
        <f t="shared" si="0"/>
        <v>466.95683453237405</v>
      </c>
      <c r="C46" s="34" t="s">
        <v>111</v>
      </c>
      <c r="D46" s="174"/>
    </row>
    <row r="47" spans="1:7">
      <c r="A47" s="171" t="s">
        <v>74</v>
      </c>
      <c r="B47" s="33">
        <f t="shared" si="0"/>
        <v>3151.9586330935253</v>
      </c>
      <c r="C47" s="34" t="s">
        <v>111</v>
      </c>
      <c r="D47" s="174"/>
    </row>
    <row r="48" spans="1:7">
      <c r="A48" s="171" t="s">
        <v>75</v>
      </c>
      <c r="B48" s="33">
        <f t="shared" si="0"/>
        <v>524.08453237410072</v>
      </c>
      <c r="C48" s="33">
        <f>B48*10</f>
        <v>5240.8453237410067</v>
      </c>
      <c r="D48" s="234"/>
    </row>
    <row r="49" spans="1:6">
      <c r="A49" s="171" t="s">
        <v>76</v>
      </c>
      <c r="B49" s="33" t="str">
        <f t="shared" si="0"/>
        <v>-</v>
      </c>
      <c r="C49" s="34" t="s">
        <v>111</v>
      </c>
      <c r="D49" s="234"/>
    </row>
    <row r="50" spans="1:6">
      <c r="A50" s="171" t="s">
        <v>77</v>
      </c>
      <c r="B50" s="33">
        <f t="shared" si="0"/>
        <v>105.89999999999998</v>
      </c>
      <c r="C50" s="33">
        <f>B50*2</f>
        <v>211.79999999999995</v>
      </c>
      <c r="D50" s="234"/>
    </row>
    <row r="51" spans="1:6">
      <c r="A51" s="171" t="s">
        <v>78</v>
      </c>
      <c r="B51" s="33">
        <f t="shared" si="0"/>
        <v>3349.1</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236</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71</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46521.971625709994</v>
      </c>
      <c r="C5" s="17">
        <f>IF(ISERROR('Eigen informatie GS &amp; warmtenet'!B58),0,'Eigen informatie GS &amp; warmtenet'!B58)</f>
        <v>0</v>
      </c>
      <c r="D5" s="30">
        <f>SUM(D6:D12)</f>
        <v>45409.129017764601</v>
      </c>
      <c r="E5" s="17">
        <f>SUM(E6:E12)</f>
        <v>1051.6142666426549</v>
      </c>
      <c r="F5" s="17">
        <f>SUM(F6:F12)</f>
        <v>11486.004861881664</v>
      </c>
      <c r="G5" s="18"/>
      <c r="H5" s="17"/>
      <c r="I5" s="17"/>
      <c r="J5" s="17">
        <f>SUM(J6:J12)</f>
        <v>0</v>
      </c>
      <c r="K5" s="17"/>
      <c r="L5" s="17"/>
      <c r="M5" s="17"/>
      <c r="N5" s="17">
        <f>SUM(N6:N12)</f>
        <v>3932.2040046932475</v>
      </c>
      <c r="O5" s="17">
        <f>B38*B39*B40</f>
        <v>3.1266666666666669</v>
      </c>
      <c r="P5" s="17">
        <f>B46*B47*B48/1000-B46*B47*B48/1000/B49</f>
        <v>57.2</v>
      </c>
      <c r="R5" s="32"/>
    </row>
    <row r="6" spans="1:18">
      <c r="A6" s="32" t="s">
        <v>54</v>
      </c>
      <c r="B6" s="37">
        <f>B26</f>
        <v>8402.8102129999988</v>
      </c>
      <c r="C6" s="33"/>
      <c r="D6" s="37">
        <f>IF(ISERROR(TER_kantoor_gas_kWh/1000),0,TER_kantoor_gas_kWh/1000)*0.902</f>
        <v>7046.4599624694001</v>
      </c>
      <c r="E6" s="33">
        <f>$C$26*'E Balans VL '!I12/100/3.6*1000000</f>
        <v>110.00313644945035</v>
      </c>
      <c r="F6" s="33">
        <f>$C$26*('E Balans VL '!L12+'E Balans VL '!N12)/100/3.6*1000000</f>
        <v>2142.6297729178368</v>
      </c>
      <c r="G6" s="34"/>
      <c r="H6" s="33"/>
      <c r="I6" s="33"/>
      <c r="J6" s="33">
        <f>$C$26*('E Balans VL '!D12+'E Balans VL '!E12)/100/3.6*1000000</f>
        <v>0</v>
      </c>
      <c r="K6" s="33"/>
      <c r="L6" s="33"/>
      <c r="M6" s="33"/>
      <c r="N6" s="33">
        <f>$C$26*'E Balans VL '!Y12/100/3.6*1000000</f>
        <v>8.4311062263141547</v>
      </c>
      <c r="O6" s="33"/>
      <c r="P6" s="33"/>
      <c r="R6" s="32"/>
    </row>
    <row r="7" spans="1:18">
      <c r="A7" s="32" t="s">
        <v>53</v>
      </c>
      <c r="B7" s="37">
        <f t="shared" ref="B7:B12" si="0">B27</f>
        <v>4805.6659896000001</v>
      </c>
      <c r="C7" s="33"/>
      <c r="D7" s="37">
        <f>IF(ISERROR(TER_horeca_gas_kWh/1000),0,TER_horeca_gas_kWh/1000)*0.902</f>
        <v>3965.3573204542008</v>
      </c>
      <c r="E7" s="33">
        <f>$C$27*'E Balans VL '!I9/100/3.6*1000000</f>
        <v>159.03831237015638</v>
      </c>
      <c r="F7" s="33">
        <f>$C$27*('E Balans VL '!L9+'E Balans VL '!N9)/100/3.6*1000000</f>
        <v>2066.4179579850429</v>
      </c>
      <c r="G7" s="34"/>
      <c r="H7" s="33"/>
      <c r="I7" s="33"/>
      <c r="J7" s="33">
        <f>$C$27*('E Balans VL '!D9+'E Balans VL '!E9)/100/3.6*1000000</f>
        <v>0</v>
      </c>
      <c r="K7" s="33"/>
      <c r="L7" s="33"/>
      <c r="M7" s="33"/>
      <c r="N7" s="33">
        <f>$C$27*'E Balans VL '!Y9/100/3.6*1000000</f>
        <v>1.1567935896252584</v>
      </c>
      <c r="O7" s="33"/>
      <c r="P7" s="33"/>
      <c r="R7" s="32"/>
    </row>
    <row r="8" spans="1:18">
      <c r="A8" s="6" t="s">
        <v>52</v>
      </c>
      <c r="B8" s="37">
        <f t="shared" si="0"/>
        <v>21044.686083999997</v>
      </c>
      <c r="C8" s="33"/>
      <c r="D8" s="37">
        <f>IF(ISERROR(TER_handel_gas_kWh/1000),0,TER_handel_gas_kWh/1000)*0.902</f>
        <v>14229.680640516</v>
      </c>
      <c r="E8" s="33">
        <f>$C$28*'E Balans VL '!I13/100/3.6*1000000</f>
        <v>664.2024481342221</v>
      </c>
      <c r="F8" s="33">
        <f>$C$28*('E Balans VL '!L13+'E Balans VL '!N13)/100/3.6*1000000</f>
        <v>4127.2335149870705</v>
      </c>
      <c r="G8" s="34"/>
      <c r="H8" s="33"/>
      <c r="I8" s="33"/>
      <c r="J8" s="33">
        <f>$C$28*('E Balans VL '!D13+'E Balans VL '!E13)/100/3.6*1000000</f>
        <v>0</v>
      </c>
      <c r="K8" s="33"/>
      <c r="L8" s="33"/>
      <c r="M8" s="33"/>
      <c r="N8" s="33">
        <f>$C$28*'E Balans VL '!Y13/100/3.6*1000000</f>
        <v>24.975956606063676</v>
      </c>
      <c r="O8" s="33"/>
      <c r="P8" s="33"/>
      <c r="R8" s="32"/>
    </row>
    <row r="9" spans="1:18">
      <c r="A9" s="32" t="s">
        <v>51</v>
      </c>
      <c r="B9" s="37">
        <f t="shared" si="0"/>
        <v>858.54112431999999</v>
      </c>
      <c r="C9" s="33"/>
      <c r="D9" s="37">
        <f>IF(ISERROR(TER_gezond_gas_kWh/1000),0,TER_gezond_gas_kWh/1000)*0.902</f>
        <v>1027.0100910674</v>
      </c>
      <c r="E9" s="33">
        <f>$C$29*'E Balans VL '!I10/100/3.6*1000000</f>
        <v>0.10991837997627363</v>
      </c>
      <c r="F9" s="33">
        <f>$C$29*('E Balans VL '!L10+'E Balans VL '!N10)/100/3.6*1000000</f>
        <v>178.87010095214103</v>
      </c>
      <c r="G9" s="34"/>
      <c r="H9" s="33"/>
      <c r="I9" s="33"/>
      <c r="J9" s="33">
        <f>$C$29*('E Balans VL '!D10+'E Balans VL '!E10)/100/3.6*1000000</f>
        <v>0</v>
      </c>
      <c r="K9" s="33"/>
      <c r="L9" s="33"/>
      <c r="M9" s="33"/>
      <c r="N9" s="33">
        <f>$C$29*'E Balans VL '!Y10/100/3.6*1000000</f>
        <v>10.083971305022569</v>
      </c>
      <c r="O9" s="33"/>
      <c r="P9" s="33"/>
      <c r="R9" s="32"/>
    </row>
    <row r="10" spans="1:18">
      <c r="A10" s="32" t="s">
        <v>50</v>
      </c>
      <c r="B10" s="37">
        <f t="shared" si="0"/>
        <v>4229.4716748000001</v>
      </c>
      <c r="C10" s="33"/>
      <c r="D10" s="37">
        <f>IF(ISERROR(TER_ander_gas_kWh/1000),0,TER_ander_gas_kWh/1000)*0.902</f>
        <v>2873.2674460951998</v>
      </c>
      <c r="E10" s="33">
        <f>$C$30*'E Balans VL '!I14/100/3.6*1000000</f>
        <v>6.360130772706202</v>
      </c>
      <c r="F10" s="33">
        <f>$C$30*('E Balans VL '!L14+'E Balans VL '!N14)/100/3.6*1000000</f>
        <v>933.7310104809327</v>
      </c>
      <c r="G10" s="34"/>
      <c r="H10" s="33"/>
      <c r="I10" s="33"/>
      <c r="J10" s="33">
        <f>$C$30*('E Balans VL '!D14+'E Balans VL '!E14)/100/3.6*1000000</f>
        <v>0</v>
      </c>
      <c r="K10" s="33"/>
      <c r="L10" s="33"/>
      <c r="M10" s="33"/>
      <c r="N10" s="33">
        <f>$C$30*'E Balans VL '!Y14/100/3.6*1000000</f>
        <v>3333.1083124543925</v>
      </c>
      <c r="O10" s="33"/>
      <c r="P10" s="33"/>
      <c r="R10" s="32"/>
    </row>
    <row r="11" spans="1:18">
      <c r="A11" s="32" t="s">
        <v>55</v>
      </c>
      <c r="B11" s="37">
        <f t="shared" si="0"/>
        <v>916.88638989000003</v>
      </c>
      <c r="C11" s="33"/>
      <c r="D11" s="37">
        <f>IF(ISERROR(TER_onderwijs_gas_kWh/1000),0,TER_onderwijs_gas_kWh/1000)*0.902</f>
        <v>6872.5193671244006</v>
      </c>
      <c r="E11" s="33">
        <f>$C$31*'E Balans VL '!I11/100/3.6*1000000</f>
        <v>1.6147137674101728</v>
      </c>
      <c r="F11" s="33">
        <f>$C$31*('E Balans VL '!L11+'E Balans VL '!N11)/100/3.6*1000000</f>
        <v>423.34303724399768</v>
      </c>
      <c r="G11" s="34"/>
      <c r="H11" s="33"/>
      <c r="I11" s="33"/>
      <c r="J11" s="33">
        <f>$C$31*('E Balans VL '!D11+'E Balans VL '!E11)/100/3.6*1000000</f>
        <v>0</v>
      </c>
      <c r="K11" s="33"/>
      <c r="L11" s="33"/>
      <c r="M11" s="33"/>
      <c r="N11" s="33">
        <f>$C$31*'E Balans VL '!Y11/100/3.6*1000000</f>
        <v>1.708172023784059</v>
      </c>
      <c r="O11" s="33"/>
      <c r="P11" s="33"/>
      <c r="R11" s="32"/>
    </row>
    <row r="12" spans="1:18">
      <c r="A12" s="32" t="s">
        <v>260</v>
      </c>
      <c r="B12" s="37">
        <f t="shared" si="0"/>
        <v>6263.9101501000005</v>
      </c>
      <c r="C12" s="33"/>
      <c r="D12" s="37">
        <f>IF(ISERROR(TER_rest_gas_kWh/1000),0,TER_rest_gas_kWh/1000)*0.902</f>
        <v>9394.8341900380001</v>
      </c>
      <c r="E12" s="33">
        <f>$C$32*'E Balans VL '!I8/100/3.6*1000000</f>
        <v>110.28560676873329</v>
      </c>
      <c r="F12" s="33">
        <f>$C$32*('E Balans VL '!L8+'E Balans VL '!N8)/100/3.6*1000000</f>
        <v>1613.7794673146418</v>
      </c>
      <c r="G12" s="34"/>
      <c r="H12" s="33"/>
      <c r="I12" s="33"/>
      <c r="J12" s="33">
        <f>$C$32*('E Balans VL '!D8+'E Balans VL '!E8)/100/3.6*1000000</f>
        <v>0</v>
      </c>
      <c r="K12" s="33"/>
      <c r="L12" s="33"/>
      <c r="M12" s="33"/>
      <c r="N12" s="33">
        <f>$C$32*'E Balans VL '!Y8/100/3.6*1000000</f>
        <v>552.73969248804531</v>
      </c>
      <c r="O12" s="33"/>
      <c r="P12" s="33"/>
      <c r="R12" s="32"/>
    </row>
    <row r="13" spans="1:18">
      <c r="A13" s="16" t="s">
        <v>491</v>
      </c>
      <c r="B13" s="247">
        <f ca="1">'lokale energieproductie'!N91+'lokale energieproductie'!N60</f>
        <v>2187</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-6248.5714285714294</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48708.971625709994</v>
      </c>
      <c r="C16" s="21">
        <f t="shared" ca="1" si="1"/>
        <v>0</v>
      </c>
      <c r="D16" s="21">
        <f t="shared" ca="1" si="1"/>
        <v>45409.129017764601</v>
      </c>
      <c r="E16" s="21">
        <f t="shared" si="1"/>
        <v>1051.6142666426549</v>
      </c>
      <c r="F16" s="21">
        <f t="shared" ca="1" si="1"/>
        <v>11486.004861881664</v>
      </c>
      <c r="G16" s="21">
        <f t="shared" si="1"/>
        <v>0</v>
      </c>
      <c r="H16" s="21">
        <f t="shared" si="1"/>
        <v>0</v>
      </c>
      <c r="I16" s="21">
        <f t="shared" si="1"/>
        <v>0</v>
      </c>
      <c r="J16" s="21">
        <f t="shared" si="1"/>
        <v>0</v>
      </c>
      <c r="K16" s="21">
        <f t="shared" si="1"/>
        <v>0</v>
      </c>
      <c r="L16" s="21">
        <f t="shared" ca="1" si="1"/>
        <v>0</v>
      </c>
      <c r="M16" s="21">
        <f t="shared" si="1"/>
        <v>0</v>
      </c>
      <c r="N16" s="21">
        <f t="shared" ca="1" si="1"/>
        <v>0</v>
      </c>
      <c r="O16" s="21">
        <f>O5</f>
        <v>3.1266666666666669</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0.20575117005633356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10021.927904230582</v>
      </c>
      <c r="C20" s="23">
        <f t="shared" ref="C20:P20" ca="1" si="2">C16*C18</f>
        <v>0</v>
      </c>
      <c r="D20" s="23">
        <f t="shared" ca="1" si="2"/>
        <v>9172.6440615884494</v>
      </c>
      <c r="E20" s="23">
        <f t="shared" si="2"/>
        <v>238.71643852788267</v>
      </c>
      <c r="F20" s="23">
        <f t="shared" ca="1" si="2"/>
        <v>3066.7632981224042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8402.8102129999988</v>
      </c>
      <c r="C26" s="39">
        <f>IF(ISERROR(B26*3.6/1000000/'E Balans VL '!Z12*100),0,B26*3.6/1000000/'E Balans VL '!Z12*100)</f>
        <v>0.17999472265152153</v>
      </c>
      <c r="D26" s="237" t="s">
        <v>660</v>
      </c>
      <c r="F26" s="6"/>
    </row>
    <row r="27" spans="1:18">
      <c r="A27" s="231" t="s">
        <v>53</v>
      </c>
      <c r="B27" s="33">
        <f>IF(ISERROR(TER_horeca_ele_kWh/1000),0,TER_horeca_ele_kWh/1000)</f>
        <v>4805.6659896000001</v>
      </c>
      <c r="C27" s="39">
        <f>IF(ISERROR(B27*3.6/1000000/'E Balans VL '!Z9*100),0,B27*3.6/1000000/'E Balans VL '!Z9*100)</f>
        <v>0.38563799134092397</v>
      </c>
      <c r="D27" s="237" t="s">
        <v>660</v>
      </c>
      <c r="F27" s="6"/>
    </row>
    <row r="28" spans="1:18">
      <c r="A28" s="171" t="s">
        <v>52</v>
      </c>
      <c r="B28" s="33">
        <f>IF(ISERROR(TER_handel_ele_kWh/1000),0,TER_handel_ele_kWh/1000)</f>
        <v>21044.686083999997</v>
      </c>
      <c r="C28" s="39">
        <f>IF(ISERROR(B28*3.6/1000000/'E Balans VL '!Z13*100),0,B28*3.6/1000000/'E Balans VL '!Z13*100)</f>
        <v>0.62069753197325339</v>
      </c>
      <c r="D28" s="237" t="s">
        <v>660</v>
      </c>
      <c r="F28" s="6"/>
    </row>
    <row r="29" spans="1:18">
      <c r="A29" s="231" t="s">
        <v>51</v>
      </c>
      <c r="B29" s="33">
        <f>IF(ISERROR(TER_gezond_ele_kWh/1000),0,TER_gezond_ele_kWh/1000)</f>
        <v>858.54112431999999</v>
      </c>
      <c r="C29" s="39">
        <f>IF(ISERROR(B29*3.6/1000000/'E Balans VL '!Z10*100),0,B29*3.6/1000000/'E Balans VL '!Z10*100)</f>
        <v>9.166917372665194E-2</v>
      </c>
      <c r="D29" s="237" t="s">
        <v>660</v>
      </c>
      <c r="F29" s="6"/>
    </row>
    <row r="30" spans="1:18">
      <c r="A30" s="231" t="s">
        <v>50</v>
      </c>
      <c r="B30" s="33">
        <f>IF(ISERROR(TER_ander_ele_kWh/1000),0,TER_ander_ele_kWh/1000)</f>
        <v>4229.4716748000001</v>
      </c>
      <c r="C30" s="39">
        <f>IF(ISERROR(B30*3.6/1000000/'E Balans VL '!Z14*100),0,B30*3.6/1000000/'E Balans VL '!Z14*100)</f>
        <v>0.31946860406298067</v>
      </c>
      <c r="D30" s="237" t="s">
        <v>660</v>
      </c>
      <c r="F30" s="6"/>
    </row>
    <row r="31" spans="1:18">
      <c r="A31" s="231" t="s">
        <v>55</v>
      </c>
      <c r="B31" s="33">
        <f>IF(ISERROR(TER_onderwijs_ele_kWh/1000),0,TER_onderwijs_ele_kWh/1000)</f>
        <v>916.88638989000003</v>
      </c>
      <c r="C31" s="39">
        <f>IF(ISERROR(B31*3.6/1000000/'E Balans VL '!Z11*100),0,B31*3.6/1000000/'E Balans VL '!Z11*100)</f>
        <v>0.18514997015108495</v>
      </c>
      <c r="D31" s="237" t="s">
        <v>660</v>
      </c>
    </row>
    <row r="32" spans="1:18">
      <c r="A32" s="231" t="s">
        <v>260</v>
      </c>
      <c r="B32" s="33">
        <f>IF(ISERROR(TER_rest_ele_kWh/1000),0,TER_rest_ele_kWh/1000)</f>
        <v>6263.9101501000005</v>
      </c>
      <c r="C32" s="39">
        <f>IF(ISERROR(B32*3.6/1000000/'E Balans VL '!Z8*100),0,B32*3.6/1000000/'E Balans VL '!Z8*100)</f>
        <v>5.1936537576288341E-2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3</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47587.914250089998</v>
      </c>
      <c r="C5" s="17">
        <f>IF(ISERROR('Eigen informatie GS &amp; warmtenet'!B59),0,'Eigen informatie GS &amp; warmtenet'!B59)</f>
        <v>0</v>
      </c>
      <c r="D5" s="30">
        <f>SUM(D6:D15)</f>
        <v>51103.957953815145</v>
      </c>
      <c r="E5" s="17">
        <f>SUM(E6:E15)</f>
        <v>2603.6855421048467</v>
      </c>
      <c r="F5" s="17">
        <f>SUM(F6:F15)</f>
        <v>12708.791979877215</v>
      </c>
      <c r="G5" s="18"/>
      <c r="H5" s="17"/>
      <c r="I5" s="17"/>
      <c r="J5" s="17">
        <f>SUM(J6:J15)</f>
        <v>235.68168664307495</v>
      </c>
      <c r="K5" s="17"/>
      <c r="L5" s="17"/>
      <c r="M5" s="17"/>
      <c r="N5" s="17">
        <f>SUM(N6:N15)</f>
        <v>12338.420374333429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2796.2504531999998</v>
      </c>
      <c r="C8" s="33"/>
      <c r="D8" s="37">
        <f>IF( ISERROR(IND_metaal_Gas_kWH/1000),0,IND_metaal_Gas_kWH/1000)*0.902</f>
        <v>416.33507083234002</v>
      </c>
      <c r="E8" s="33">
        <f>C30*'E Balans VL '!I18/100/3.6*1000000</f>
        <v>100.61755053719133</v>
      </c>
      <c r="F8" s="33">
        <f>C30*'E Balans VL '!L18/100/3.6*1000000+C30*'E Balans VL '!N18/100/3.6*1000000</f>
        <v>1221.0319282251974</v>
      </c>
      <c r="G8" s="34"/>
      <c r="H8" s="33"/>
      <c r="I8" s="33"/>
      <c r="J8" s="40">
        <f>C30*'E Balans VL '!D18/100/3.6*1000000+C30*'E Balans VL '!E18/100/3.6*1000000</f>
        <v>0</v>
      </c>
      <c r="K8" s="33"/>
      <c r="L8" s="33"/>
      <c r="M8" s="33"/>
      <c r="N8" s="33">
        <f>C30*'E Balans VL '!Y18/100/3.6*1000000</f>
        <v>140.14617246085092</v>
      </c>
      <c r="O8" s="33"/>
      <c r="P8" s="33"/>
      <c r="R8" s="32"/>
    </row>
    <row r="9" spans="1:18">
      <c r="A9" s="6" t="s">
        <v>33</v>
      </c>
      <c r="B9" s="37">
        <f t="shared" si="0"/>
        <v>2625.7556850000001</v>
      </c>
      <c r="C9" s="33"/>
      <c r="D9" s="37">
        <f>IF( ISERROR(IND_andere_gas_kWh/1000),0,IND_andere_gas_kWh/1000)*0.902</f>
        <v>1663.2201672548001</v>
      </c>
      <c r="E9" s="33">
        <f>C31*'E Balans VL '!I19/100/3.6*1000000</f>
        <v>670.03344142563174</v>
      </c>
      <c r="F9" s="33">
        <f>C31*'E Balans VL '!L19/100/3.6*1000000+C31*'E Balans VL '!N19/100/3.6*1000000</f>
        <v>2260.5782853150381</v>
      </c>
      <c r="G9" s="34"/>
      <c r="H9" s="33"/>
      <c r="I9" s="33"/>
      <c r="J9" s="40">
        <f>C31*'E Balans VL '!D19/100/3.6*1000000+C31*'E Balans VL '!E19/100/3.6*1000000</f>
        <v>0</v>
      </c>
      <c r="K9" s="33"/>
      <c r="L9" s="33"/>
      <c r="M9" s="33"/>
      <c r="N9" s="33">
        <f>C31*'E Balans VL '!Y19/100/3.6*1000000</f>
        <v>821.16372544029002</v>
      </c>
      <c r="O9" s="33"/>
      <c r="P9" s="33"/>
      <c r="R9" s="32"/>
    </row>
    <row r="10" spans="1:18">
      <c r="A10" s="6" t="s">
        <v>41</v>
      </c>
      <c r="B10" s="37">
        <f t="shared" si="0"/>
        <v>14652.816362</v>
      </c>
      <c r="C10" s="33"/>
      <c r="D10" s="37">
        <f>IF( ISERROR(IND_voed_gas_kWh/1000),0,IND_voed_gas_kWh/1000)*0.902</f>
        <v>25491.128049024002</v>
      </c>
      <c r="E10" s="33">
        <f>C32*'E Balans VL '!I20/100/3.6*1000000</f>
        <v>372.49471188770224</v>
      </c>
      <c r="F10" s="33">
        <f>C32*'E Balans VL '!L20/100/3.6*1000000+C32*'E Balans VL '!N20/100/3.6*1000000</f>
        <v>3315.7123849778391</v>
      </c>
      <c r="G10" s="34"/>
      <c r="H10" s="33"/>
      <c r="I10" s="33"/>
      <c r="J10" s="40">
        <f>C32*'E Balans VL '!D20/100/3.6*1000000+C32*'E Balans VL '!E20/100/3.6*1000000</f>
        <v>0</v>
      </c>
      <c r="K10" s="33"/>
      <c r="L10" s="33"/>
      <c r="M10" s="33"/>
      <c r="N10" s="33">
        <f>C32*'E Balans VL '!Y20/100/3.6*1000000</f>
        <v>5495.2033159600433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563.82544541000004</v>
      </c>
      <c r="C12" s="33"/>
      <c r="D12" s="37">
        <f>IF( ISERROR(IND_min_gas_kWh/1000),0,IND_min_gas_kWh/1000)*0.902</f>
        <v>0</v>
      </c>
      <c r="E12" s="33">
        <f>C34*'E Balans VL '!I22/100/3.6*1000000</f>
        <v>11.979877643105844</v>
      </c>
      <c r="F12" s="33">
        <f>C34*'E Balans VL '!L22/100/3.6*1000000+C34*'E Balans VL '!N22/100/3.6*1000000</f>
        <v>91.992926394689263</v>
      </c>
      <c r="G12" s="34"/>
      <c r="H12" s="33"/>
      <c r="I12" s="33"/>
      <c r="J12" s="40">
        <f>C34*'E Balans VL '!D22/100/3.6*1000000+C34*'E Balans VL '!E22/100/3.6*1000000</f>
        <v>0.65690926038186637</v>
      </c>
      <c r="K12" s="33"/>
      <c r="L12" s="33"/>
      <c r="M12" s="33"/>
      <c r="N12" s="33">
        <f>C34*'E Balans VL '!Y22/100/3.6*1000000</f>
        <v>0</v>
      </c>
      <c r="O12" s="33"/>
      <c r="P12" s="33"/>
      <c r="R12" s="32"/>
    </row>
    <row r="13" spans="1:18">
      <c r="A13" s="6" t="s">
        <v>39</v>
      </c>
      <c r="B13" s="37">
        <f t="shared" si="0"/>
        <v>281.18104347999997</v>
      </c>
      <c r="C13" s="33"/>
      <c r="D13" s="37">
        <f>IF( ISERROR(IND_papier_gas_kWh/1000),0,IND_papier_gas_kWh/1000)*0.902</f>
        <v>0</v>
      </c>
      <c r="E13" s="33">
        <f>C35*'E Balans VL '!I23/100/3.6*1000000</f>
        <v>1.2059036949197681</v>
      </c>
      <c r="F13" s="33">
        <f>C35*'E Balans VL '!L23/100/3.6*1000000+C35*'E Balans VL '!N23/100/3.6*1000000</f>
        <v>7.0669523530533045</v>
      </c>
      <c r="G13" s="34"/>
      <c r="H13" s="33"/>
      <c r="I13" s="33"/>
      <c r="J13" s="40">
        <f>C35*'E Balans VL '!D23/100/3.6*1000000+C35*'E Balans VL '!E23/100/3.6*1000000</f>
        <v>18.823528646402984</v>
      </c>
      <c r="K13" s="33"/>
      <c r="L13" s="33"/>
      <c r="M13" s="33"/>
      <c r="N13" s="33">
        <f>C35*'E Balans VL '!Y23/100/3.6*1000000</f>
        <v>511.81636653688918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26668.085261</v>
      </c>
      <c r="C15" s="33"/>
      <c r="D15" s="37">
        <f>IF( ISERROR(IND_rest_gas_kWh/1000),0,IND_rest_gas_kWh/1000)*0.902</f>
        <v>23533.274666703997</v>
      </c>
      <c r="E15" s="33">
        <f>C37*'E Balans VL '!I15/100/3.6*1000000</f>
        <v>1447.3540569162956</v>
      </c>
      <c r="F15" s="33">
        <f>C37*'E Balans VL '!L15/100/3.6*1000000+C37*'E Balans VL '!N15/100/3.6*1000000</f>
        <v>5812.4095026113973</v>
      </c>
      <c r="G15" s="34"/>
      <c r="H15" s="33"/>
      <c r="I15" s="33"/>
      <c r="J15" s="40">
        <f>C37*'E Balans VL '!D15/100/3.6*1000000+C37*'E Balans VL '!E15/100/3.6*1000000</f>
        <v>216.2012487362901</v>
      </c>
      <c r="K15" s="33"/>
      <c r="L15" s="33"/>
      <c r="M15" s="33"/>
      <c r="N15" s="33">
        <f>C37*'E Balans VL '!Y15/100/3.6*1000000</f>
        <v>5370.0907939353556</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47587.914250089998</v>
      </c>
      <c r="C18" s="21">
        <f>C5+C16</f>
        <v>0</v>
      </c>
      <c r="D18" s="21">
        <f>MAX((D5+D16),0)</f>
        <v>51103.957953815145</v>
      </c>
      <c r="E18" s="21">
        <f>MAX((E5+E16),0)</f>
        <v>2603.6855421048467</v>
      </c>
      <c r="F18" s="21">
        <f>MAX((F5+F16),0)</f>
        <v>12708.791979877215</v>
      </c>
      <c r="G18" s="21"/>
      <c r="H18" s="21"/>
      <c r="I18" s="21"/>
      <c r="J18" s="21">
        <f>MAX((J5+J16),0)</f>
        <v>235.68168664307495</v>
      </c>
      <c r="K18" s="21"/>
      <c r="L18" s="21">
        <f>MAX((L5+L16),0)</f>
        <v>0</v>
      </c>
      <c r="M18" s="21"/>
      <c r="N18" s="21">
        <f>MAX((N5+N16),0)</f>
        <v>12338.420374333429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0.20575117005633356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9791.2690374964859</v>
      </c>
      <c r="C22" s="23">
        <f ca="1">C18*C20</f>
        <v>0</v>
      </c>
      <c r="D22" s="23">
        <f>D18*D20</f>
        <v>10322.99950667066</v>
      </c>
      <c r="E22" s="23">
        <f>E18*E20</f>
        <v>591.03661805780018</v>
      </c>
      <c r="F22" s="23">
        <f>F18*F20</f>
        <v>3393.2474586272165</v>
      </c>
      <c r="G22" s="23"/>
      <c r="H22" s="23"/>
      <c r="I22" s="23"/>
      <c r="J22" s="23">
        <f>J18*J20</f>
        <v>83.431317071648536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2796.2504531999998</v>
      </c>
      <c r="C30" s="39">
        <f>IF(ISERROR(B30*3.6/1000000/'E Balans VL '!Z18*100),0,B30*3.6/1000000/'E Balans VL '!Z18*100)</f>
        <v>0.5924655210033789</v>
      </c>
      <c r="D30" s="237" t="s">
        <v>660</v>
      </c>
    </row>
    <row r="31" spans="1:18">
      <c r="A31" s="6" t="s">
        <v>33</v>
      </c>
      <c r="B31" s="37">
        <f>IF( ISERROR(IND_ander_ele_kWh/1000),0,IND_ander_ele_kWh/1000)</f>
        <v>2625.7556850000001</v>
      </c>
      <c r="C31" s="39">
        <f>IF(ISERROR(B31*3.6/1000000/'E Balans VL '!Z19*100),0,B31*3.6/1000000/'E Balans VL '!Z19*100)</f>
        <v>0.11052401899354011</v>
      </c>
      <c r="D31" s="237" t="s">
        <v>660</v>
      </c>
    </row>
    <row r="32" spans="1:18">
      <c r="A32" s="171" t="s">
        <v>41</v>
      </c>
      <c r="B32" s="37">
        <f>IF( ISERROR(IND_voed_ele_kWh/1000),0,IND_voed_ele_kWh/1000)</f>
        <v>14652.816362</v>
      </c>
      <c r="C32" s="39">
        <f>IF(ISERROR(B32*3.6/1000000/'E Balans VL '!Z20*100),0,B32*3.6/1000000/'E Balans VL '!Z20*100)</f>
        <v>2.4479187584870807</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563.82544541000004</v>
      </c>
      <c r="C34" s="39">
        <f>IF(ISERROR(B34*3.6/1000000/'E Balans VL '!Z22*100),0,B34*3.6/1000000/'E Balans VL '!Z22*100)</f>
        <v>7.1467915907363996E-2</v>
      </c>
      <c r="D34" s="237" t="s">
        <v>660</v>
      </c>
    </row>
    <row r="35" spans="1:5">
      <c r="A35" s="171" t="s">
        <v>39</v>
      </c>
      <c r="B35" s="37">
        <f>IF( ISERROR(IND_papier_ele_kWh/1000),0,IND_papier_ele_kWh/1000)</f>
        <v>281.18104347999997</v>
      </c>
      <c r="C35" s="39">
        <f>IF(ISERROR(B35*3.6/1000000/'E Balans VL '!Z22*100),0,B35*3.6/1000000/'E Balans VL '!Z22*100)</f>
        <v>3.5641213665978833E-2</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26668.085261</v>
      </c>
      <c r="C37" s="39">
        <f>IF(ISERROR(B37*3.6/1000000/'E Balans VL '!Z15*100),0,B37*3.6/1000000/'E Balans VL '!Z15*100)</f>
        <v>0.21530177866796166</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1253.5347558600001</v>
      </c>
      <c r="C5" s="17">
        <f>'Eigen informatie GS &amp; warmtenet'!B60</f>
        <v>0</v>
      </c>
      <c r="D5" s="30">
        <f>IF(ISERROR(SUM(LB_lb_gas_kWh,LB_rest_gas_kWh)/1000),0,SUM(LB_lb_gas_kWh,LB_rest_gas_kWh)/1000)*0.902</f>
        <v>343.35808974343797</v>
      </c>
      <c r="E5" s="17">
        <f>B17*'E Balans VL '!I25/3.6*1000000/100</f>
        <v>32.323848336622696</v>
      </c>
      <c r="F5" s="17">
        <f>B17*('E Balans VL '!L25/3.6*1000000+'E Balans VL '!N25/3.6*1000000)/100</f>
        <v>4581.9082567660207</v>
      </c>
      <c r="G5" s="18"/>
      <c r="H5" s="17"/>
      <c r="I5" s="17"/>
      <c r="J5" s="17">
        <f>('E Balans VL '!D25+'E Balans VL '!E25)/3.6*1000000*landbouw!B17/100</f>
        <v>180.46289149064577</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1253.5347558600001</v>
      </c>
      <c r="C8" s="21">
        <f>C5+C6</f>
        <v>0</v>
      </c>
      <c r="D8" s="21">
        <f>MAX((D5+D6),0)</f>
        <v>343.35808974343797</v>
      </c>
      <c r="E8" s="21">
        <f>MAX((E5+E6),0)</f>
        <v>32.323848336622696</v>
      </c>
      <c r="F8" s="21">
        <f>MAX((F5+F6),0)</f>
        <v>4581.9082567660207</v>
      </c>
      <c r="G8" s="21"/>
      <c r="H8" s="21"/>
      <c r="I8" s="21"/>
      <c r="J8" s="21">
        <f>MAX((J5+J6),0)</f>
        <v>180.46289149064577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0.20575117005633356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257.91624272447547</v>
      </c>
      <c r="C12" s="23">
        <f ca="1">C8*C10</f>
        <v>0</v>
      </c>
      <c r="D12" s="23">
        <f>D8*D10</f>
        <v>69.358334128174477</v>
      </c>
      <c r="E12" s="23">
        <f>E8*E10</f>
        <v>7.3375135724133518</v>
      </c>
      <c r="F12" s="23">
        <f>F8*F10</f>
        <v>1223.3695045565275</v>
      </c>
      <c r="G12" s="23"/>
      <c r="H12" s="23"/>
      <c r="I12" s="23"/>
      <c r="J12" s="23">
        <f>J8*J10</f>
        <v>63.883863587688602</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0.17675670380430064</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588.90742264525636</v>
      </c>
      <c r="C26" s="247">
        <f>B26*'GWP N2O_CH4'!B5</f>
        <v>12367.055875550384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91.230496122479693</v>
      </c>
      <c r="C27" s="247">
        <f>B27*'GWP N2O_CH4'!B5</f>
        <v>1915.8404185720735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7.6306937227946818</v>
      </c>
      <c r="C28" s="247">
        <f>B28*'GWP N2O_CH4'!B4</f>
        <v>2365.5150540663512</v>
      </c>
      <c r="D28" s="50"/>
    </row>
    <row r="29" spans="1:4">
      <c r="A29" s="41" t="s">
        <v>277</v>
      </c>
      <c r="B29" s="247">
        <f>B34*'ha_N2O bodem landbouw'!B4</f>
        <v>25.777564740057844</v>
      </c>
      <c r="C29" s="247">
        <f>B29*'GWP N2O_CH4'!B4</f>
        <v>7991.0450694179317</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5.8013528601292283E-3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1.6723196319257116E-4</v>
      </c>
      <c r="C5" s="463" t="s">
        <v>211</v>
      </c>
      <c r="D5" s="448">
        <f>SUM(D6:D11)</f>
        <v>4.0192166461687208E-4</v>
      </c>
      <c r="E5" s="448">
        <f>SUM(E6:E11)</f>
        <v>1.5343758109921351E-3</v>
      </c>
      <c r="F5" s="461" t="s">
        <v>211</v>
      </c>
      <c r="G5" s="448">
        <f>SUM(G6:G11)</f>
        <v>0.58412250441518299</v>
      </c>
      <c r="H5" s="448">
        <f>SUM(H6:H11)</f>
        <v>0.10757123158902036</v>
      </c>
      <c r="I5" s="463" t="s">
        <v>211</v>
      </c>
      <c r="J5" s="463" t="s">
        <v>211</v>
      </c>
      <c r="K5" s="463" t="s">
        <v>211</v>
      </c>
      <c r="L5" s="463" t="s">
        <v>211</v>
      </c>
      <c r="M5" s="448">
        <f>SUM(M6:M11)</f>
        <v>2.1625554975786748E-2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1.2176054290024418E-4</v>
      </c>
      <c r="C6" s="449"/>
      <c r="D6" s="892">
        <f>vkm_2011_GW_PW*SUMIFS(TableVerdeelsleutelVkm[CNG],TableVerdeelsleutelVkm[Voertuigtype],"Lichte voertuigen")*SUMIFS(TableECFTransport[EnergieConsumptieFactor (PJ per km)],TableECFTransport[Index],CONCATENATE($A6,"_CNG_CNG"))</f>
        <v>2.4194033156553092E-4</v>
      </c>
      <c r="E6" s="892">
        <f>vkm_2011_GW_PW*SUMIFS(TableVerdeelsleutelVkm[LPG],TableVerdeelsleutelVkm[Voertuigtype],"Lichte voertuigen")*SUMIFS(TableECFTransport[EnergieConsumptieFactor (PJ per km)],TableECFTransport[Index],CONCATENATE($A6,"_LPG_LPG"))</f>
        <v>9.5212193381762913E-4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0.22638192665328596</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6.5500526368749548E-2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9.0953267643645516E-3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0.19761293611990277</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6.3837419108413494E-5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6.226481254314277E-3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4.5471420292326995E-5</v>
      </c>
      <c r="C8" s="449"/>
      <c r="D8" s="451">
        <f>vkm_2011_NGW_PW*SUMIFS(TableVerdeelsleutelVkm[CNG],TableVerdeelsleutelVkm[Voertuigtype],"Lichte voertuigen")*SUMIFS(TableECFTransport[EnergieConsumptieFactor (PJ per km)],TableECFTransport[Index],CONCATENATE($A8,"_CNG_CNG"))</f>
        <v>1.5998133305134116E-4</v>
      </c>
      <c r="E8" s="451">
        <f>vkm_2011_NGW_PW*SUMIFS(TableVerdeelsleutelVkm[LPG],TableVerdeelsleutelVkm[Voertuigtype],"Lichte voertuigen")*SUMIFS(TableECFTransport[EnergieConsumptieFactor (PJ per km)],TableECFTransport[Index],CONCATENATE($A8,"_LPG_LPG"))</f>
        <v>5.8225387717450612E-4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0.12927672848514074</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4.1997442585604838E-2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5.3316981125290566E-3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3.0850913156853461E-2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9.4252155575615977E-6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9.720488445788605E-4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46.453323109047545</v>
      </c>
      <c r="C14" s="21"/>
      <c r="D14" s="21">
        <f t="shared" ref="D14:M14" si="0">((D5)*10^9/3600)+D12</f>
        <v>111.64490683802002</v>
      </c>
      <c r="E14" s="21">
        <f t="shared" si="0"/>
        <v>426.21550305337087</v>
      </c>
      <c r="F14" s="21"/>
      <c r="G14" s="21">
        <f t="shared" si="0"/>
        <v>162256.25122643969</v>
      </c>
      <c r="H14" s="21">
        <f t="shared" si="0"/>
        <v>29880.897663616764</v>
      </c>
      <c r="I14" s="21"/>
      <c r="J14" s="21"/>
      <c r="K14" s="21"/>
      <c r="L14" s="21"/>
      <c r="M14" s="21">
        <f t="shared" si="0"/>
        <v>6007.0986043852081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0.20575117005633356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9.5578255826914518</v>
      </c>
      <c r="C18" s="23"/>
      <c r="D18" s="23">
        <f t="shared" ref="D18:M18" si="1">D14*D16</f>
        <v>22.552271181280044</v>
      </c>
      <c r="E18" s="23">
        <f t="shared" si="1"/>
        <v>96.750919193115195</v>
      </c>
      <c r="F18" s="23"/>
      <c r="G18" s="23">
        <f t="shared" si="1"/>
        <v>43322.419077459403</v>
      </c>
      <c r="H18" s="23">
        <f t="shared" si="1"/>
        <v>7440.3435182405747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1.0520984787832175E-2</v>
      </c>
      <c r="H50" s="321">
        <f t="shared" si="2"/>
        <v>0</v>
      </c>
      <c r="I50" s="321">
        <f t="shared" si="2"/>
        <v>0</v>
      </c>
      <c r="J50" s="321">
        <f t="shared" si="2"/>
        <v>0</v>
      </c>
      <c r="K50" s="321">
        <f t="shared" si="2"/>
        <v>0</v>
      </c>
      <c r="L50" s="321">
        <f t="shared" si="2"/>
        <v>0</v>
      </c>
      <c r="M50" s="321">
        <f t="shared" si="2"/>
        <v>3.2633741075983723E-4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1.0520984787832175E-2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3.2633741075983723E-4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2922.4957743978262</v>
      </c>
      <c r="H54" s="21">
        <f t="shared" si="3"/>
        <v>0</v>
      </c>
      <c r="I54" s="21">
        <f t="shared" si="3"/>
        <v>0</v>
      </c>
      <c r="J54" s="21">
        <f t="shared" si="3"/>
        <v>0</v>
      </c>
      <c r="K54" s="21">
        <f t="shared" si="3"/>
        <v>0</v>
      </c>
      <c r="L54" s="21">
        <f t="shared" si="3"/>
        <v>0</v>
      </c>
      <c r="M54" s="21">
        <f t="shared" si="3"/>
        <v>90.649280766621459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0.20575117005633356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780.30637176421965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51271.855625709992</v>
      </c>
      <c r="D10" s="1012">
        <f ca="1">tertiair!C16</f>
        <v>0</v>
      </c>
      <c r="E10" s="1012">
        <f ca="1">tertiair!D16</f>
        <v>45409.129017764601</v>
      </c>
      <c r="F10" s="1012">
        <f>tertiair!E16</f>
        <v>1051.6142666426549</v>
      </c>
      <c r="G10" s="1012">
        <f ca="1">tertiair!F16</f>
        <v>11486.004861881664</v>
      </c>
      <c r="H10" s="1012">
        <f>tertiair!G16</f>
        <v>0</v>
      </c>
      <c r="I10" s="1012">
        <f>tertiair!H16</f>
        <v>0</v>
      </c>
      <c r="J10" s="1012">
        <f>tertiair!I16</f>
        <v>0</v>
      </c>
      <c r="K10" s="1012">
        <f>tertiair!J16</f>
        <v>0</v>
      </c>
      <c r="L10" s="1012">
        <f>tertiair!K16</f>
        <v>0</v>
      </c>
      <c r="M10" s="1012">
        <f ca="1">tertiair!L16</f>
        <v>0</v>
      </c>
      <c r="N10" s="1012">
        <f>tertiair!M16</f>
        <v>0</v>
      </c>
      <c r="O10" s="1012">
        <f ca="1">tertiair!N16</f>
        <v>0</v>
      </c>
      <c r="P10" s="1012">
        <f>tertiair!O16</f>
        <v>3.1266666666666669</v>
      </c>
      <c r="Q10" s="1013">
        <f>tertiair!P16</f>
        <v>57.2</v>
      </c>
      <c r="R10" s="700">
        <f ca="1">SUM(C10:Q10)</f>
        <v>109278.93043866559</v>
      </c>
      <c r="S10" s="67"/>
    </row>
    <row r="11" spans="1:19" s="473" customFormat="1">
      <c r="A11" s="809" t="s">
        <v>225</v>
      </c>
      <c r="B11" s="814"/>
      <c r="C11" s="1012">
        <f>huishoudens!B8</f>
        <v>68071.316851173804</v>
      </c>
      <c r="D11" s="1012">
        <f>huishoudens!C8</f>
        <v>0</v>
      </c>
      <c r="E11" s="1012">
        <f>huishoudens!D8</f>
        <v>107141.48301890001</v>
      </c>
      <c r="F11" s="1012">
        <f>huishoudens!E8</f>
        <v>10561.577287247772</v>
      </c>
      <c r="G11" s="1012">
        <f>huishoudens!F8</f>
        <v>81524.308424382645</v>
      </c>
      <c r="H11" s="1012">
        <f>huishoudens!G8</f>
        <v>0</v>
      </c>
      <c r="I11" s="1012">
        <f>huishoudens!H8</f>
        <v>0</v>
      </c>
      <c r="J11" s="1012">
        <f>huishoudens!I8</f>
        <v>0</v>
      </c>
      <c r="K11" s="1012">
        <f>huishoudens!J8</f>
        <v>3278.0900348056571</v>
      </c>
      <c r="L11" s="1012">
        <f>huishoudens!K8</f>
        <v>0</v>
      </c>
      <c r="M11" s="1012">
        <f>huishoudens!L8</f>
        <v>0</v>
      </c>
      <c r="N11" s="1012">
        <f>huishoudens!M8</f>
        <v>0</v>
      </c>
      <c r="O11" s="1012">
        <f>huishoudens!N8</f>
        <v>33665.247690353317</v>
      </c>
      <c r="P11" s="1012">
        <f>huishoudens!O8</f>
        <v>368.94666666666672</v>
      </c>
      <c r="Q11" s="1013">
        <f>huishoudens!P8</f>
        <v>1353.7333333333333</v>
      </c>
      <c r="R11" s="700">
        <f>SUM(C11:Q11)</f>
        <v>305964.7033068632</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47587.914250089998</v>
      </c>
      <c r="D13" s="1012">
        <f>industrie!C18</f>
        <v>0</v>
      </c>
      <c r="E13" s="1012">
        <f>industrie!D18</f>
        <v>51103.957953815145</v>
      </c>
      <c r="F13" s="1012">
        <f>industrie!E18</f>
        <v>2603.6855421048467</v>
      </c>
      <c r="G13" s="1012">
        <f>industrie!F18</f>
        <v>12708.791979877215</v>
      </c>
      <c r="H13" s="1012">
        <f>industrie!G18</f>
        <v>0</v>
      </c>
      <c r="I13" s="1012">
        <f>industrie!H18</f>
        <v>0</v>
      </c>
      <c r="J13" s="1012">
        <f>industrie!I18</f>
        <v>0</v>
      </c>
      <c r="K13" s="1012">
        <f>industrie!J18</f>
        <v>235.68168664307495</v>
      </c>
      <c r="L13" s="1012">
        <f>industrie!K18</f>
        <v>0</v>
      </c>
      <c r="M13" s="1012">
        <f>industrie!L18</f>
        <v>0</v>
      </c>
      <c r="N13" s="1012">
        <f>industrie!M18</f>
        <v>0</v>
      </c>
      <c r="O13" s="1012">
        <f>industrie!N18</f>
        <v>12338.420374333429</v>
      </c>
      <c r="P13" s="1012">
        <f>industrie!O18</f>
        <v>0</v>
      </c>
      <c r="Q13" s="1013">
        <f>industrie!P18</f>
        <v>0</v>
      </c>
      <c r="R13" s="700">
        <f>SUM(C13:Q13)</f>
        <v>126578.4517868637</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166931.08672697379</v>
      </c>
      <c r="D16" s="732">
        <f t="shared" ref="D16:R16" ca="1" si="0">SUM(D9:D15)</f>
        <v>0</v>
      </c>
      <c r="E16" s="732">
        <f t="shared" ca="1" si="0"/>
        <v>203654.56999047977</v>
      </c>
      <c r="F16" s="732">
        <f t="shared" si="0"/>
        <v>14216.877095995274</v>
      </c>
      <c r="G16" s="732">
        <f t="shared" ca="1" si="0"/>
        <v>105719.10526614153</v>
      </c>
      <c r="H16" s="732">
        <f t="shared" si="0"/>
        <v>0</v>
      </c>
      <c r="I16" s="732">
        <f t="shared" si="0"/>
        <v>0</v>
      </c>
      <c r="J16" s="732">
        <f t="shared" si="0"/>
        <v>0</v>
      </c>
      <c r="K16" s="732">
        <f t="shared" si="0"/>
        <v>3513.771721448732</v>
      </c>
      <c r="L16" s="732">
        <f t="shared" si="0"/>
        <v>0</v>
      </c>
      <c r="M16" s="732">
        <f t="shared" ca="1" si="0"/>
        <v>0</v>
      </c>
      <c r="N16" s="732">
        <f t="shared" si="0"/>
        <v>0</v>
      </c>
      <c r="O16" s="732">
        <f t="shared" ca="1" si="0"/>
        <v>46003.668064686746</v>
      </c>
      <c r="P16" s="732">
        <f t="shared" si="0"/>
        <v>372.07333333333338</v>
      </c>
      <c r="Q16" s="732">
        <f t="shared" si="0"/>
        <v>1410.9333333333334</v>
      </c>
      <c r="R16" s="732">
        <f t="shared" ca="1" si="0"/>
        <v>541822.08553239249</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2922.4957743978262</v>
      </c>
      <c r="I19" s="1012">
        <f>transport!H54</f>
        <v>0</v>
      </c>
      <c r="J19" s="1012">
        <f>transport!I54</f>
        <v>0</v>
      </c>
      <c r="K19" s="1012">
        <f>transport!J54</f>
        <v>0</v>
      </c>
      <c r="L19" s="1012">
        <f>transport!K54</f>
        <v>0</v>
      </c>
      <c r="M19" s="1012">
        <f>transport!L54</f>
        <v>0</v>
      </c>
      <c r="N19" s="1012">
        <f>transport!M54</f>
        <v>90.649280766621459</v>
      </c>
      <c r="O19" s="1012">
        <f>transport!N54</f>
        <v>0</v>
      </c>
      <c r="P19" s="1012">
        <f>transport!O54</f>
        <v>0</v>
      </c>
      <c r="Q19" s="1013">
        <f>transport!P54</f>
        <v>0</v>
      </c>
      <c r="R19" s="700">
        <f>SUM(C19:Q19)</f>
        <v>3013.1450551644475</v>
      </c>
      <c r="S19" s="67"/>
    </row>
    <row r="20" spans="1:19" s="473" customFormat="1">
      <c r="A20" s="809" t="s">
        <v>307</v>
      </c>
      <c r="B20" s="814"/>
      <c r="C20" s="1012">
        <f>transport!B14</f>
        <v>46.453323109047545</v>
      </c>
      <c r="D20" s="1012">
        <f>transport!C14</f>
        <v>0</v>
      </c>
      <c r="E20" s="1012">
        <f>transport!D14</f>
        <v>111.64490683802002</v>
      </c>
      <c r="F20" s="1012">
        <f>transport!E14</f>
        <v>426.21550305337087</v>
      </c>
      <c r="G20" s="1012">
        <f>transport!F14</f>
        <v>0</v>
      </c>
      <c r="H20" s="1012">
        <f>transport!G14</f>
        <v>162256.25122643969</v>
      </c>
      <c r="I20" s="1012">
        <f>transport!H14</f>
        <v>29880.897663616764</v>
      </c>
      <c r="J20" s="1012">
        <f>transport!I14</f>
        <v>0</v>
      </c>
      <c r="K20" s="1012">
        <f>transport!J14</f>
        <v>0</v>
      </c>
      <c r="L20" s="1012">
        <f>transport!K14</f>
        <v>0</v>
      </c>
      <c r="M20" s="1012">
        <f>transport!L14</f>
        <v>0</v>
      </c>
      <c r="N20" s="1012">
        <f>transport!M14</f>
        <v>6007.0986043852081</v>
      </c>
      <c r="O20" s="1012">
        <f>transport!N14</f>
        <v>0</v>
      </c>
      <c r="P20" s="1012">
        <f>transport!O14</f>
        <v>0</v>
      </c>
      <c r="Q20" s="1013">
        <f>transport!P14</f>
        <v>0</v>
      </c>
      <c r="R20" s="700">
        <f>SUM(C20:Q20)</f>
        <v>198728.56122744211</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46.453323109047545</v>
      </c>
      <c r="D22" s="812">
        <f t="shared" ref="D22:R22" si="1">SUM(D18:D21)</f>
        <v>0</v>
      </c>
      <c r="E22" s="812">
        <f t="shared" si="1"/>
        <v>111.64490683802002</v>
      </c>
      <c r="F22" s="812">
        <f t="shared" si="1"/>
        <v>426.21550305337087</v>
      </c>
      <c r="G22" s="812">
        <f t="shared" si="1"/>
        <v>0</v>
      </c>
      <c r="H22" s="812">
        <f t="shared" si="1"/>
        <v>165178.74700083752</v>
      </c>
      <c r="I22" s="812">
        <f t="shared" si="1"/>
        <v>29880.897663616764</v>
      </c>
      <c r="J22" s="812">
        <f t="shared" si="1"/>
        <v>0</v>
      </c>
      <c r="K22" s="812">
        <f t="shared" si="1"/>
        <v>0</v>
      </c>
      <c r="L22" s="812">
        <f t="shared" si="1"/>
        <v>0</v>
      </c>
      <c r="M22" s="812">
        <f t="shared" si="1"/>
        <v>0</v>
      </c>
      <c r="N22" s="812">
        <f t="shared" si="1"/>
        <v>6097.7478851518299</v>
      </c>
      <c r="O22" s="812">
        <f t="shared" si="1"/>
        <v>0</v>
      </c>
      <c r="P22" s="812">
        <f t="shared" si="1"/>
        <v>0</v>
      </c>
      <c r="Q22" s="812">
        <f t="shared" si="1"/>
        <v>0</v>
      </c>
      <c r="R22" s="812">
        <f t="shared" si="1"/>
        <v>201741.70628260655</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1253.5347558600001</v>
      </c>
      <c r="D24" s="1012">
        <f>+landbouw!C8</f>
        <v>0</v>
      </c>
      <c r="E24" s="1012">
        <f>+landbouw!D8</f>
        <v>343.35808974343797</v>
      </c>
      <c r="F24" s="1012">
        <f>+landbouw!E8</f>
        <v>32.323848336622696</v>
      </c>
      <c r="G24" s="1012">
        <f>+landbouw!F8</f>
        <v>4581.9082567660207</v>
      </c>
      <c r="H24" s="1012">
        <f>+landbouw!G8</f>
        <v>0</v>
      </c>
      <c r="I24" s="1012">
        <f>+landbouw!H8</f>
        <v>0</v>
      </c>
      <c r="J24" s="1012">
        <f>+landbouw!I8</f>
        <v>0</v>
      </c>
      <c r="K24" s="1012">
        <f>+landbouw!J8</f>
        <v>180.46289149064577</v>
      </c>
      <c r="L24" s="1012">
        <f>+landbouw!K8</f>
        <v>0</v>
      </c>
      <c r="M24" s="1012">
        <f>+landbouw!L8</f>
        <v>0</v>
      </c>
      <c r="N24" s="1012">
        <f>+landbouw!M8</f>
        <v>0</v>
      </c>
      <c r="O24" s="1012">
        <f>+landbouw!N8</f>
        <v>0</v>
      </c>
      <c r="P24" s="1012">
        <f>+landbouw!O8</f>
        <v>0</v>
      </c>
      <c r="Q24" s="1013">
        <f>+landbouw!P8</f>
        <v>0</v>
      </c>
      <c r="R24" s="700">
        <f>SUM(C24:Q24)</f>
        <v>6391.5878421967282</v>
      </c>
      <c r="S24" s="67"/>
    </row>
    <row r="25" spans="1:19" s="473" customFormat="1" ht="15" thickBot="1">
      <c r="A25" s="831" t="s">
        <v>848</v>
      </c>
      <c r="B25" s="1015"/>
      <c r="C25" s="1016">
        <f>IF(Onbekend_ele_kWh="---",0,Onbekend_ele_kWh)/1000+IF(REST_rest_ele_kWh="---",0,REST_rest_ele_kWh)/1000</f>
        <v>2503.5818413000002</v>
      </c>
      <c r="D25" s="1016"/>
      <c r="E25" s="1016">
        <f>IF(onbekend_gas_kWh="---",0,onbekend_gas_kWh)/1000+IF(REST_rest_gas_kWh="---",0,REST_rest_gas_kWh)/1000</f>
        <v>4506.5377604999994</v>
      </c>
      <c r="F25" s="1016"/>
      <c r="G25" s="1016"/>
      <c r="H25" s="1016"/>
      <c r="I25" s="1016"/>
      <c r="J25" s="1016"/>
      <c r="K25" s="1016"/>
      <c r="L25" s="1016"/>
      <c r="M25" s="1016"/>
      <c r="N25" s="1016"/>
      <c r="O25" s="1016"/>
      <c r="P25" s="1016"/>
      <c r="Q25" s="1017"/>
      <c r="R25" s="700">
        <f>SUM(C25:Q25)</f>
        <v>7010.1196017999991</v>
      </c>
      <c r="S25" s="67"/>
    </row>
    <row r="26" spans="1:19" s="473" customFormat="1" ht="15.75" thickBot="1">
      <c r="A26" s="705" t="s">
        <v>849</v>
      </c>
      <c r="B26" s="817"/>
      <c r="C26" s="812">
        <f>SUM(C24:C25)</f>
        <v>3757.1165971600003</v>
      </c>
      <c r="D26" s="812">
        <f t="shared" ref="D26:R26" si="2">SUM(D24:D25)</f>
        <v>0</v>
      </c>
      <c r="E26" s="812">
        <f t="shared" si="2"/>
        <v>4849.8958502434371</v>
      </c>
      <c r="F26" s="812">
        <f t="shared" si="2"/>
        <v>32.323848336622696</v>
      </c>
      <c r="G26" s="812">
        <f t="shared" si="2"/>
        <v>4581.9082567660207</v>
      </c>
      <c r="H26" s="812">
        <f t="shared" si="2"/>
        <v>0</v>
      </c>
      <c r="I26" s="812">
        <f t="shared" si="2"/>
        <v>0</v>
      </c>
      <c r="J26" s="812">
        <f t="shared" si="2"/>
        <v>0</v>
      </c>
      <c r="K26" s="812">
        <f t="shared" si="2"/>
        <v>180.46289149064577</v>
      </c>
      <c r="L26" s="812">
        <f t="shared" si="2"/>
        <v>0</v>
      </c>
      <c r="M26" s="812">
        <f t="shared" si="2"/>
        <v>0</v>
      </c>
      <c r="N26" s="812">
        <f t="shared" si="2"/>
        <v>0</v>
      </c>
      <c r="O26" s="812">
        <f t="shared" si="2"/>
        <v>0</v>
      </c>
      <c r="P26" s="812">
        <f t="shared" si="2"/>
        <v>0</v>
      </c>
      <c r="Q26" s="812">
        <f t="shared" si="2"/>
        <v>0</v>
      </c>
      <c r="R26" s="812">
        <f t="shared" si="2"/>
        <v>13401.707443996727</v>
      </c>
      <c r="S26" s="67"/>
    </row>
    <row r="27" spans="1:19" s="473" customFormat="1" ht="17.25" thickTop="1" thickBot="1">
      <c r="A27" s="706" t="s">
        <v>116</v>
      </c>
      <c r="B27" s="805"/>
      <c r="C27" s="707">
        <f ca="1">C22+C16+C26</f>
        <v>170734.65664724284</v>
      </c>
      <c r="D27" s="707">
        <f t="shared" ref="D27:R27" ca="1" si="3">D22+D16+D26</f>
        <v>0</v>
      </c>
      <c r="E27" s="707">
        <f t="shared" ca="1" si="3"/>
        <v>208616.11074756121</v>
      </c>
      <c r="F27" s="707">
        <f t="shared" si="3"/>
        <v>14675.416447385267</v>
      </c>
      <c r="G27" s="707">
        <f t="shared" ca="1" si="3"/>
        <v>110301.01352290755</v>
      </c>
      <c r="H27" s="707">
        <f t="shared" si="3"/>
        <v>165178.74700083752</v>
      </c>
      <c r="I27" s="707">
        <f t="shared" si="3"/>
        <v>29880.897663616764</v>
      </c>
      <c r="J27" s="707">
        <f t="shared" si="3"/>
        <v>0</v>
      </c>
      <c r="K27" s="707">
        <f t="shared" si="3"/>
        <v>3694.2346129393777</v>
      </c>
      <c r="L27" s="707">
        <f t="shared" si="3"/>
        <v>0</v>
      </c>
      <c r="M27" s="707">
        <f t="shared" ca="1" si="3"/>
        <v>0</v>
      </c>
      <c r="N27" s="707">
        <f t="shared" si="3"/>
        <v>6097.7478851518299</v>
      </c>
      <c r="O27" s="707">
        <f t="shared" ca="1" si="3"/>
        <v>46003.668064686746</v>
      </c>
      <c r="P27" s="707">
        <f t="shared" si="3"/>
        <v>372.07333333333338</v>
      </c>
      <c r="Q27" s="707">
        <f t="shared" si="3"/>
        <v>1410.9333333333334</v>
      </c>
      <c r="R27" s="707">
        <f t="shared" ca="1" si="3"/>
        <v>756965.49925899575</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10549.244285949238</v>
      </c>
      <c r="D40" s="1012">
        <f ca="1">tertiair!C20</f>
        <v>0</v>
      </c>
      <c r="E40" s="1012">
        <f ca="1">tertiair!D20</f>
        <v>9172.6440615884494</v>
      </c>
      <c r="F40" s="1012">
        <f>tertiair!E20</f>
        <v>238.71643852788267</v>
      </c>
      <c r="G40" s="1012">
        <f ca="1">tertiair!F20</f>
        <v>3066.7632981224042</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23027.368084187972</v>
      </c>
    </row>
    <row r="41" spans="1:18">
      <c r="A41" s="822" t="s">
        <v>225</v>
      </c>
      <c r="B41" s="829"/>
      <c r="C41" s="1012">
        <f ca="1">huishoudens!B12</f>
        <v>14005.753089404425</v>
      </c>
      <c r="D41" s="1012">
        <f ca="1">huishoudens!C12</f>
        <v>0</v>
      </c>
      <c r="E41" s="1012">
        <f>huishoudens!D12</f>
        <v>21642.579569817801</v>
      </c>
      <c r="F41" s="1012">
        <f>huishoudens!E12</f>
        <v>2397.4780442052443</v>
      </c>
      <c r="G41" s="1012">
        <f>huishoudens!F12</f>
        <v>21766.990349310166</v>
      </c>
      <c r="H41" s="1012">
        <f>huishoudens!G12</f>
        <v>0</v>
      </c>
      <c r="I41" s="1012">
        <f>huishoudens!H12</f>
        <v>0</v>
      </c>
      <c r="J41" s="1012">
        <f>huishoudens!I12</f>
        <v>0</v>
      </c>
      <c r="K41" s="1012">
        <f>huishoudens!J12</f>
        <v>1160.4438723212024</v>
      </c>
      <c r="L41" s="1012">
        <f>huishoudens!K12</f>
        <v>0</v>
      </c>
      <c r="M41" s="1012">
        <f>huishoudens!L12</f>
        <v>0</v>
      </c>
      <c r="N41" s="1012">
        <f>huishoudens!M12</f>
        <v>0</v>
      </c>
      <c r="O41" s="1012">
        <f>huishoudens!N12</f>
        <v>0</v>
      </c>
      <c r="P41" s="1012">
        <f>huishoudens!O12</f>
        <v>0</v>
      </c>
      <c r="Q41" s="774">
        <f>huishoudens!P12</f>
        <v>0</v>
      </c>
      <c r="R41" s="850">
        <f t="shared" ca="1" si="4"/>
        <v>60973.24492505884</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9791.2690374964859</v>
      </c>
      <c r="D43" s="1012">
        <f ca="1">industrie!C22</f>
        <v>0</v>
      </c>
      <c r="E43" s="1012">
        <f>industrie!D22</f>
        <v>10322.99950667066</v>
      </c>
      <c r="F43" s="1012">
        <f>industrie!E22</f>
        <v>591.03661805780018</v>
      </c>
      <c r="G43" s="1012">
        <f>industrie!F22</f>
        <v>3393.2474586272165</v>
      </c>
      <c r="H43" s="1012">
        <f>industrie!G22</f>
        <v>0</v>
      </c>
      <c r="I43" s="1012">
        <f>industrie!H22</f>
        <v>0</v>
      </c>
      <c r="J43" s="1012">
        <f>industrie!I22</f>
        <v>0</v>
      </c>
      <c r="K43" s="1012">
        <f>industrie!J22</f>
        <v>83.431317071648536</v>
      </c>
      <c r="L43" s="1012">
        <f>industrie!K22</f>
        <v>0</v>
      </c>
      <c r="M43" s="1012">
        <f>industrie!L22</f>
        <v>0</v>
      </c>
      <c r="N43" s="1012">
        <f>industrie!M22</f>
        <v>0</v>
      </c>
      <c r="O43" s="1012">
        <f>industrie!N22</f>
        <v>0</v>
      </c>
      <c r="P43" s="1012">
        <f>industrie!O22</f>
        <v>0</v>
      </c>
      <c r="Q43" s="774">
        <f>industrie!P22</f>
        <v>0</v>
      </c>
      <c r="R43" s="849">
        <f t="shared" ca="1" si="4"/>
        <v>24181.983937923811</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34346.266412850149</v>
      </c>
      <c r="D46" s="732">
        <f t="shared" ref="D46:Q46" ca="1" si="5">SUM(D39:D45)</f>
        <v>0</v>
      </c>
      <c r="E46" s="732">
        <f t="shared" ca="1" si="5"/>
        <v>41138.223138076908</v>
      </c>
      <c r="F46" s="732">
        <f t="shared" si="5"/>
        <v>3227.231100790927</v>
      </c>
      <c r="G46" s="732">
        <f t="shared" ca="1" si="5"/>
        <v>28227.00110605979</v>
      </c>
      <c r="H46" s="732">
        <f t="shared" si="5"/>
        <v>0</v>
      </c>
      <c r="I46" s="732">
        <f t="shared" si="5"/>
        <v>0</v>
      </c>
      <c r="J46" s="732">
        <f t="shared" si="5"/>
        <v>0</v>
      </c>
      <c r="K46" s="732">
        <f t="shared" si="5"/>
        <v>1243.8751893928509</v>
      </c>
      <c r="L46" s="732">
        <f t="shared" si="5"/>
        <v>0</v>
      </c>
      <c r="M46" s="732">
        <f t="shared" ca="1" si="5"/>
        <v>0</v>
      </c>
      <c r="N46" s="732">
        <f t="shared" si="5"/>
        <v>0</v>
      </c>
      <c r="O46" s="732">
        <f t="shared" ca="1" si="5"/>
        <v>0</v>
      </c>
      <c r="P46" s="732">
        <f t="shared" si="5"/>
        <v>0</v>
      </c>
      <c r="Q46" s="732">
        <f t="shared" si="5"/>
        <v>0</v>
      </c>
      <c r="R46" s="732">
        <f ca="1">SUM(R39:R45)</f>
        <v>108182.59694717062</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780.30637176421965</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780.30637176421965</v>
      </c>
    </row>
    <row r="50" spans="1:18">
      <c r="A50" s="825" t="s">
        <v>307</v>
      </c>
      <c r="B50" s="835"/>
      <c r="C50" s="703">
        <f ca="1">transport!B18</f>
        <v>9.5578255826914518</v>
      </c>
      <c r="D50" s="703">
        <f>transport!C18</f>
        <v>0</v>
      </c>
      <c r="E50" s="703">
        <f>transport!D18</f>
        <v>22.552271181280044</v>
      </c>
      <c r="F50" s="703">
        <f>transport!E18</f>
        <v>96.750919193115195</v>
      </c>
      <c r="G50" s="703">
        <f>transport!F18</f>
        <v>0</v>
      </c>
      <c r="H50" s="703">
        <f>transport!G18</f>
        <v>43322.419077459403</v>
      </c>
      <c r="I50" s="703">
        <f>transport!H18</f>
        <v>7440.3435182405747</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50891.623611657065</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9.5578255826914518</v>
      </c>
      <c r="D52" s="732">
        <f t="shared" ref="D52:Q52" ca="1" si="6">SUM(D48:D51)</f>
        <v>0</v>
      </c>
      <c r="E52" s="732">
        <f t="shared" si="6"/>
        <v>22.552271181280044</v>
      </c>
      <c r="F52" s="732">
        <f t="shared" si="6"/>
        <v>96.750919193115195</v>
      </c>
      <c r="G52" s="732">
        <f t="shared" si="6"/>
        <v>0</v>
      </c>
      <c r="H52" s="732">
        <f t="shared" si="6"/>
        <v>44102.725449223624</v>
      </c>
      <c r="I52" s="732">
        <f t="shared" si="6"/>
        <v>7440.3435182405747</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51671.929983421287</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257.91624272447547</v>
      </c>
      <c r="D54" s="703">
        <f ca="1">+landbouw!C12</f>
        <v>0</v>
      </c>
      <c r="E54" s="703">
        <f>+landbouw!D12</f>
        <v>69.358334128174477</v>
      </c>
      <c r="F54" s="703">
        <f>+landbouw!E12</f>
        <v>7.3375135724133518</v>
      </c>
      <c r="G54" s="703">
        <f>+landbouw!F12</f>
        <v>1223.3695045565275</v>
      </c>
      <c r="H54" s="703">
        <f>+landbouw!G12</f>
        <v>0</v>
      </c>
      <c r="I54" s="703">
        <f>+landbouw!H12</f>
        <v>0</v>
      </c>
      <c r="J54" s="703">
        <f>+landbouw!I12</f>
        <v>0</v>
      </c>
      <c r="K54" s="703">
        <f>+landbouw!J12</f>
        <v>63.883863587688602</v>
      </c>
      <c r="L54" s="703">
        <f>+landbouw!K12</f>
        <v>0</v>
      </c>
      <c r="M54" s="703">
        <f>+landbouw!L12</f>
        <v>0</v>
      </c>
      <c r="N54" s="703">
        <f>+landbouw!M12</f>
        <v>0</v>
      </c>
      <c r="O54" s="703">
        <f>+landbouw!N12</f>
        <v>0</v>
      </c>
      <c r="P54" s="703">
        <f>+landbouw!O12</f>
        <v>0</v>
      </c>
      <c r="Q54" s="704">
        <f>+landbouw!P12</f>
        <v>0</v>
      </c>
      <c r="R54" s="731">
        <f ca="1">SUM(C54:Q54)</f>
        <v>1621.8654585692796</v>
      </c>
    </row>
    <row r="55" spans="1:18" ht="15" thickBot="1">
      <c r="A55" s="825" t="s">
        <v>848</v>
      </c>
      <c r="B55" s="835"/>
      <c r="C55" s="703">
        <f ca="1">C25*'EF ele_warmte'!B12</f>
        <v>515.11489317926498</v>
      </c>
      <c r="D55" s="703"/>
      <c r="E55" s="703">
        <f>E25*EF_CO2_aardgas</f>
        <v>910.32062762099997</v>
      </c>
      <c r="F55" s="703"/>
      <c r="G55" s="703"/>
      <c r="H55" s="703"/>
      <c r="I55" s="703"/>
      <c r="J55" s="703"/>
      <c r="K55" s="703"/>
      <c r="L55" s="703"/>
      <c r="M55" s="703"/>
      <c r="N55" s="703"/>
      <c r="O55" s="703"/>
      <c r="P55" s="703"/>
      <c r="Q55" s="704"/>
      <c r="R55" s="731">
        <f ca="1">SUM(C55:Q55)</f>
        <v>1425.4355208002648</v>
      </c>
    </row>
    <row r="56" spans="1:18" ht="15.75" thickBot="1">
      <c r="A56" s="823" t="s">
        <v>849</v>
      </c>
      <c r="B56" s="836"/>
      <c r="C56" s="732">
        <f ca="1">SUM(C54:C55)</f>
        <v>773.03113590374051</v>
      </c>
      <c r="D56" s="732">
        <f t="shared" ref="D56:Q56" ca="1" si="7">SUM(D54:D55)</f>
        <v>0</v>
      </c>
      <c r="E56" s="732">
        <f t="shared" si="7"/>
        <v>979.6789617491745</v>
      </c>
      <c r="F56" s="732">
        <f t="shared" si="7"/>
        <v>7.3375135724133518</v>
      </c>
      <c r="G56" s="732">
        <f t="shared" si="7"/>
        <v>1223.3695045565275</v>
      </c>
      <c r="H56" s="732">
        <f t="shared" si="7"/>
        <v>0</v>
      </c>
      <c r="I56" s="732">
        <f t="shared" si="7"/>
        <v>0</v>
      </c>
      <c r="J56" s="732">
        <f t="shared" si="7"/>
        <v>0</v>
      </c>
      <c r="K56" s="732">
        <f t="shared" si="7"/>
        <v>63.883863587688602</v>
      </c>
      <c r="L56" s="732">
        <f t="shared" si="7"/>
        <v>0</v>
      </c>
      <c r="M56" s="732">
        <f t="shared" si="7"/>
        <v>0</v>
      </c>
      <c r="N56" s="732">
        <f t="shared" si="7"/>
        <v>0</v>
      </c>
      <c r="O56" s="732">
        <f t="shared" si="7"/>
        <v>0</v>
      </c>
      <c r="P56" s="732">
        <f t="shared" si="7"/>
        <v>0</v>
      </c>
      <c r="Q56" s="733">
        <f t="shared" si="7"/>
        <v>0</v>
      </c>
      <c r="R56" s="734">
        <f ca="1">SUM(R54:R55)</f>
        <v>3047.3009793695446</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35128.855374336577</v>
      </c>
      <c r="D61" s="740">
        <f t="shared" ref="D61:Q61" ca="1" si="8">D46+D52+D56</f>
        <v>0</v>
      </c>
      <c r="E61" s="740">
        <f t="shared" ca="1" si="8"/>
        <v>42140.454371007363</v>
      </c>
      <c r="F61" s="740">
        <f t="shared" si="8"/>
        <v>3331.3195335564556</v>
      </c>
      <c r="G61" s="740">
        <f t="shared" ca="1" si="8"/>
        <v>29450.370610616319</v>
      </c>
      <c r="H61" s="740">
        <f t="shared" si="8"/>
        <v>44102.725449223624</v>
      </c>
      <c r="I61" s="740">
        <f t="shared" si="8"/>
        <v>7440.3435182405747</v>
      </c>
      <c r="J61" s="740">
        <f t="shared" si="8"/>
        <v>0</v>
      </c>
      <c r="K61" s="740">
        <f t="shared" si="8"/>
        <v>1307.7590529805395</v>
      </c>
      <c r="L61" s="740">
        <f t="shared" si="8"/>
        <v>0</v>
      </c>
      <c r="M61" s="740">
        <f t="shared" ca="1" si="8"/>
        <v>0</v>
      </c>
      <c r="N61" s="740">
        <f t="shared" si="8"/>
        <v>0</v>
      </c>
      <c r="O61" s="740">
        <f t="shared" ca="1" si="8"/>
        <v>0</v>
      </c>
      <c r="P61" s="740">
        <f t="shared" si="8"/>
        <v>0</v>
      </c>
      <c r="Q61" s="740">
        <f t="shared" si="8"/>
        <v>0</v>
      </c>
      <c r="R61" s="740">
        <f ca="1">R46+R52+R56</f>
        <v>162901.82790996146</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0.20575117005633353</v>
      </c>
      <c r="D63" s="781">
        <f t="shared" ca="1" si="9"/>
        <v>0</v>
      </c>
      <c r="E63" s="1023">
        <f t="shared" ca="1" si="9"/>
        <v>0.20199999999999999</v>
      </c>
      <c r="F63" s="781">
        <f t="shared" si="9"/>
        <v>0.22700000000000001</v>
      </c>
      <c r="G63" s="781">
        <f t="shared" ca="1" si="9"/>
        <v>0.26700000000000002</v>
      </c>
      <c r="H63" s="781">
        <f t="shared" si="9"/>
        <v>0.26700000000000002</v>
      </c>
      <c r="I63" s="781">
        <f t="shared" si="9"/>
        <v>0.249</v>
      </c>
      <c r="J63" s="781">
        <f t="shared" si="9"/>
        <v>0</v>
      </c>
      <c r="K63" s="781">
        <f t="shared" si="9"/>
        <v>0.35399999999999993</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9593.5599307877164</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2187</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6248.5714285714294</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11780.559930787716</v>
      </c>
      <c r="C78" s="755">
        <f>SUM(C72:C77)</f>
        <v>0</v>
      </c>
      <c r="D78" s="756">
        <f t="shared" ref="D78:H78" si="10">SUM(D76:D77)</f>
        <v>0</v>
      </c>
      <c r="E78" s="756">
        <f t="shared" si="10"/>
        <v>0</v>
      </c>
      <c r="F78" s="756">
        <f t="shared" si="10"/>
        <v>0</v>
      </c>
      <c r="G78" s="756">
        <f t="shared" si="10"/>
        <v>0</v>
      </c>
      <c r="H78" s="756">
        <f t="shared" si="10"/>
        <v>0</v>
      </c>
      <c r="I78" s="756">
        <f>SUM(I76:I77)</f>
        <v>0</v>
      </c>
      <c r="J78" s="756">
        <f>SUM(J76:J77)</f>
        <v>6248.5714285714294</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9593.5599307877164</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2187</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6248.5714285714294</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11780.559930787716</v>
      </c>
      <c r="C10" s="583">
        <f t="shared" ref="C10:L10" si="0">SUM(C8:C9)</f>
        <v>0</v>
      </c>
      <c r="D10" s="583">
        <f t="shared" si="0"/>
        <v>0</v>
      </c>
      <c r="E10" s="583">
        <f t="shared" si="0"/>
        <v>0</v>
      </c>
      <c r="F10" s="583">
        <f t="shared" si="0"/>
        <v>0</v>
      </c>
      <c r="G10" s="583">
        <f t="shared" si="0"/>
        <v>0</v>
      </c>
      <c r="H10" s="583">
        <f t="shared" si="0"/>
        <v>0</v>
      </c>
      <c r="I10" s="583">
        <f t="shared" si="0"/>
        <v>0</v>
      </c>
      <c r="J10" s="583">
        <f t="shared" si="0"/>
        <v>6248.5714285714294</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63.75">
      <c r="A64" s="607"/>
      <c r="B64" s="796">
        <v>41048</v>
      </c>
      <c r="C64" s="796">
        <v>9400</v>
      </c>
      <c r="D64" s="655" t="s">
        <v>890</v>
      </c>
      <c r="E64" s="655" t="s">
        <v>891</v>
      </c>
      <c r="F64" s="655" t="s">
        <v>892</v>
      </c>
      <c r="G64" s="655" t="s">
        <v>893</v>
      </c>
      <c r="H64" s="655" t="s">
        <v>894</v>
      </c>
      <c r="I64" s="655" t="s">
        <v>895</v>
      </c>
      <c r="J64" s="795">
        <v>38826</v>
      </c>
      <c r="K64" s="795">
        <v>38930</v>
      </c>
      <c r="L64" s="655" t="s">
        <v>896</v>
      </c>
      <c r="M64" s="655">
        <v>486</v>
      </c>
      <c r="N64" s="655">
        <v>2187</v>
      </c>
      <c r="O64" s="655">
        <v>0</v>
      </c>
      <c r="P64" s="655">
        <v>0</v>
      </c>
      <c r="Q64" s="655">
        <v>0</v>
      </c>
      <c r="R64" s="655">
        <v>6248.5714285714294</v>
      </c>
      <c r="S64" s="655">
        <v>0</v>
      </c>
      <c r="T64" s="655">
        <v>0</v>
      </c>
      <c r="U64" s="655">
        <v>0</v>
      </c>
      <c r="V64" s="655">
        <v>0</v>
      </c>
      <c r="W64" s="655">
        <v>0</v>
      </c>
      <c r="X64" s="655">
        <v>1600</v>
      </c>
      <c r="Y64" s="655" t="s">
        <v>50</v>
      </c>
      <c r="Z64" s="656" t="s">
        <v>156</v>
      </c>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486</v>
      </c>
      <c r="N89" s="610">
        <f t="shared" ref="N89:W89" si="5">SUM(N64:N88)</f>
        <v>2187</v>
      </c>
      <c r="O89" s="610">
        <f t="shared" si="5"/>
        <v>0</v>
      </c>
      <c r="P89" s="610">
        <f t="shared" si="5"/>
        <v>0</v>
      </c>
      <c r="Q89" s="610">
        <f t="shared" si="5"/>
        <v>0</v>
      </c>
      <c r="R89" s="610">
        <f t="shared" si="5"/>
        <v>6248.5714285714294</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486</v>
      </c>
      <c r="N91" s="610">
        <f t="shared" si="7"/>
        <v>2187</v>
      </c>
      <c r="O91" s="610">
        <f t="shared" si="7"/>
        <v>0</v>
      </c>
      <c r="P91" s="610">
        <f t="shared" si="7"/>
        <v>0</v>
      </c>
      <c r="Q91" s="610">
        <f t="shared" si="7"/>
        <v>0</v>
      </c>
      <c r="R91" s="610">
        <f t="shared" si="7"/>
        <v>6248.5714285714294</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68071.316851173804</v>
      </c>
      <c r="C4" s="477">
        <f>huishoudens!C8</f>
        <v>0</v>
      </c>
      <c r="D4" s="477">
        <f>huishoudens!D8</f>
        <v>107141.48301890001</v>
      </c>
      <c r="E4" s="477">
        <f>huishoudens!E8</f>
        <v>10561.577287247772</v>
      </c>
      <c r="F4" s="477">
        <f>huishoudens!F8</f>
        <v>81524.308424382645</v>
      </c>
      <c r="G4" s="477">
        <f>huishoudens!G8</f>
        <v>0</v>
      </c>
      <c r="H4" s="477">
        <f>huishoudens!H8</f>
        <v>0</v>
      </c>
      <c r="I4" s="477">
        <f>huishoudens!I8</f>
        <v>0</v>
      </c>
      <c r="J4" s="477">
        <f>huishoudens!J8</f>
        <v>3278.0900348056571</v>
      </c>
      <c r="K4" s="477">
        <f>huishoudens!K8</f>
        <v>0</v>
      </c>
      <c r="L4" s="477">
        <f>huishoudens!L8</f>
        <v>0</v>
      </c>
      <c r="M4" s="477">
        <f>huishoudens!M8</f>
        <v>0</v>
      </c>
      <c r="N4" s="477">
        <f>huishoudens!N8</f>
        <v>33665.247690353317</v>
      </c>
      <c r="O4" s="477">
        <f>huishoudens!O8</f>
        <v>368.94666666666672</v>
      </c>
      <c r="P4" s="478">
        <f>huishoudens!P8</f>
        <v>1353.7333333333333</v>
      </c>
      <c r="Q4" s="479">
        <f>SUM(B4:P4)</f>
        <v>305964.7033068632</v>
      </c>
    </row>
    <row r="5" spans="1:17">
      <c r="A5" s="476" t="s">
        <v>156</v>
      </c>
      <c r="B5" s="477">
        <f ca="1">tertiair!B16</f>
        <v>48708.971625709994</v>
      </c>
      <c r="C5" s="477">
        <f ca="1">tertiair!C16</f>
        <v>0</v>
      </c>
      <c r="D5" s="477">
        <f ca="1">tertiair!D16</f>
        <v>45409.129017764601</v>
      </c>
      <c r="E5" s="477">
        <f>tertiair!E16</f>
        <v>1051.6142666426549</v>
      </c>
      <c r="F5" s="477">
        <f ca="1">tertiair!F16</f>
        <v>11486.004861881664</v>
      </c>
      <c r="G5" s="477">
        <f>tertiair!G16</f>
        <v>0</v>
      </c>
      <c r="H5" s="477">
        <f>tertiair!H16</f>
        <v>0</v>
      </c>
      <c r="I5" s="477">
        <f>tertiair!I16</f>
        <v>0</v>
      </c>
      <c r="J5" s="477">
        <f>tertiair!J16</f>
        <v>0</v>
      </c>
      <c r="K5" s="477">
        <f>tertiair!K16</f>
        <v>0</v>
      </c>
      <c r="L5" s="477">
        <f ca="1">tertiair!L16</f>
        <v>0</v>
      </c>
      <c r="M5" s="477">
        <f>tertiair!M16</f>
        <v>0</v>
      </c>
      <c r="N5" s="477">
        <f ca="1">tertiair!N16</f>
        <v>0</v>
      </c>
      <c r="O5" s="477">
        <f>tertiair!O16</f>
        <v>3.1266666666666669</v>
      </c>
      <c r="P5" s="478">
        <f>tertiair!P16</f>
        <v>57.2</v>
      </c>
      <c r="Q5" s="476">
        <f t="shared" ref="Q5:Q14" ca="1" si="0">SUM(B5:P5)</f>
        <v>106716.04643866558</v>
      </c>
    </row>
    <row r="6" spans="1:17">
      <c r="A6" s="476" t="s">
        <v>194</v>
      </c>
      <c r="B6" s="477">
        <f>'openbare verlichting'!B8</f>
        <v>2562.884</v>
      </c>
      <c r="C6" s="477"/>
      <c r="D6" s="477"/>
      <c r="E6" s="477"/>
      <c r="F6" s="477"/>
      <c r="G6" s="477"/>
      <c r="H6" s="477"/>
      <c r="I6" s="477"/>
      <c r="J6" s="477"/>
      <c r="K6" s="477"/>
      <c r="L6" s="477"/>
      <c r="M6" s="477"/>
      <c r="N6" s="477"/>
      <c r="O6" s="477"/>
      <c r="P6" s="478"/>
      <c r="Q6" s="476">
        <f t="shared" si="0"/>
        <v>2562.884</v>
      </c>
    </row>
    <row r="7" spans="1:17">
      <c r="A7" s="476" t="s">
        <v>112</v>
      </c>
      <c r="B7" s="477">
        <f>landbouw!B8</f>
        <v>1253.5347558600001</v>
      </c>
      <c r="C7" s="477">
        <f>landbouw!C8</f>
        <v>0</v>
      </c>
      <c r="D7" s="477">
        <f>landbouw!D8</f>
        <v>343.35808974343797</v>
      </c>
      <c r="E7" s="477">
        <f>landbouw!E8</f>
        <v>32.323848336622696</v>
      </c>
      <c r="F7" s="477">
        <f>landbouw!F8</f>
        <v>4581.9082567660207</v>
      </c>
      <c r="G7" s="477">
        <f>landbouw!G8</f>
        <v>0</v>
      </c>
      <c r="H7" s="477">
        <f>landbouw!H8</f>
        <v>0</v>
      </c>
      <c r="I7" s="477">
        <f>landbouw!I8</f>
        <v>0</v>
      </c>
      <c r="J7" s="477">
        <f>landbouw!J8</f>
        <v>180.46289149064577</v>
      </c>
      <c r="K7" s="477">
        <f>landbouw!K8</f>
        <v>0</v>
      </c>
      <c r="L7" s="477">
        <f>landbouw!L8</f>
        <v>0</v>
      </c>
      <c r="M7" s="477">
        <f>landbouw!M8</f>
        <v>0</v>
      </c>
      <c r="N7" s="477">
        <f>landbouw!N8</f>
        <v>0</v>
      </c>
      <c r="O7" s="477">
        <f>landbouw!O8</f>
        <v>0</v>
      </c>
      <c r="P7" s="478">
        <f>landbouw!P8</f>
        <v>0</v>
      </c>
      <c r="Q7" s="476">
        <f t="shared" si="0"/>
        <v>6391.5878421967282</v>
      </c>
    </row>
    <row r="8" spans="1:17">
      <c r="A8" s="476" t="s">
        <v>638</v>
      </c>
      <c r="B8" s="477">
        <f>industrie!B18</f>
        <v>47587.914250089998</v>
      </c>
      <c r="C8" s="477">
        <f>industrie!C18</f>
        <v>0</v>
      </c>
      <c r="D8" s="477">
        <f>industrie!D18</f>
        <v>51103.957953815145</v>
      </c>
      <c r="E8" s="477">
        <f>industrie!E18</f>
        <v>2603.6855421048467</v>
      </c>
      <c r="F8" s="477">
        <f>industrie!F18</f>
        <v>12708.791979877215</v>
      </c>
      <c r="G8" s="477">
        <f>industrie!G18</f>
        <v>0</v>
      </c>
      <c r="H8" s="477">
        <f>industrie!H18</f>
        <v>0</v>
      </c>
      <c r="I8" s="477">
        <f>industrie!I18</f>
        <v>0</v>
      </c>
      <c r="J8" s="477">
        <f>industrie!J18</f>
        <v>235.68168664307495</v>
      </c>
      <c r="K8" s="477">
        <f>industrie!K18</f>
        <v>0</v>
      </c>
      <c r="L8" s="477">
        <f>industrie!L18</f>
        <v>0</v>
      </c>
      <c r="M8" s="477">
        <f>industrie!M18</f>
        <v>0</v>
      </c>
      <c r="N8" s="477">
        <f>industrie!N18</f>
        <v>12338.420374333429</v>
      </c>
      <c r="O8" s="477">
        <f>industrie!O18</f>
        <v>0</v>
      </c>
      <c r="P8" s="478">
        <f>industrie!P18</f>
        <v>0</v>
      </c>
      <c r="Q8" s="476">
        <f t="shared" si="0"/>
        <v>126578.4517868637</v>
      </c>
    </row>
    <row r="9" spans="1:17" s="482" customFormat="1">
      <c r="A9" s="480" t="s">
        <v>564</v>
      </c>
      <c r="B9" s="481">
        <f>transport!B14</f>
        <v>46.453323109047545</v>
      </c>
      <c r="C9" s="481">
        <f>transport!C14</f>
        <v>0</v>
      </c>
      <c r="D9" s="481">
        <f>transport!D14</f>
        <v>111.64490683802002</v>
      </c>
      <c r="E9" s="481">
        <f>transport!E14</f>
        <v>426.21550305337087</v>
      </c>
      <c r="F9" s="481">
        <f>transport!F14</f>
        <v>0</v>
      </c>
      <c r="G9" s="481">
        <f>transport!G14</f>
        <v>162256.25122643969</v>
      </c>
      <c r="H9" s="481">
        <f>transport!H14</f>
        <v>29880.897663616764</v>
      </c>
      <c r="I9" s="481">
        <f>transport!I14</f>
        <v>0</v>
      </c>
      <c r="J9" s="481">
        <f>transport!J14</f>
        <v>0</v>
      </c>
      <c r="K9" s="481">
        <f>transport!K14</f>
        <v>0</v>
      </c>
      <c r="L9" s="481">
        <f>transport!L14</f>
        <v>0</v>
      </c>
      <c r="M9" s="481">
        <f>transport!M14</f>
        <v>6007.0986043852081</v>
      </c>
      <c r="N9" s="481">
        <f>transport!N14</f>
        <v>0</v>
      </c>
      <c r="O9" s="481">
        <f>transport!O14</f>
        <v>0</v>
      </c>
      <c r="P9" s="481">
        <f>transport!P14</f>
        <v>0</v>
      </c>
      <c r="Q9" s="480">
        <f>SUM(B9:P9)</f>
        <v>198728.56122744211</v>
      </c>
    </row>
    <row r="10" spans="1:17">
      <c r="A10" s="476" t="s">
        <v>554</v>
      </c>
      <c r="B10" s="477">
        <f>transport!B54</f>
        <v>0</v>
      </c>
      <c r="C10" s="477">
        <f>transport!C54</f>
        <v>0</v>
      </c>
      <c r="D10" s="477">
        <f>transport!D54</f>
        <v>0</v>
      </c>
      <c r="E10" s="477">
        <f>transport!E54</f>
        <v>0</v>
      </c>
      <c r="F10" s="477">
        <f>transport!F54</f>
        <v>0</v>
      </c>
      <c r="G10" s="477">
        <f>transport!G54</f>
        <v>2922.4957743978262</v>
      </c>
      <c r="H10" s="477">
        <f>transport!H54</f>
        <v>0</v>
      </c>
      <c r="I10" s="477">
        <f>transport!I54</f>
        <v>0</v>
      </c>
      <c r="J10" s="477">
        <f>transport!J54</f>
        <v>0</v>
      </c>
      <c r="K10" s="477">
        <f>transport!K54</f>
        <v>0</v>
      </c>
      <c r="L10" s="477">
        <f>transport!L54</f>
        <v>0</v>
      </c>
      <c r="M10" s="477">
        <f>transport!M54</f>
        <v>90.649280766621459</v>
      </c>
      <c r="N10" s="477">
        <f>transport!N54</f>
        <v>0</v>
      </c>
      <c r="O10" s="477">
        <f>transport!O54</f>
        <v>0</v>
      </c>
      <c r="P10" s="478">
        <f>transport!P54</f>
        <v>0</v>
      </c>
      <c r="Q10" s="476">
        <f t="shared" si="0"/>
        <v>3013.1450551644475</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2503.5818413000002</v>
      </c>
      <c r="C14" s="484"/>
      <c r="D14" s="484">
        <f>'SEAP template'!E25</f>
        <v>4506.5377604999994</v>
      </c>
      <c r="E14" s="484"/>
      <c r="F14" s="484"/>
      <c r="G14" s="484"/>
      <c r="H14" s="484"/>
      <c r="I14" s="484"/>
      <c r="J14" s="484"/>
      <c r="K14" s="484"/>
      <c r="L14" s="484"/>
      <c r="M14" s="484"/>
      <c r="N14" s="484"/>
      <c r="O14" s="484"/>
      <c r="P14" s="485"/>
      <c r="Q14" s="476">
        <f t="shared" si="0"/>
        <v>7010.1196017999991</v>
      </c>
    </row>
    <row r="15" spans="1:17" s="486" customFormat="1">
      <c r="A15" s="1038" t="s">
        <v>558</v>
      </c>
      <c r="B15" s="978">
        <f ca="1">SUM(B4:B14)</f>
        <v>170734.65664724287</v>
      </c>
      <c r="C15" s="978">
        <f t="shared" ref="C15:Q15" ca="1" si="1">SUM(C4:C14)</f>
        <v>0</v>
      </c>
      <c r="D15" s="978">
        <f t="shared" ca="1" si="1"/>
        <v>208616.11074756124</v>
      </c>
      <c r="E15" s="978">
        <f t="shared" si="1"/>
        <v>14675.416447385267</v>
      </c>
      <c r="F15" s="978">
        <f t="shared" ca="1" si="1"/>
        <v>110301.01352290755</v>
      </c>
      <c r="G15" s="978">
        <f t="shared" si="1"/>
        <v>165178.74700083752</v>
      </c>
      <c r="H15" s="978">
        <f t="shared" si="1"/>
        <v>29880.897663616764</v>
      </c>
      <c r="I15" s="978">
        <f t="shared" si="1"/>
        <v>0</v>
      </c>
      <c r="J15" s="978">
        <f t="shared" si="1"/>
        <v>3694.2346129393777</v>
      </c>
      <c r="K15" s="978">
        <f t="shared" si="1"/>
        <v>0</v>
      </c>
      <c r="L15" s="978">
        <f t="shared" ca="1" si="1"/>
        <v>0</v>
      </c>
      <c r="M15" s="978">
        <f t="shared" si="1"/>
        <v>6097.7478851518299</v>
      </c>
      <c r="N15" s="978">
        <f t="shared" ca="1" si="1"/>
        <v>46003.668064686746</v>
      </c>
      <c r="O15" s="978">
        <f t="shared" si="1"/>
        <v>372.07333333333338</v>
      </c>
      <c r="P15" s="978">
        <f t="shared" si="1"/>
        <v>1410.9333333333334</v>
      </c>
      <c r="Q15" s="978">
        <f t="shared" ca="1" si="1"/>
        <v>756965.49925899587</v>
      </c>
    </row>
    <row r="17" spans="1:17">
      <c r="A17" s="487" t="s">
        <v>559</v>
      </c>
      <c r="B17" s="786">
        <f ca="1">huishoudens!B10</f>
        <v>0.20575117005633356</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14005.753089404425</v>
      </c>
      <c r="C22" s="477">
        <f t="shared" ref="C22:C32" ca="1" si="3">C4*$C$17</f>
        <v>0</v>
      </c>
      <c r="D22" s="477">
        <f t="shared" ref="D22:D32" si="4">D4*$D$17</f>
        <v>21642.579569817801</v>
      </c>
      <c r="E22" s="477">
        <f t="shared" ref="E22:E32" si="5">E4*$E$17</f>
        <v>2397.4780442052443</v>
      </c>
      <c r="F22" s="477">
        <f t="shared" ref="F22:F32" si="6">F4*$F$17</f>
        <v>21766.990349310166</v>
      </c>
      <c r="G22" s="477">
        <f t="shared" ref="G22:G32" si="7">G4*$G$17</f>
        <v>0</v>
      </c>
      <c r="H22" s="477">
        <f t="shared" ref="H22:H32" si="8">H4*$H$17</f>
        <v>0</v>
      </c>
      <c r="I22" s="477">
        <f t="shared" ref="I22:I32" si="9">I4*$I$17</f>
        <v>0</v>
      </c>
      <c r="J22" s="477">
        <f t="shared" ref="J22:J32" si="10">J4*$J$17</f>
        <v>1160.4438723212024</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60973.24492505884</v>
      </c>
    </row>
    <row r="23" spans="1:17">
      <c r="A23" s="476" t="s">
        <v>156</v>
      </c>
      <c r="B23" s="477">
        <f t="shared" ca="1" si="2"/>
        <v>10021.927904230582</v>
      </c>
      <c r="C23" s="477">
        <f t="shared" ca="1" si="3"/>
        <v>0</v>
      </c>
      <c r="D23" s="477">
        <f t="shared" ca="1" si="4"/>
        <v>9172.6440615884494</v>
      </c>
      <c r="E23" s="477">
        <f t="shared" si="5"/>
        <v>238.71643852788267</v>
      </c>
      <c r="F23" s="477">
        <f t="shared" ca="1" si="6"/>
        <v>3066.7632981224042</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22500.051702469318</v>
      </c>
    </row>
    <row r="24" spans="1:17">
      <c r="A24" s="476" t="s">
        <v>194</v>
      </c>
      <c r="B24" s="477">
        <f t="shared" ca="1" si="2"/>
        <v>527.31638171865643</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527.31638171865643</v>
      </c>
    </row>
    <row r="25" spans="1:17">
      <c r="A25" s="476" t="s">
        <v>112</v>
      </c>
      <c r="B25" s="477">
        <f t="shared" ca="1" si="2"/>
        <v>257.91624272447547</v>
      </c>
      <c r="C25" s="477">
        <f t="shared" ca="1" si="3"/>
        <v>0</v>
      </c>
      <c r="D25" s="477">
        <f t="shared" si="4"/>
        <v>69.358334128174477</v>
      </c>
      <c r="E25" s="477">
        <f t="shared" si="5"/>
        <v>7.3375135724133518</v>
      </c>
      <c r="F25" s="477">
        <f t="shared" si="6"/>
        <v>1223.3695045565275</v>
      </c>
      <c r="G25" s="477">
        <f t="shared" si="7"/>
        <v>0</v>
      </c>
      <c r="H25" s="477">
        <f t="shared" si="8"/>
        <v>0</v>
      </c>
      <c r="I25" s="477">
        <f t="shared" si="9"/>
        <v>0</v>
      </c>
      <c r="J25" s="477">
        <f t="shared" si="10"/>
        <v>63.883863587688602</v>
      </c>
      <c r="K25" s="477">
        <f t="shared" si="11"/>
        <v>0</v>
      </c>
      <c r="L25" s="477">
        <f t="shared" si="12"/>
        <v>0</v>
      </c>
      <c r="M25" s="477">
        <f t="shared" si="13"/>
        <v>0</v>
      </c>
      <c r="N25" s="477">
        <f t="shared" si="14"/>
        <v>0</v>
      </c>
      <c r="O25" s="477">
        <f t="shared" si="15"/>
        <v>0</v>
      </c>
      <c r="P25" s="478">
        <f t="shared" si="16"/>
        <v>0</v>
      </c>
      <c r="Q25" s="476">
        <f t="shared" ca="1" si="17"/>
        <v>1621.8654585692796</v>
      </c>
    </row>
    <row r="26" spans="1:17">
      <c r="A26" s="476" t="s">
        <v>638</v>
      </c>
      <c r="B26" s="477">
        <f t="shared" ca="1" si="2"/>
        <v>9791.2690374964859</v>
      </c>
      <c r="C26" s="477">
        <f t="shared" ca="1" si="3"/>
        <v>0</v>
      </c>
      <c r="D26" s="477">
        <f t="shared" si="4"/>
        <v>10322.99950667066</v>
      </c>
      <c r="E26" s="477">
        <f t="shared" si="5"/>
        <v>591.03661805780018</v>
      </c>
      <c r="F26" s="477">
        <f t="shared" si="6"/>
        <v>3393.2474586272165</v>
      </c>
      <c r="G26" s="477">
        <f t="shared" si="7"/>
        <v>0</v>
      </c>
      <c r="H26" s="477">
        <f t="shared" si="8"/>
        <v>0</v>
      </c>
      <c r="I26" s="477">
        <f t="shared" si="9"/>
        <v>0</v>
      </c>
      <c r="J26" s="477">
        <f t="shared" si="10"/>
        <v>83.431317071648536</v>
      </c>
      <c r="K26" s="477">
        <f t="shared" si="11"/>
        <v>0</v>
      </c>
      <c r="L26" s="477">
        <f t="shared" si="12"/>
        <v>0</v>
      </c>
      <c r="M26" s="477">
        <f t="shared" si="13"/>
        <v>0</v>
      </c>
      <c r="N26" s="477">
        <f t="shared" si="14"/>
        <v>0</v>
      </c>
      <c r="O26" s="477">
        <f t="shared" si="15"/>
        <v>0</v>
      </c>
      <c r="P26" s="478">
        <f t="shared" si="16"/>
        <v>0</v>
      </c>
      <c r="Q26" s="476">
        <f t="shared" ca="1" si="17"/>
        <v>24181.983937923811</v>
      </c>
    </row>
    <row r="27" spans="1:17" s="482" customFormat="1">
      <c r="A27" s="480" t="s">
        <v>564</v>
      </c>
      <c r="B27" s="780">
        <f t="shared" ca="1" si="2"/>
        <v>9.5578255826914518</v>
      </c>
      <c r="C27" s="481">
        <f t="shared" ca="1" si="3"/>
        <v>0</v>
      </c>
      <c r="D27" s="481">
        <f t="shared" si="4"/>
        <v>22.552271181280044</v>
      </c>
      <c r="E27" s="481">
        <f t="shared" si="5"/>
        <v>96.750919193115195</v>
      </c>
      <c r="F27" s="481">
        <f t="shared" si="6"/>
        <v>0</v>
      </c>
      <c r="G27" s="481">
        <f t="shared" si="7"/>
        <v>43322.419077459403</v>
      </c>
      <c r="H27" s="481">
        <f t="shared" si="8"/>
        <v>7440.3435182405747</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50891.623611657065</v>
      </c>
    </row>
    <row r="28" spans="1:17">
      <c r="A28" s="476" t="s">
        <v>554</v>
      </c>
      <c r="B28" s="477">
        <f t="shared" ca="1" si="2"/>
        <v>0</v>
      </c>
      <c r="C28" s="477">
        <f t="shared" ca="1" si="3"/>
        <v>0</v>
      </c>
      <c r="D28" s="477">
        <f t="shared" si="4"/>
        <v>0</v>
      </c>
      <c r="E28" s="477">
        <f t="shared" si="5"/>
        <v>0</v>
      </c>
      <c r="F28" s="477">
        <f t="shared" si="6"/>
        <v>0</v>
      </c>
      <c r="G28" s="477">
        <f t="shared" si="7"/>
        <v>780.30637176421965</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780.30637176421965</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515.11489317926498</v>
      </c>
      <c r="C32" s="477">
        <f t="shared" ca="1" si="3"/>
        <v>0</v>
      </c>
      <c r="D32" s="477">
        <f t="shared" si="4"/>
        <v>910.32062762099997</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1425.4355208002648</v>
      </c>
    </row>
    <row r="33" spans="1:17" s="486" customFormat="1">
      <c r="A33" s="1038" t="s">
        <v>558</v>
      </c>
      <c r="B33" s="978">
        <f ca="1">SUM(B22:B32)</f>
        <v>35128.855374336577</v>
      </c>
      <c r="C33" s="978">
        <f t="shared" ref="C33:Q33" ca="1" si="18">SUM(C22:C32)</f>
        <v>0</v>
      </c>
      <c r="D33" s="978">
        <f t="shared" ca="1" si="18"/>
        <v>42140.454371007363</v>
      </c>
      <c r="E33" s="978">
        <f t="shared" si="18"/>
        <v>3331.3195335564556</v>
      </c>
      <c r="F33" s="978">
        <f t="shared" ca="1" si="18"/>
        <v>29450.370610616315</v>
      </c>
      <c r="G33" s="978">
        <f t="shared" si="18"/>
        <v>44102.725449223624</v>
      </c>
      <c r="H33" s="978">
        <f t="shared" si="18"/>
        <v>7440.3435182405747</v>
      </c>
      <c r="I33" s="978">
        <f t="shared" si="18"/>
        <v>0</v>
      </c>
      <c r="J33" s="978">
        <f t="shared" si="18"/>
        <v>1307.7590529805395</v>
      </c>
      <c r="K33" s="978">
        <f t="shared" si="18"/>
        <v>0</v>
      </c>
      <c r="L33" s="978">
        <f t="shared" ca="1" si="18"/>
        <v>0</v>
      </c>
      <c r="M33" s="978">
        <f t="shared" si="18"/>
        <v>0</v>
      </c>
      <c r="N33" s="978">
        <f t="shared" ca="1" si="18"/>
        <v>0</v>
      </c>
      <c r="O33" s="978">
        <f t="shared" si="18"/>
        <v>0</v>
      </c>
      <c r="P33" s="978">
        <f t="shared" si="18"/>
        <v>0</v>
      </c>
      <c r="Q33" s="978">
        <f t="shared" ca="1" si="18"/>
        <v>162901.82790996146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9593.5599307877164</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2187</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6248.5714285714294</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11780.559930787716</v>
      </c>
      <c r="C10" s="1059">
        <f>SUM(C4:C9)</f>
        <v>0</v>
      </c>
      <c r="D10" s="1059">
        <f t="shared" ref="D10:H10" si="0">SUM(D8:D9)</f>
        <v>0</v>
      </c>
      <c r="E10" s="1059">
        <f t="shared" si="0"/>
        <v>0</v>
      </c>
      <c r="F10" s="1059">
        <f t="shared" si="0"/>
        <v>0</v>
      </c>
      <c r="G10" s="1059">
        <f t="shared" si="0"/>
        <v>0</v>
      </c>
      <c r="H10" s="1059">
        <f t="shared" si="0"/>
        <v>0</v>
      </c>
      <c r="I10" s="1059">
        <f>SUM(I8:I9)</f>
        <v>0</v>
      </c>
      <c r="J10" s="1059">
        <f>SUM(J8:J9)</f>
        <v>6248.5714285714294</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0.20575117005633356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0.20575117005633356</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1</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1.5633333333333335</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2019-08-12T08:25:09Z</dcterms:modified>
</cp:coreProperties>
</file>