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K20"/>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I56" s="1"/>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Q52"/>
  <c r="P52"/>
  <c r="R44"/>
  <c r="R25"/>
  <c r="E25"/>
  <c r="E55" s="1"/>
  <c r="C25"/>
  <c r="Q26"/>
  <c r="P26"/>
  <c r="N26"/>
  <c r="L26"/>
  <c r="M22"/>
  <c r="R12"/>
  <c r="N19" i="59" l="1"/>
  <c r="N20" s="1"/>
  <c r="N90" i="14"/>
  <c r="H90"/>
  <c r="H18" i="59"/>
  <c r="C98" i="18"/>
  <c r="I101" s="1"/>
  <c r="H8" s="1"/>
  <c r="B8"/>
  <c r="O32" i="48"/>
  <c r="O25"/>
  <c r="O31"/>
  <c r="O29"/>
  <c r="N77" i="14"/>
  <c r="N9" i="59" s="1"/>
  <c r="K10" i="18"/>
  <c r="K8" i="59"/>
  <c r="K10" s="1"/>
  <c r="K78" i="14"/>
  <c r="L18" i="59"/>
  <c r="L90" i="14"/>
  <c r="H78"/>
  <c r="H8" i="59"/>
  <c r="H10" s="1"/>
  <c r="K18"/>
  <c r="K20" s="1"/>
  <c r="K90" i="14"/>
  <c r="B10" i="18"/>
  <c r="B72" i="14"/>
  <c r="B4" i="59" s="1"/>
  <c r="L6" i="17"/>
  <c r="O28" i="48"/>
  <c r="Q22" i="14"/>
  <c r="O27" i="48"/>
  <c r="P22" i="14"/>
  <c r="Q11" i="48"/>
  <c r="H20" i="59"/>
  <c r="O78" i="14"/>
  <c r="O9" i="59"/>
  <c r="L78" i="14"/>
  <c r="L8" i="59"/>
  <c r="L10" s="1"/>
  <c r="E20"/>
  <c r="R9" i="14"/>
  <c r="B20" i="18"/>
  <c r="O10" i="59"/>
  <c r="F13" i="15"/>
  <c r="G78" i="14"/>
  <c r="N10" i="59"/>
  <c r="L20"/>
  <c r="O19" i="18"/>
  <c r="B98"/>
  <c r="I102" s="1"/>
  <c r="H17" s="1"/>
  <c r="L13" i="15"/>
  <c r="N13"/>
  <c r="Q77" i="14"/>
  <c r="P9" i="59" s="1"/>
  <c r="O9" i="18"/>
  <c r="O18"/>
  <c r="B89" i="14"/>
  <c r="B19" i="59" s="1"/>
  <c r="G88" i="14"/>
  <c r="F89"/>
  <c r="E101" i="18"/>
  <c r="E8" s="1"/>
  <c r="H101"/>
  <c r="D101"/>
  <c r="G101"/>
  <c r="C101"/>
  <c r="F101"/>
  <c r="E102"/>
  <c r="E17" s="1"/>
  <c r="H102"/>
  <c r="D102"/>
  <c r="G102"/>
  <c r="C102"/>
  <c r="F102"/>
  <c r="B102"/>
  <c r="C17" s="1"/>
  <c r="B88" i="14"/>
  <c r="B18" i="59" s="1"/>
  <c r="B77" i="14"/>
  <c r="B9" i="59" s="1"/>
  <c r="Q14" i="48"/>
  <c r="O24"/>
  <c r="O30"/>
  <c r="P24"/>
  <c r="P30"/>
  <c r="C77" i="14"/>
  <c r="C9" i="59" s="1"/>
  <c r="C88" i="14"/>
  <c r="C18" i="59" s="1"/>
  <c r="E78" i="14"/>
  <c r="E90"/>
  <c r="G90" l="1"/>
  <c r="G18" i="59"/>
  <c r="G20" s="1"/>
  <c r="C89" i="14"/>
  <c r="C19" i="59" s="1"/>
  <c r="F19"/>
  <c r="N78" i="14"/>
  <c r="B101" i="18"/>
  <c r="C8" s="1"/>
  <c r="D76" i="14" s="1"/>
  <c r="D8" i="59" s="1"/>
  <c r="D10" s="1"/>
  <c r="Q88" i="14"/>
  <c r="P18" i="59" s="1"/>
  <c r="Q89" i="14"/>
  <c r="P19" i="59" s="1"/>
  <c r="C20" i="18"/>
  <c r="D87" i="14"/>
  <c r="D17" i="59" s="1"/>
  <c r="D20" s="1"/>
  <c r="C10" i="18"/>
  <c r="J17"/>
  <c r="J8"/>
  <c r="F87" i="14"/>
  <c r="E20" i="18"/>
  <c r="E10"/>
  <c r="F76" i="14"/>
  <c r="F8" i="59" s="1"/>
  <c r="F10" s="1"/>
  <c r="I17" i="18"/>
  <c r="H20"/>
  <c r="M87" i="14"/>
  <c r="I8" i="18"/>
  <c r="M76" i="14"/>
  <c r="H10" i="18"/>
  <c r="H14" i="15"/>
  <c r="H16" s="1"/>
  <c r="G14"/>
  <c r="G16" s="1"/>
  <c r="H5" i="48" l="1"/>
  <c r="I10" i="14"/>
  <c r="I16" s="1"/>
  <c r="G5" i="48"/>
  <c r="H10" i="14"/>
  <c r="H16" s="1"/>
  <c r="M90"/>
  <c r="M17" i="59"/>
  <c r="M20" s="1"/>
  <c r="M78" i="14"/>
  <c r="M8" i="59"/>
  <c r="M10" s="1"/>
  <c r="F90" i="14"/>
  <c r="F17" i="59"/>
  <c r="F20" s="1"/>
  <c r="O8" i="18"/>
  <c r="O10" s="1"/>
  <c r="O17"/>
  <c r="O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8" i="48"/>
  <c r="I27"/>
  <c r="I32"/>
  <c r="I31"/>
  <c r="I26"/>
  <c r="I29"/>
  <c r="I25"/>
  <c r="I24"/>
  <c r="I22"/>
  <c r="I30"/>
  <c r="E11" i="14"/>
  <c r="D4" i="48"/>
  <c r="D22" s="1"/>
  <c r="H32"/>
  <c r="H25"/>
  <c r="H26"/>
  <c r="H29"/>
  <c r="H24"/>
  <c r="H28"/>
  <c r="H22"/>
  <c r="H30"/>
  <c r="H23"/>
  <c r="C4"/>
  <c r="D11" i="14"/>
  <c r="G32" i="48"/>
  <c r="G25"/>
  <c r="G29"/>
  <c r="G26"/>
  <c r="G30"/>
  <c r="G24"/>
  <c r="G22"/>
  <c r="G23"/>
  <c r="B4"/>
  <c r="C11" i="14"/>
  <c r="F32" i="48"/>
  <c r="F29"/>
  <c r="F28"/>
  <c r="F27"/>
  <c r="F30"/>
  <c r="F31"/>
  <c r="F24"/>
  <c r="N32"/>
  <c r="N29"/>
  <c r="N28"/>
  <c r="N30"/>
  <c r="N31"/>
  <c r="N24"/>
  <c r="N27"/>
  <c r="B10"/>
  <c r="C19" i="14"/>
  <c r="E32" i="48"/>
  <c r="E28"/>
  <c r="E30"/>
  <c r="E24"/>
  <c r="E29"/>
  <c r="E31"/>
  <c r="M32"/>
  <c r="M26"/>
  <c r="M22"/>
  <c r="M24"/>
  <c r="M25"/>
  <c r="M29"/>
  <c r="M30"/>
  <c r="M23"/>
  <c r="K5"/>
  <c r="L10" i="14"/>
  <c r="L16" s="1"/>
  <c r="L27" s="1"/>
  <c r="D28" i="48"/>
  <c r="D32"/>
  <c r="D30"/>
  <c r="D24"/>
  <c r="D31"/>
  <c r="D29"/>
  <c r="L28"/>
  <c r="L27"/>
  <c r="L32"/>
  <c r="L24"/>
  <c r="L31"/>
  <c r="L22"/>
  <c r="L29"/>
  <c r="L30"/>
  <c r="P5"/>
  <c r="P23" s="1"/>
  <c r="Q10" i="14"/>
  <c r="K28" i="48"/>
  <c r="K27"/>
  <c r="K32"/>
  <c r="K31"/>
  <c r="K30"/>
  <c r="K26"/>
  <c r="K24"/>
  <c r="K22"/>
  <c r="K25"/>
  <c r="K29"/>
  <c r="B7"/>
  <c r="C24" i="14"/>
  <c r="C26" s="1"/>
  <c r="J28" i="48"/>
  <c r="J27"/>
  <c r="J32"/>
  <c r="J31"/>
  <c r="J30"/>
  <c r="J24"/>
  <c r="J29"/>
  <c r="P4"/>
  <c r="Q11"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F4"/>
  <c r="F22" s="1"/>
  <c r="G11" i="14"/>
  <c r="I5" i="48"/>
  <c r="J10" i="14"/>
  <c r="J16" s="1"/>
  <c r="J27" s="1"/>
  <c r="O22" i="48"/>
  <c r="M12" i="22"/>
  <c r="N18" i="14"/>
  <c r="M13" i="48"/>
  <c r="M31" s="1"/>
  <c r="K23"/>
  <c r="K15"/>
  <c r="G13"/>
  <c r="H18" i="14"/>
  <c r="H13" i="48"/>
  <c r="H31" s="1"/>
  <c r="I18" i="14"/>
  <c r="P8" i="48"/>
  <c r="P26" s="1"/>
  <c r="Q13" i="14"/>
  <c r="F20"/>
  <c r="F22" s="1"/>
  <c r="E9" i="48"/>
  <c r="E27" s="1"/>
  <c r="E20" i="14"/>
  <c r="E22" s="1"/>
  <c r="D9" i="48"/>
  <c r="D27" s="1"/>
  <c r="O5"/>
  <c r="O23" s="1"/>
  <c r="P10" i="14"/>
  <c r="K24"/>
  <c r="K26" s="1"/>
  <c r="J7" i="48"/>
  <c r="J25" s="1"/>
  <c r="P22"/>
  <c r="P33" s="1"/>
  <c r="J46" i="14"/>
  <c r="J61" s="1"/>
  <c r="K33" i="48"/>
  <c r="Q16" i="14"/>
  <c r="Q27" s="1"/>
  <c r="I20" i="15"/>
  <c r="J40" i="14"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R19" s="1"/>
  <c r="R18"/>
  <c r="E12" i="13"/>
  <c r="F41" i="14" s="1"/>
  <c r="E4" i="48"/>
  <c r="F11" i="14"/>
  <c r="R11" s="1"/>
  <c r="J4" i="48"/>
  <c r="K11" i="14"/>
  <c r="E7" i="48"/>
  <c r="E25" s="1"/>
  <c r="F24" i="14"/>
  <c r="F26" s="1"/>
  <c r="O22" i="16"/>
  <c r="P43" i="14" s="1"/>
  <c r="O8" i="48"/>
  <c r="P13" i="14"/>
  <c r="P16" s="1"/>
  <c r="P27" s="1"/>
  <c r="H9" i="48"/>
  <c r="I20" i="14"/>
  <c r="I22" s="1"/>
  <c r="I27" s="1"/>
  <c r="I23" i="48"/>
  <c r="I33" s="1"/>
  <c r="I15"/>
  <c r="M10"/>
  <c r="M28" s="1"/>
  <c r="N19" i="14"/>
  <c r="G31" i="48"/>
  <c r="Q13"/>
  <c r="P46" i="14"/>
  <c r="P61" s="1"/>
  <c r="Q63"/>
  <c r="M14" i="22"/>
  <c r="C22" i="14"/>
  <c r="G14" i="22"/>
  <c r="P15" i="48"/>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63" s="1"/>
  <c r="I63"/>
  <c r="E22" i="48"/>
  <c r="Q4"/>
  <c r="E5"/>
  <c r="E23" s="1"/>
  <c r="F10" i="14"/>
  <c r="H27" i="48"/>
  <c r="H33" s="1"/>
  <c r="H15"/>
  <c r="K10" i="14"/>
  <c r="J5" i="48"/>
  <c r="J23" s="1"/>
  <c r="J22"/>
  <c r="N20" i="14"/>
  <c r="N22" s="1"/>
  <c r="N27" s="1"/>
  <c r="M9" i="48"/>
  <c r="G28"/>
  <c r="Q10"/>
  <c r="G9"/>
  <c r="H20" i="14"/>
  <c r="R20" s="1"/>
  <c r="O26" i="48"/>
  <c r="O33" s="1"/>
  <c r="O15"/>
  <c r="P63" i="14"/>
  <c r="H22"/>
  <c r="H27" s="1"/>
  <c r="R24"/>
  <c r="R26" s="1"/>
  <c r="R22"/>
  <c r="M18" i="22"/>
  <c r="N50" i="14" s="1"/>
  <c r="Q7" i="48"/>
  <c r="E20" i="15"/>
  <c r="F40" i="14" s="1"/>
  <c r="J18" i="16"/>
  <c r="E18"/>
  <c r="F18"/>
  <c r="F22" s="1"/>
  <c r="G43" i="14" s="1"/>
  <c r="N18" i="16"/>
  <c r="G18" i="22"/>
  <c r="H50" i="14" s="1"/>
  <c r="H52" s="1"/>
  <c r="H61" s="1"/>
  <c r="E22" i="16"/>
  <c r="F43" i="14" s="1"/>
  <c r="H18" i="22"/>
  <c r="I50" i="14" s="1"/>
  <c r="I52" s="1"/>
  <c r="I61" s="1"/>
  <c r="G27" i="48" l="1"/>
  <c r="G33" s="1"/>
  <c r="G15"/>
  <c r="Q9"/>
  <c r="H63" i="14"/>
  <c r="K16"/>
  <c r="K27" s="1"/>
  <c r="F46"/>
  <c r="F61" s="1"/>
  <c r="J33" i="48"/>
  <c r="J22" i="16"/>
  <c r="K43" i="14" s="1"/>
  <c r="K46" s="1"/>
  <c r="K61" s="1"/>
  <c r="K63" s="1"/>
  <c r="K13"/>
  <c r="J8" i="48"/>
  <c r="J26" s="1"/>
  <c r="E8"/>
  <c r="F13" i="14"/>
  <c r="M27" i="48"/>
  <c r="M33" s="1"/>
  <c r="M15"/>
  <c r="F16" i="14"/>
  <c r="F27" s="1"/>
  <c r="N8" i="48"/>
  <c r="N26" s="1"/>
  <c r="O13" i="14"/>
  <c r="N22" i="16"/>
  <c r="O43" i="14" s="1"/>
  <c r="G13"/>
  <c r="R13" s="1"/>
  <c r="F8" i="48"/>
  <c r="E26" l="1"/>
  <c r="E33" s="1"/>
  <c r="E15"/>
  <c r="J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<sst xmlns="http://schemas.openxmlformats.org/spreadsheetml/2006/main" count="2392" uniqueCount="890">
  <si>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</si>
  <si>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</si>
  <si>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</si>
  <si>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</si>
  <si>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</si>
  <si>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</si>
  <si>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</si>
  <si>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</si>
  <si>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</si>
  <si>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</si>
  <si>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</si>
  <si>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</si>
  <si>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</si>
  <si>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</si>
  <si>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</si>
  <si>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</si>
  <si>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</si>
  <si>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</si>
  <si>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</si>
  <si>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</si>
  <si>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</si>
  <si>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</si>
  <si>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</si>
  <si>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</si>
  <si>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</si>
  <si>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</si>
  <si>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</si>
  <si>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</si>
  <si>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</si>
  <si>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</si>
  <si>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</si>
  <si>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</si>
  <si>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</si>
  <si>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</si>
  <si>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</si>
  <si>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</si>
  <si>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</si>
  <si>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</si>
  <si>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</si>
  <si>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</si>
  <si>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</si>
  <si>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</si>
  <si>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</si>
  <si>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</si>
  <si>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</si>
  <si>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</si>
  <si>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</si>
  <si>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</si>
  <si>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</si>
  <si>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</si>
  <si>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</si>
  <si>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</si>
  <si>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</si>
  <si>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</si>
  <si>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</si>
  <si>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</si>
  <si>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</si>
  <si>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</si>
  <si>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</si>
  <si>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</si>
  <si>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</si>
  <si>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</si>
  <si>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</si>
  <si>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</si>
  <si>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</si>
  <si>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</si>
  <si>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</si>
  <si>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</si>
  <si>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</si>
  <si>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</si>
  <si>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</si>
  <si>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</si>
  <si>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</si>
  <si>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</si>
  <si>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</si>
  <si>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</si>
  <si>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</si>
  <si>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</si>
  <si>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</si>
  <si>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</si>
  <si>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</si>
  <si>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</si>
  <si>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</si>
  <si>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</si>
  <si>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</si>
  <si>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</si>
  <si>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</si>
  <si>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</si>
  <si>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</si>
  <si>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</si>
  <si>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</si>
  <si>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</si>
  <si>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</si>
  <si>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</si>
  <si>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</si>
  <si>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</si>
  <si>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</si>
  <si>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</si>
  <si>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</si>
  <si>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</si>
  <si>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</si>
  <si>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</si>
  <si>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</si>
  <si>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</si>
  <si>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</si>
  <si>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</si>
  <si>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</si>
  <si>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</si>
  <si>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</si>
  <si>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</si>
  <si>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</si>
  <si>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</si>
  <si>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</si>
  <si>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</si>
  <si>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</si>
  <si>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</si>
  <si>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</si>
  <si>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</si>
  <si>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</si>
  <si>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</si>
  <si>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</si>
  <si>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</si>
  <si>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</si>
  <si>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</si>
  <si>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</si>
  <si>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</si>
  <si>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</si>
  <si>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</si>
  <si>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</si>
  <si>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</si>
  <si>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</si>
  <si>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</si>
  <si>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</si>
  <si>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</si>
  <si>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</si>
  <si>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</si>
  <si>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</si>
  <si>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</si>
  <si>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</si>
  <si>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</si>
  <si>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</si>
  <si>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</si>
  <si>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</si>
  <si>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</si>
  <si>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</si>
  <si>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</si>
  <si>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</si>
  <si>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</si>
  <si>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</si>
  <si>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</si>
  <si>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</si>
  <si>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</si>
  <si>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</si>
  <si>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</si>
  <si>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</si>
  <si>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</si>
  <si>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</si>
  <si>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</si>
  <si>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</si>
  <si>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</si>
  <si>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</si>
  <si>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</si>
  <si>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</si>
  <si>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</si>
  <si>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</si>
  <si>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</si>
  <si>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</si>
  <si>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</si>
  <si>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</si>
  <si>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</si>
  <si>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</si>
  <si>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</si>
  <si>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</si>
  <si>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</si>
  <si>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</si>
  <si>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</si>
  <si>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</si>
  <si>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</si>
  <si>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</si>
  <si>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</si>
  <si>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</si>
  <si>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</si>
  <si>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</si>
  <si>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</si>
  <si>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</si>
  <si>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</si>
  <si>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</si>
  <si>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</si>
  <si>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</si>
  <si>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</si>
  <si>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</si>
  <si>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</si>
  <si>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</si>
  <si>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</si>
  <si>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</si>
  <si>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</si>
  <si>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</si>
  <si>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</si>
  <si>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</si>
  <si>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</si>
  <si>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</si>
  <si>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</si>
  <si>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</si>
  <si>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</si>
  <si>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</si>
  <si>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</si>
  <si>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</si>
  <si>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</si>
  <si>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</si>
  <si>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</si>
  <si>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</si>
  <si>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</si>
  <si>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</si>
  <si>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</si>
  <si>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</si>
  <si>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</si>
  <si>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</si>
  <si>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</si>
  <si>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</si>
  <si>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</si>
  <si>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</si>
  <si>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</si>
  <si>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</si>
  <si>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</si>
  <si>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</si>
  <si>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</si>
  <si>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</si>
  <si>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</si>
  <si>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</si>
  <si>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</si>
  <si>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</si>
  <si>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</si>
  <si>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</si>
  <si>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</si>
  <si>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</si>
  <si>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</si>
  <si>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</si>
  <si>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</si>
  <si>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</si>
  <si>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</si>
  <si>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</si>
  <si>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</si>
  <si>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</si>
  <si>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</si>
  <si>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</si>
  <si>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</si>
  <si>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</si>
  <si>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</si>
  <si>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</si>
  <si>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</si>
  <si>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</si>
  <si>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</si>
  <si>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</si>
  <si>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</si>
  <si>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</si>
  <si>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</si>
  <si>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</si>
  <si>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</si>
  <si>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</si>
  <si>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</si>
  <si>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</si>
  <si>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</si>
  <si>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</si>
  <si>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</si>
  <si>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</si>
  <si>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</si>
  <si>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</si>
  <si>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</si>
  <si>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</si>
  <si>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</si>
  <si>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</si>
  <si>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</si>
  <si>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</si>
  <si>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</si>
  <si>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</si>
  <si>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</si>
  <si>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</si>
  <si>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</si>
  <si>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</si>
  <si>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</si>
  <si>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</si>
  <si>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</si>
  <si>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</si>
  <si>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</si>
  <si>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</si>
  <si>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</si>
  <si>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</si>
  <si>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</si>
  <si>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</si>
  <si>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</si>
  <si>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</si>
  <si>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</si>
  <si>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</si>
  <si>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</si>
  <si>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</si>
  <si>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</si>
  <si>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</si>
  <si>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</si>
  <si>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</si>
  <si>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</si>
  <si>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</si>
  <si>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</si>
  <si>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</si>
  <si>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</si>
  <si>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</si>
  <si>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</si>
  <si>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</si>
  <si>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</si>
  <si>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</si>
  <si>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</si>
  <si>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</si>
  <si>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</si>
  <si>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</si>
  <si>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</si>
  <si>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</si>
  <si>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</si>
  <si>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</si>
  <si>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</si>
  <si>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</si>
  <si>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</si>
  <si>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</si>
  <si>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</si>
  <si>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</si>
  <si>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</si>
  <si>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</si>
  <si>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</si>
  <si>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</si>
  <si>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</si>
  <si>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</si>
  <si>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</si>
  <si>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</si>
  <si>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</si>
  <si>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</si>
  <si>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</si>
  <si>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</si>
  <si>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</si>
  <si>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</si>
  <si>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</si>
  <si>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</si>
  <si>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</si>
  <si>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</si>
  <si>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</si>
  <si>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</si>
  <si>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</si>
  <si>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</si>
  <si>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</si>
  <si>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</si>
  <si>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</si>
  <si>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</si>
  <si>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</si>
  <si>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</si>
  <si>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</si>
  <si>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</si>
  <si>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</si>
  <si>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</si>
  <si>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</si>
  <si>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</si>
  <si>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</si>
  <si>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</si>
  <si>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</si>
  <si>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</si>
  <si>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</si>
  <si>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</si>
  <si>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</si>
  <si>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</si>
  <si>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</si>
  <si>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</si>
  <si>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</si>
  <si>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</si>
  <si>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</si>
  <si>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</si>
  <si>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</si>
  <si>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</si>
  <si>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</si>
  <si>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</si>
  <si>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</si>
  <si>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</si>
  <si>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</si>
  <si>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</si>
  <si>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</si>
  <si>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</si>
  <si>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</si>
  <si>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</si>
  <si>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</si>
  <si>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</si>
  <si>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</si>
  <si>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</si>
  <si>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</si>
  <si>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</si>
  <si>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</si>
  <si>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</si>
  <si>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</si>
  <si>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</si>
  <si>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</si>
  <si>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</si>
  <si>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</si>
  <si>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</si>
  <si>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</si>
  <si>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</si>
  <si>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</si>
  <si>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</si>
  <si>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</si>
  <si>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</si>
  <si>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</si>
  <si>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</si>
  <si>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</si>
  <si>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</si>
  <si>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</si>
  <si>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</si>
  <si>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</si>
  <si>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</si>
  <si>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</si>
  <si>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</si>
  <si>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</si>
  <si>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</si>
  <si>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</si>
  <si>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</si>
  <si>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</si>
  <si>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</si>
  <si>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</si>
  <si>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</si>
  <si>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</si>
  <si>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</si>
  <si>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</si>
  <si>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</si>
  <si>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</si>
  <si>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</si>
  <si>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</si>
  <si>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</si>
  <si>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</si>
  <si>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</si>
  <si>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</si>
  <si>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</si>
  <si>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</si>
  <si>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</si>
  <si>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</si>
  <si>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</si>
  <si>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</si>
  <si>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</si>
  <si>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</si>
  <si>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</si>
  <si>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</si>
  <si>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</si>
  <si>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</si>
  <si>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</si>
  <si>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</si>
  <si>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</si>
  <si>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</si>
  <si>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</si>
  <si>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</si>
  <si>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</si>
  <si>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</si>
  <si>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</si>
  <si>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</si>
  <si>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</si>
  <si>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</si>
  <si>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</si>
  <si>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</si>
  <si>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</si>
  <si>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</si>
  <si>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</si>
  <si>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</si>
  <si>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</si>
  <si>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</si>
  <si>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</si>
  <si>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</si>
  <si>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</si>
  <si>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</si>
  <si>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</si>
  <si>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</si>
  <si>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</si>
  <si>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</si>
  <si>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</si>
  <si>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</si>
  <si>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</si>
  <si>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</si>
  <si>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</si>
  <si>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</si>
  <si>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</si>
  <si>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</si>
  <si>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</si>
  <si>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</si>
  <si>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</si>
  <si>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</si>
  <si>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</si>
  <si>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</si>
  <si>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</si>
  <si>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</si>
  <si>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</si>
  <si>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</si>
  <si>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</si>
  <si>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</si>
  <si>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</si>
  <si>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</si>
  <si>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</si>
  <si>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</si>
  <si>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</si>
  <si>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</si>
  <si>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</si>
  <si>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</si>
  <si>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</si>
  <si>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</si>
  <si>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</si>
  <si>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</si>
  <si>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</si>
  <si>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</si>
  <si>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</si>
  <si>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</si>
  <si>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</si>
  <si>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</si>
  <si>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</si>
  <si>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</si>
  <si>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</si>
  <si>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</si>
  <si>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</si>
  <si>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</si>
  <si>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</si>
  <si>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</si>
  <si>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</si>
  <si>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</si>
  <si>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</si>
  <si>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</si>
  <si>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</si>
  <si>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</si>
  <si>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</si>
  <si>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</si>
  <si>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</si>
  <si>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</si>
  <si>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</si>
  <si>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</si>
  <si>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</si>
  <si>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</si>
  <si>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</si>
  <si>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</si>
  <si>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</si>
  <si>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</si>
  <si>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</si>
  <si>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</si>
  <si>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</si>
  <si>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</si>
  <si>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</si>
  <si>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</si>
  <si>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</si>
  <si>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</si>
  <si>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</si>
  <si>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</si>
  <si>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</si>
  <si>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</si>
  <si>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</si>
  <si>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</si>
  <si>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</si>
  <si>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</si>
  <si>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</si>
  <si>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</si>
  <si>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</si>
  <si>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</si>
  <si>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</si>
  <si>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</si>
  <si>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</si>
  <si>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</si>
  <si>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</si>
  <si>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</si>
  <si>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</si>
  <si>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</si>
  <si>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</si>
  <si>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</si>
  <si>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</si>
  <si>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</si>
  <si>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</si>
  <si>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</si>
  <si>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</si>
  <si>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</si>
  <si>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</si>
  <si>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</si>
  <si>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</si>
  <si>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</si>
  <si>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</si>
  <si>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</si>
  <si>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</si>
  <si>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</si>
  <si>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</si>
  <si>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</si>
  <si>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</si>
  <si>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</si>
  <si>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</si>
  <si>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</si>
  <si>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</si>
  <si>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</si>
  <si>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</si>
  <si>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</si>
  <si>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</si>
  <si>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</si>
  <si>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</si>
  <si>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</si>
  <si>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</si>
  <si>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</si>
  <si>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</si>
  <si>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</si>
  <si>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</si>
  <si>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</si>
  <si>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</si>
  <si>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</si>
  <si>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</si>
  <si>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</si>
  <si>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</si>
  <si>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</si>
  <si>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</si>
  <si>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</si>
  <si>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</si>
  <si>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</si>
  <si>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</si>
  <si>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</si>
  <si>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</si>
  <si>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</si>
  <si>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</si>
  <si>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</si>
  <si>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</si>
  <si>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</si>
  <si>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</si>
  <si>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</si>
  <si>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</si>
  <si>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</si>
  <si>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</si>
  <si>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</si>
  <si>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</si>
  <si>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</si>
  <si>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</si>
  <si>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</si>
  <si>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</si>
  <si>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</si>
  <si>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</si>
  <si>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</si>
  <si>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</si>
  <si>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</si>
  <si>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</si>
  <si>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</si>
  <si>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</si>
  <si>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</si>
  <si>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</si>
  <si>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</si>
  <si>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</si>
  <si>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</si>
  <si>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</si>
  <si>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</si>
  <si>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</si>
  <si>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</si>
  <si>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</si>
  <si>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</si>
  <si>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</si>
  <si>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</si>
  <si>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</si>
  <si>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</si>
  <si>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</si>
  <si>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</si>
  <si>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</si>
  <si>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</si>
  <si>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</si>
  <si>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</si>
  <si>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</si>
  <si>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</si>
  <si>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</si>
  <si>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</si>
  <si>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</si>
  <si>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</si>
  <si>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</si>
  <si>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</si>
  <si>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</si>
  <si>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</si>
  <si>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</si>
  <si>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</si>
  <si>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</si>
  <si>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</si>
  <si>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</si>
  <si>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</si>
  <si>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</si>
  <si>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</si>
  <si>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</si>
  <si>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</si>
  <si>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</si>
  <si>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</si>
  <si>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</si>
  <si>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</si>
  <si>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</si>
  <si>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</si>
  <si>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</si>
  <si>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</si>
  <si>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</si>
  <si>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</si>
  <si>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</si>
  <si>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</si>
  <si>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</si>
  <si>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</si>
  <si>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</si>
  <si>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</si>
  <si>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</si>
  <si>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</si>
  <si>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</si>
  <si>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</si>
  <si>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</si>
  <si>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</si>
  <si>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</si>
  <si>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</si>
  <si>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</si>
  <si>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</si>
  <si>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</si>
  <si>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</si>
  <si>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</si>
  <si>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</si>
  <si>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</si>
  <si>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</si>
  <si>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</si>
  <si>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</si>
  <si>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</si>
  <si>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</si>
  <si>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</si>
  <si>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</si>
  <si>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</si>
  <si>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</si>
  <si>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</si>
  <si>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</si>
  <si>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</si>
  <si>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</si>
  <si>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</si>
  <si>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</si>
  <si>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</si>
  <si>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</si>
  <si>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</si>
  <si>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</si>
  <si>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</si>
  <si>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</si>
  <si>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</si>
  <si>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</si>
  <si>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</si>
  <si>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</si>
  <si>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</si>
  <si>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</si>
  <si>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</si>
  <si>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</si>
  <si>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</si>
  <si>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</si>
  <si>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</si>
  <si>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</si>
  <si>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</si>
  <si>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</si>
  <si>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</si>
  <si>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</si>
  <si>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</si>
  <si>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</si>
  <si>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</si>
  <si>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</si>
  <si>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</si>
  <si>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</si>
  <si>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</si>
  <si>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</si>
  <si>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</si>
  <si>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</si>
  <si>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</si>
  <si>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</si>
  <si>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</si>
  <si>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</si>
  <si>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</si>
  <si>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</si>
  <si>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</si>
  <si>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</si>
  <si>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</si>
  <si>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</si>
  <si>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</si>
  <si>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</si>
  <si>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</si>
  <si>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</si>
  <si>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</si>
  <si>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</si>
  <si>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</si>
  <si>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</si>
  <si>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</si>
  <si>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</si>
  <si>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</si>
  <si>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</si>
  <si>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</si>
  <si>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</si>
  <si>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</si>
  <si>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</si>
  <si>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</si>
  <si>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</si>
  <si>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</si>
  <si>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</si>
  <si>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</si>
  <si>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</si>
  <si>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</si>
  <si>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</si>
  <si>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</si>
  <si>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</si>
  <si>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</si>
  <si>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</si>
  <si>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</si>
  <si>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</si>
  <si>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</si>
  <si>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</si>
  <si>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</si>
  <si>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</si>
  <si>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</si>
  <si>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</si>
  <si>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</si>
  <si>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</si>
  <si>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</si>
  <si>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</si>
  <si>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</si>
  <si>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</si>
  <si>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</si>
  <si>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</si>
  <si>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</si>
  <si>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</si>
  <si>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</si>
  <si>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</si>
  <si>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</si>
  <si>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</si>
  <si>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</si>
  <si>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</si>
  <si>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</si>
  <si>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</si>
  <si>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</si>
  <si>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</si>
  <si>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</si>
  <si>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</si>
  <si>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</si>
  <si>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</si>
  <si>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</si>
  <si>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</si>
  <si>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</si>
  <si>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</si>
  <si>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</si>
  <si>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</si>
  <si>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</si>
  <si>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</si>
  <si>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</si>
  <si>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</si>
  <si>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</si>
  <si>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</si>
  <si>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</si>
  <si>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</si>
  <si>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</si>
  <si>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</si>
  <si>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</si>
  <si>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</si>
  <si>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</si>
  <si>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</si>
  <si>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</si>
  <si>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</si>
  <si>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</si>
  <si>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</si>
  <si>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</si>
  <si>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</si>
  <si>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</si>
  <si>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</si>
  <si>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</si>
  <si>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</si>
  <si>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</si>
  <si>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</si>
  <si>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</si>
  <si>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</si>
  <si>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</si>
  <si>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</si>
  <si>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</si>
  <si>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</si>
  <si>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</si>
  <si>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</si>
  <si>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</si>
  <si>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</si>
  <si>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</si>
  <si>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</si>
  <si>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</si>
  <si>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</si>
  <si>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</si>
  <si>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</si>
  <si>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</si>
  <si>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</si>
  <si>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</si>
  <si>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</si>
  <si>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</si>
  <si>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</si>
  <si>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</si>
  <si>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</si>
  <si>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41034</t>
  </si>
  <si>
    <t>LEDE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</si>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</sst>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144755.50396224551</c:v>
                </c:pt>
                <c:pt idx="1">
                  <c:v>36507.647956218709</c:v>
                </c:pt>
                <c:pt idx="2">
                  <c:v>1192.6479999999999</c:v>
                </c:pt>
                <c:pt idx="3">
                  <c:v>3671.325380698278</c:v>
                </c:pt>
                <c:pt idx="4">
                  <c:v>4359.2302098626151</c:v>
                </c:pt>
                <c:pt idx="5">
                  <c:v>126977.17118655544</c:v>
                </c:pt>
                <c:pt idx="6">
                  <c:v>823.60201368443916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432128"/>
        <c:axId val="182433664"/>
      </c:barChart>
      <c:catAx>
        <c:axId val="182432128"/>
        <c:scaling>
          <c:orientation val="minMax"/>
        </c:scaling>
        <c:axPos val="b"/>
        <c:numFmt formatCode="General" sourceLinked="0"/>
        <c:tickLblPos val="nextTo"/>
        <c:crossAx val="182433664"/>
        <c:crosses val="autoZero"/>
        <c:auto val="1"/>
        <c:lblAlgn val="ctr"/>
        <c:lblOffset val="100"/>
      </c:catAx>
      <c:valAx>
        <c:axId val="182433664"/>
        <c:scaling>
          <c:orientation val="minMax"/>
        </c:scaling>
        <c:axPos val="l"/>
        <c:majorGridlines/>
        <c:numFmt formatCode="#,##0" sourceLinked="1"/>
        <c:tickLblPos val="nextTo"/>
        <c:crossAx val="182432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144755.50396224551</c:v>
                </c:pt>
                <c:pt idx="1">
                  <c:v>36507.647956218709</c:v>
                </c:pt>
                <c:pt idx="2">
                  <c:v>1192.6479999999999</c:v>
                </c:pt>
                <c:pt idx="3">
                  <c:v>3671.325380698278</c:v>
                </c:pt>
                <c:pt idx="4">
                  <c:v>4359.2302098626151</c:v>
                </c:pt>
                <c:pt idx="5">
                  <c:v>126977.17118655544</c:v>
                </c:pt>
                <c:pt idx="6">
                  <c:v>823.60201368443916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27832.905943658538</c:v>
                </c:pt>
                <c:pt idx="2">
                  <c:v>7450.9021497780222</c:v>
                </c:pt>
                <c:pt idx="3">
                  <c:v>244.60423918992893</c:v>
                </c:pt>
                <c:pt idx="4">
                  <c:v>929.66554656804226</c:v>
                </c:pt>
                <c:pt idx="5">
                  <c:v>859.30088583690474</c:v>
                </c:pt>
                <c:pt idx="6">
                  <c:v>32504.004393129326</c:v>
                </c:pt>
                <c:pt idx="7">
                  <c:v>213.28608059353303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918144"/>
        <c:axId val="182948608"/>
      </c:barChart>
      <c:catAx>
        <c:axId val="182918144"/>
        <c:scaling>
          <c:orientation val="minMax"/>
        </c:scaling>
        <c:axPos val="b"/>
        <c:numFmt formatCode="General" sourceLinked="0"/>
        <c:tickLblPos val="nextTo"/>
        <c:crossAx val="182948608"/>
        <c:crosses val="autoZero"/>
        <c:auto val="1"/>
        <c:lblAlgn val="ctr"/>
        <c:lblOffset val="100"/>
      </c:catAx>
      <c:valAx>
        <c:axId val="182948608"/>
        <c:scaling>
          <c:orientation val="minMax"/>
        </c:scaling>
        <c:axPos val="l"/>
        <c:majorGridlines/>
        <c:numFmt formatCode="#,##0" sourceLinked="1"/>
        <c:tickLblPos val="nextTo"/>
        <c:crossAx val="182918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27832.905943658538</c:v>
                </c:pt>
                <c:pt idx="2">
                  <c:v>7450.9021497780222</c:v>
                </c:pt>
                <c:pt idx="3">
                  <c:v>244.60423918992893</c:v>
                </c:pt>
                <c:pt idx="4">
                  <c:v>929.66554656804226</c:v>
                </c:pt>
                <c:pt idx="5">
                  <c:v>859.30088583690474</c:v>
                </c:pt>
                <c:pt idx="6">
                  <c:v>32504.004393129326</c:v>
                </c:pt>
                <c:pt idx="7">
                  <c:v>213.28608059353303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41034</v>
      </c>
      <c r="B6" s="415"/>
      <c r="C6" s="416"/>
    </row>
    <row r="7" spans="1:7" s="413" customFormat="1" ht="15.75" customHeight="1">
      <c r="A7" s="417" t="str">
        <f>txtMunicipality</f>
        <v>LEDE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0.20509340491907835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0.20509340491907835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41034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7763</v>
      </c>
      <c r="C9" s="342">
        <v>8190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1351.37</v>
      </c>
    </row>
    <row r="15" spans="1:6">
      <c r="A15" s="348" t="s">
        <v>184</v>
      </c>
      <c r="B15" s="334">
        <v>12</v>
      </c>
    </row>
    <row r="16" spans="1:6">
      <c r="A16" s="348" t="s">
        <v>6</v>
      </c>
      <c r="B16" s="334">
        <v>346</v>
      </c>
    </row>
    <row r="17" spans="1:6">
      <c r="A17" s="348" t="s">
        <v>7</v>
      </c>
      <c r="B17" s="334">
        <v>517</v>
      </c>
    </row>
    <row r="18" spans="1:6">
      <c r="A18" s="348" t="s">
        <v>8</v>
      </c>
      <c r="B18" s="334">
        <v>643</v>
      </c>
    </row>
    <row r="19" spans="1:6">
      <c r="A19" s="348" t="s">
        <v>9</v>
      </c>
      <c r="B19" s="334">
        <v>607</v>
      </c>
    </row>
    <row r="20" spans="1:6">
      <c r="A20" s="348" t="s">
        <v>10</v>
      </c>
      <c r="B20" s="334">
        <v>350</v>
      </c>
    </row>
    <row r="21" spans="1:6">
      <c r="A21" s="348" t="s">
        <v>11</v>
      </c>
      <c r="B21" s="334">
        <v>0</v>
      </c>
    </row>
    <row r="22" spans="1:6">
      <c r="A22" s="348" t="s">
        <v>12</v>
      </c>
      <c r="B22" s="334">
        <v>460</v>
      </c>
    </row>
    <row r="23" spans="1:6">
      <c r="A23" s="348" t="s">
        <v>13</v>
      </c>
      <c r="B23" s="334">
        <v>0</v>
      </c>
    </row>
    <row r="24" spans="1:6">
      <c r="A24" s="348" t="s">
        <v>14</v>
      </c>
      <c r="B24" s="334">
        <v>0</v>
      </c>
    </row>
    <row r="25" spans="1:6">
      <c r="A25" s="348" t="s">
        <v>15</v>
      </c>
      <c r="B25" s="334">
        <v>0</v>
      </c>
    </row>
    <row r="26" spans="1:6">
      <c r="A26" s="348" t="s">
        <v>16</v>
      </c>
      <c r="B26" s="334">
        <v>153</v>
      </c>
    </row>
    <row r="27" spans="1:6">
      <c r="A27" s="348" t="s">
        <v>17</v>
      </c>
      <c r="B27" s="334">
        <v>105</v>
      </c>
    </row>
    <row r="28" spans="1:6" s="356" customFormat="1">
      <c r="A28" s="355" t="s">
        <v>18</v>
      </c>
      <c r="B28" s="355">
        <v>0</v>
      </c>
    </row>
    <row r="29" spans="1:6">
      <c r="A29" s="355" t="s">
        <v>884</v>
      </c>
      <c r="B29" s="355">
        <v>96</v>
      </c>
      <c r="C29" s="356"/>
      <c r="D29" s="356"/>
      <c r="E29" s="356"/>
      <c r="F29" s="356"/>
    </row>
    <row r="30" spans="1:6">
      <c r="A30" s="355" t="s">
        <v>885</v>
      </c>
      <c r="B30" s="341">
        <v>27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49994.338489000002</v>
      </c>
      <c r="E38" s="334">
        <v>1</v>
      </c>
      <c r="F38" s="334">
        <v>3331.1684350999999</v>
      </c>
    </row>
    <row r="39" spans="1:6">
      <c r="A39" s="348" t="s">
        <v>30</v>
      </c>
      <c r="B39" s="348" t="s">
        <v>31</v>
      </c>
      <c r="C39" s="334">
        <v>4854</v>
      </c>
      <c r="D39" s="334">
        <v>76929127.623999998</v>
      </c>
      <c r="E39" s="334">
        <v>7656</v>
      </c>
      <c r="F39" s="334">
        <v>31630234.229198601</v>
      </c>
    </row>
    <row r="40" spans="1:6">
      <c r="A40" s="348" t="s">
        <v>30</v>
      </c>
      <c r="B40" s="348" t="s">
        <v>29</v>
      </c>
      <c r="C40" s="334">
        <v>0</v>
      </c>
      <c r="D40" s="334">
        <v>0</v>
      </c>
      <c r="E40" s="334">
        <v>0</v>
      </c>
      <c r="F40" s="334">
        <v>0</v>
      </c>
    </row>
    <row r="41" spans="1:6">
      <c r="A41" s="348" t="s">
        <v>32</v>
      </c>
      <c r="B41" s="348" t="s">
        <v>33</v>
      </c>
      <c r="C41" s="334">
        <v>41</v>
      </c>
      <c r="D41" s="334">
        <v>764098.61907000002</v>
      </c>
      <c r="E41" s="334">
        <v>127</v>
      </c>
      <c r="F41" s="334">
        <v>710653.72776000004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95994.795104999997</v>
      </c>
    </row>
    <row r="45" spans="1:6">
      <c r="A45" s="348" t="s">
        <v>32</v>
      </c>
      <c r="B45" s="348" t="s">
        <v>37</v>
      </c>
      <c r="C45" s="334">
        <v>0</v>
      </c>
      <c r="D45" s="334">
        <v>0</v>
      </c>
      <c r="E45" s="334">
        <v>4</v>
      </c>
      <c r="F45" s="334">
        <v>18969.099340000001</v>
      </c>
    </row>
    <row r="46" spans="1:6">
      <c r="A46" s="348" t="s">
        <v>32</v>
      </c>
      <c r="B46" s="348" t="s">
        <v>38</v>
      </c>
      <c r="C46" s="334">
        <v>0</v>
      </c>
      <c r="D46" s="334">
        <v>0</v>
      </c>
      <c r="E46" s="334">
        <v>0</v>
      </c>
      <c r="F46" s="334">
        <v>0</v>
      </c>
    </row>
    <row r="47" spans="1:6">
      <c r="A47" s="348" t="s">
        <v>32</v>
      </c>
      <c r="B47" s="348" t="s">
        <v>39</v>
      </c>
      <c r="C47" s="334">
        <v>3</v>
      </c>
      <c r="D47" s="334">
        <v>65304.000840000001</v>
      </c>
      <c r="E47" s="334">
        <v>3</v>
      </c>
      <c r="F47" s="334">
        <v>17529.145850000001</v>
      </c>
    </row>
    <row r="48" spans="1:6">
      <c r="A48" s="348" t="s">
        <v>32</v>
      </c>
      <c r="B48" s="348" t="s">
        <v>29</v>
      </c>
      <c r="C48" s="334">
        <v>22</v>
      </c>
      <c r="D48" s="334">
        <v>476538.95065000001</v>
      </c>
      <c r="E48" s="334">
        <v>22</v>
      </c>
      <c r="F48" s="334">
        <v>378717.36887000001</v>
      </c>
    </row>
    <row r="49" spans="1:6">
      <c r="A49" s="348" t="s">
        <v>32</v>
      </c>
      <c r="B49" s="348" t="s">
        <v>40</v>
      </c>
      <c r="C49" s="334">
        <v>0</v>
      </c>
      <c r="D49" s="334">
        <v>0</v>
      </c>
      <c r="E49" s="334">
        <v>0</v>
      </c>
      <c r="F49" s="334">
        <v>0</v>
      </c>
    </row>
    <row r="50" spans="1:6">
      <c r="A50" s="348" t="s">
        <v>32</v>
      </c>
      <c r="B50" s="348" t="s">
        <v>41</v>
      </c>
      <c r="C50" s="334">
        <v>5</v>
      </c>
      <c r="D50" s="334">
        <v>394815.03097999998</v>
      </c>
      <c r="E50" s="334">
        <v>9</v>
      </c>
      <c r="F50" s="334">
        <v>195574.27048000001</v>
      </c>
    </row>
    <row r="51" spans="1:6">
      <c r="A51" s="348" t="s">
        <v>42</v>
      </c>
      <c r="B51" s="348" t="s">
        <v>43</v>
      </c>
      <c r="C51" s="334">
        <v>7</v>
      </c>
      <c r="D51" s="334">
        <v>152878.29810000001</v>
      </c>
      <c r="E51" s="334">
        <v>57</v>
      </c>
      <c r="F51" s="334">
        <v>668962.08973000001</v>
      </c>
    </row>
    <row r="52" spans="1:6">
      <c r="A52" s="348" t="s">
        <v>42</v>
      </c>
      <c r="B52" s="348" t="s">
        <v>29</v>
      </c>
      <c r="C52" s="334">
        <v>4</v>
      </c>
      <c r="D52" s="334">
        <v>95439.466413000002</v>
      </c>
      <c r="E52" s="334">
        <v>4</v>
      </c>
      <c r="F52" s="334">
        <v>45522.00533</v>
      </c>
    </row>
    <row r="53" spans="1:6">
      <c r="A53" s="348" t="s">
        <v>44</v>
      </c>
      <c r="B53" s="348" t="s">
        <v>45</v>
      </c>
      <c r="C53" s="334">
        <v>118</v>
      </c>
      <c r="D53" s="334">
        <v>2003856.8977000001</v>
      </c>
      <c r="E53" s="334">
        <v>245</v>
      </c>
      <c r="F53" s="334">
        <v>812080.91835000005</v>
      </c>
    </row>
    <row r="54" spans="1:6">
      <c r="A54" s="348" t="s">
        <v>46</v>
      </c>
      <c r="B54" s="348" t="s">
        <v>47</v>
      </c>
      <c r="C54" s="334">
        <v>0</v>
      </c>
      <c r="D54" s="334">
        <v>0</v>
      </c>
      <c r="E54" s="334">
        <v>5</v>
      </c>
      <c r="F54" s="334">
        <v>1192648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988399.18493999995</v>
      </c>
      <c r="E57" s="334">
        <v>82</v>
      </c>
      <c r="F57" s="334">
        <v>809250.44668000005</v>
      </c>
    </row>
    <row r="58" spans="1:6">
      <c r="A58" s="348" t="s">
        <v>49</v>
      </c>
      <c r="B58" s="348" t="s">
        <v>51</v>
      </c>
      <c r="C58" s="334">
        <v>42</v>
      </c>
      <c r="D58" s="334">
        <v>1297063.7879000001</v>
      </c>
      <c r="E58" s="334">
        <v>63</v>
      </c>
      <c r="F58" s="334">
        <v>355657.59713000001</v>
      </c>
    </row>
    <row r="59" spans="1:6">
      <c r="A59" s="348" t="s">
        <v>49</v>
      </c>
      <c r="B59" s="348" t="s">
        <v>52</v>
      </c>
      <c r="C59" s="334">
        <v>60</v>
      </c>
      <c r="D59" s="334">
        <v>2098475.3451</v>
      </c>
      <c r="E59" s="334">
        <v>161</v>
      </c>
      <c r="F59" s="334">
        <v>5258134.1681000004</v>
      </c>
    </row>
    <row r="60" spans="1:6">
      <c r="A60" s="348" t="s">
        <v>49</v>
      </c>
      <c r="B60" s="348" t="s">
        <v>53</v>
      </c>
      <c r="C60" s="334">
        <v>44</v>
      </c>
      <c r="D60" s="334">
        <v>1756220.2967999999</v>
      </c>
      <c r="E60" s="334">
        <v>107</v>
      </c>
      <c r="F60" s="334">
        <v>1907417.2124000001</v>
      </c>
    </row>
    <row r="61" spans="1:6">
      <c r="A61" s="348" t="s">
        <v>49</v>
      </c>
      <c r="B61" s="348" t="s">
        <v>54</v>
      </c>
      <c r="C61" s="334">
        <v>103</v>
      </c>
      <c r="D61" s="334">
        <v>4850819.4223999996</v>
      </c>
      <c r="E61" s="334">
        <v>192</v>
      </c>
      <c r="F61" s="334">
        <v>1768759.5763000001</v>
      </c>
    </row>
    <row r="62" spans="1:6">
      <c r="A62" s="348" t="s">
        <v>49</v>
      </c>
      <c r="B62" s="348" t="s">
        <v>55</v>
      </c>
      <c r="C62" s="334">
        <v>12</v>
      </c>
      <c r="D62" s="334">
        <v>1186786.3877000001</v>
      </c>
      <c r="E62" s="334">
        <v>17</v>
      </c>
      <c r="F62" s="334">
        <v>314913.4057</v>
      </c>
    </row>
    <row r="63" spans="1:6">
      <c r="A63" s="348" t="s">
        <v>49</v>
      </c>
      <c r="B63" s="348" t="s">
        <v>29</v>
      </c>
      <c r="C63" s="334">
        <v>76</v>
      </c>
      <c r="D63" s="334">
        <v>7029179.4555000002</v>
      </c>
      <c r="E63" s="334">
        <v>95</v>
      </c>
      <c r="F63" s="334">
        <v>3730884.9413999999</v>
      </c>
    </row>
    <row r="64" spans="1:6">
      <c r="A64" s="348" t="s">
        <v>56</v>
      </c>
      <c r="B64" s="348" t="s">
        <v>57</v>
      </c>
      <c r="C64" s="334">
        <v>0</v>
      </c>
      <c r="D64" s="334">
        <v>0</v>
      </c>
      <c r="E64" s="334">
        <v>0</v>
      </c>
      <c r="F64" s="334">
        <v>0</v>
      </c>
    </row>
    <row r="65" spans="1:6">
      <c r="A65" s="348" t="s">
        <v>56</v>
      </c>
      <c r="B65" s="348" t="s">
        <v>29</v>
      </c>
      <c r="C65" s="334">
        <v>2</v>
      </c>
      <c r="D65" s="334">
        <v>43464.410862999997</v>
      </c>
      <c r="E65" s="334">
        <v>3</v>
      </c>
      <c r="F65" s="334">
        <v>29504.278807999999</v>
      </c>
    </row>
    <row r="66" spans="1:6">
      <c r="A66" s="348" t="s">
        <v>56</v>
      </c>
      <c r="B66" s="348" t="s">
        <v>58</v>
      </c>
      <c r="C66" s="334">
        <v>0</v>
      </c>
      <c r="D66" s="334">
        <v>0</v>
      </c>
      <c r="E66" s="334">
        <v>9</v>
      </c>
      <c r="F66" s="334">
        <v>43237.337499000001</v>
      </c>
    </row>
    <row r="67" spans="1:6">
      <c r="A67" s="355" t="s">
        <v>56</v>
      </c>
      <c r="B67" s="355" t="s">
        <v>59</v>
      </c>
      <c r="C67" s="334">
        <v>0</v>
      </c>
      <c r="D67" s="334">
        <v>0</v>
      </c>
      <c r="E67" s="334">
        <v>0</v>
      </c>
      <c r="F67" s="334">
        <v>0</v>
      </c>
    </row>
    <row r="68" spans="1:6">
      <c r="A68" s="341" t="s">
        <v>56</v>
      </c>
      <c r="B68" s="341" t="s">
        <v>60</v>
      </c>
      <c r="C68" s="334">
        <v>0</v>
      </c>
      <c r="D68" s="334">
        <v>0</v>
      </c>
      <c r="E68" s="334">
        <v>8</v>
      </c>
      <c r="F68" s="334">
        <v>50989.195747999998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30466703</v>
      </c>
      <c r="E73" s="475">
        <v>37346924.465364255</v>
      </c>
    </row>
    <row r="74" spans="1:6">
      <c r="A74" s="348" t="s">
        <v>64</v>
      </c>
      <c r="B74" s="348" t="s">
        <v>667</v>
      </c>
      <c r="C74" s="1294" t="s">
        <v>669</v>
      </c>
      <c r="D74" s="475">
        <v>2918210.8636815134</v>
      </c>
      <c r="E74" s="475">
        <v>3271286.2460180349</v>
      </c>
    </row>
    <row r="75" spans="1:6">
      <c r="A75" s="348" t="s">
        <v>65</v>
      </c>
      <c r="B75" s="348" t="s">
        <v>666</v>
      </c>
      <c r="C75" s="1294" t="s">
        <v>670</v>
      </c>
      <c r="D75" s="475">
        <v>25189757</v>
      </c>
      <c r="E75" s="475">
        <v>32080210.57812988</v>
      </c>
    </row>
    <row r="76" spans="1:6">
      <c r="A76" s="348" t="s">
        <v>65</v>
      </c>
      <c r="B76" s="348" t="s">
        <v>667</v>
      </c>
      <c r="C76" s="1294" t="s">
        <v>671</v>
      </c>
      <c r="D76" s="475">
        <v>333431.86368151323</v>
      </c>
      <c r="E76" s="475">
        <v>387509.2749820709</v>
      </c>
    </row>
    <row r="77" spans="1:6">
      <c r="A77" s="348" t="s">
        <v>66</v>
      </c>
      <c r="B77" s="348" t="s">
        <v>666</v>
      </c>
      <c r="C77" s="1294" t="s">
        <v>672</v>
      </c>
      <c r="D77" s="475">
        <v>76010321</v>
      </c>
      <c r="E77" s="475">
        <v>75996277.286086693</v>
      </c>
    </row>
    <row r="78" spans="1:6">
      <c r="A78" s="341" t="s">
        <v>66</v>
      </c>
      <c r="B78" s="341" t="s">
        <v>667</v>
      </c>
      <c r="C78" s="341" t="s">
        <v>673</v>
      </c>
      <c r="D78" s="1295">
        <v>9957657</v>
      </c>
      <c r="E78" s="1295">
        <v>10404292.289310591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221208.27263697353</v>
      </c>
      <c r="C83" s="475">
        <v>221208.27263697353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12.1301775147929</v>
      </c>
    </row>
    <row r="90" spans="1:6">
      <c r="A90" s="348" t="s">
        <v>552</v>
      </c>
      <c r="B90" s="1296">
        <v>0</v>
      </c>
    </row>
    <row r="91" spans="1:6">
      <c r="A91" s="348" t="s">
        <v>68</v>
      </c>
      <c r="B91" s="334">
        <v>3379.1240357789766</v>
      </c>
    </row>
    <row r="92" spans="1:6">
      <c r="A92" s="341" t="s">
        <v>69</v>
      </c>
      <c r="B92" s="342">
        <v>446.61715870039058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2408</v>
      </c>
    </row>
    <row r="98" spans="1:6">
      <c r="A98" s="348" t="s">
        <v>72</v>
      </c>
      <c r="B98" s="334">
        <v>0</v>
      </c>
    </row>
    <row r="99" spans="1:6">
      <c r="A99" s="348" t="s">
        <v>73</v>
      </c>
      <c r="B99" s="334">
        <v>104</v>
      </c>
    </row>
    <row r="100" spans="1:6">
      <c r="A100" s="348" t="s">
        <v>74</v>
      </c>
      <c r="B100" s="334">
        <v>742</v>
      </c>
    </row>
    <row r="101" spans="1:6">
      <c r="A101" s="348" t="s">
        <v>75</v>
      </c>
      <c r="B101" s="334">
        <v>105</v>
      </c>
    </row>
    <row r="102" spans="1:6">
      <c r="A102" s="348" t="s">
        <v>76</v>
      </c>
      <c r="B102" s="334">
        <v>153</v>
      </c>
    </row>
    <row r="103" spans="1:6">
      <c r="A103" s="348" t="s">
        <v>77</v>
      </c>
      <c r="B103" s="334">
        <v>404</v>
      </c>
    </row>
    <row r="104" spans="1:6">
      <c r="A104" s="348" t="s">
        <v>78</v>
      </c>
      <c r="B104" s="334">
        <v>2770</v>
      </c>
    </row>
    <row r="105" spans="1:6">
      <c r="A105" s="341" t="s">
        <v>79</v>
      </c>
      <c r="B105" s="341">
        <v>15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2</v>
      </c>
      <c r="C122" s="334">
        <v>0</v>
      </c>
    </row>
    <row r="123" spans="1:6">
      <c r="A123" s="348" t="s">
        <v>88</v>
      </c>
      <c r="B123" s="334">
        <v>27</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106</v>
      </c>
    </row>
    <row r="130" spans="1:6">
      <c r="A130" s="348" t="s">
        <v>295</v>
      </c>
      <c r="B130" s="334">
        <v>0</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53321.881200584685</v>
      </c>
      <c r="C3" s="43" t="s">
        <v>170</v>
      </c>
      <c r="D3" s="43"/>
      <c r="E3" s="154"/>
      <c r="F3" s="43"/>
      <c r="G3" s="43"/>
      <c r="H3" s="43"/>
      <c r="I3" s="43"/>
      <c r="J3" s="43"/>
      <c r="K3" s="96"/>
    </row>
    <row r="4" spans="1:11">
      <c r="A4" s="383" t="s">
        <v>171</v>
      </c>
      <c r="B4" s="49">
        <f>IF(ISERROR('SEAP template'!B78+'SEAP template'!C78),0,'SEAP template'!B78+'SEAP template'!C78)</f>
        <v>3837.8713719941602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0.20509340491907835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1192.6479999999999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1192.6479999999999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0.20509340491907835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244.60423918992893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31630.234229198602</v>
      </c>
      <c r="C5" s="17">
        <f>IF(ISERROR('Eigen informatie GS &amp; warmtenet'!B57),0,'Eigen informatie GS &amp; warmtenet'!B57)</f>
        <v>0</v>
      </c>
      <c r="D5" s="30">
        <f>(SUM(HH_hh_gas_kWh,HH_rest_gas_kWh)/1000)*0.902</f>
        <v>69390.073116847998</v>
      </c>
      <c r="E5" s="17">
        <f>B46*B57</f>
        <v>5258.5756702456092</v>
      </c>
      <c r="F5" s="17">
        <f>B51*B62</f>
        <v>13840.948843003782</v>
      </c>
      <c r="G5" s="18"/>
      <c r="H5" s="17"/>
      <c r="I5" s="17"/>
      <c r="J5" s="17">
        <f>B50*B61+C50*C61</f>
        <v>4934.1600712749932</v>
      </c>
      <c r="K5" s="17"/>
      <c r="L5" s="17"/>
      <c r="M5" s="17"/>
      <c r="N5" s="17">
        <f>B48*B59+C48*C59</f>
        <v>15078.304662562245</v>
      </c>
      <c r="O5" s="17">
        <f>B69*B70*B71</f>
        <v>195.41666666666669</v>
      </c>
      <c r="P5" s="17">
        <f>B77*B78*B79/1000-B77*B78*B79/1000/B80</f>
        <v>1048.6666666666667</v>
      </c>
    </row>
    <row r="6" spans="1:16">
      <c r="A6" s="16" t="s">
        <v>624</v>
      </c>
      <c r="B6" s="788">
        <f>kWh_PV_kleiner_dan_10kW</f>
        <v>3379.1240357789766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35009.358264977578</v>
      </c>
      <c r="C8" s="21">
        <f>C5</f>
        <v>0</v>
      </c>
      <c r="D8" s="21">
        <f>D5</f>
        <v>69390.073116847998</v>
      </c>
      <c r="E8" s="21">
        <f>E5</f>
        <v>5258.5756702456092</v>
      </c>
      <c r="F8" s="21">
        <f>F5</f>
        <v>13840.948843003782</v>
      </c>
      <c r="G8" s="21"/>
      <c r="H8" s="21"/>
      <c r="I8" s="21"/>
      <c r="J8" s="21">
        <f>J5</f>
        <v>4934.1600712749932</v>
      </c>
      <c r="K8" s="21"/>
      <c r="L8" s="21">
        <f>L5</f>
        <v>0</v>
      </c>
      <c r="M8" s="21">
        <f>M5</f>
        <v>0</v>
      </c>
      <c r="N8" s="21">
        <f>N5</f>
        <v>15078.304662562245</v>
      </c>
      <c r="O8" s="21">
        <f>O5</f>
        <v>195.41666666666669</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0.20509340491907835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7180.1884905961288</v>
      </c>
      <c r="C12" s="23">
        <f ca="1">C10*C8</f>
        <v>0</v>
      </c>
      <c r="D12" s="23">
        <f>D8*D10</f>
        <v>14016.794769603297</v>
      </c>
      <c r="E12" s="23">
        <f>E10*E8</f>
        <v>1193.6966771457533</v>
      </c>
      <c r="F12" s="23">
        <f>F10*F8</f>
        <v>3695.5333410820099</v>
      </c>
      <c r="G12" s="23"/>
      <c r="H12" s="23"/>
      <c r="I12" s="23"/>
      <c r="J12" s="23">
        <f>J10*J8</f>
        <v>1746.6926652313475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2408</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10.935856992639327</v>
      </c>
      <c r="D20" s="229"/>
      <c r="E20" s="15"/>
    </row>
    <row r="21" spans="1:7">
      <c r="A21" s="171" t="s">
        <v>74</v>
      </c>
      <c r="B21" s="37">
        <f>aantalw2001_elektriciteit</f>
        <v>742</v>
      </c>
      <c r="C21" s="167">
        <f>IF(ISERROR(B21/SUM($B$20,$B$21,$B$22)*100),0,B21/SUM($B$20,$B$21,$B$22)*100)</f>
        <v>78.023133543638281</v>
      </c>
      <c r="D21" s="229"/>
      <c r="E21" s="15"/>
    </row>
    <row r="22" spans="1:7">
      <c r="A22" s="171" t="s">
        <v>75</v>
      </c>
      <c r="B22" s="37">
        <f>aantalw2001_hout</f>
        <v>105</v>
      </c>
      <c r="C22" s="167">
        <f>IF(ISERROR(B22/SUM($B$20,$B$21,$B$22)*100),0,B22/SUM($B$20,$B$21,$B$22)*100)</f>
        <v>11.041009463722396</v>
      </c>
      <c r="D22" s="229"/>
      <c r="E22" s="15"/>
    </row>
    <row r="23" spans="1:7">
      <c r="A23" s="171" t="s">
        <v>76</v>
      </c>
      <c r="B23" s="37">
        <f>aantalw2001_niet_gespec</f>
        <v>153</v>
      </c>
      <c r="C23" s="166" t="s">
        <v>111</v>
      </c>
      <c r="D23" s="228"/>
      <c r="E23" s="15"/>
    </row>
    <row r="24" spans="1:7">
      <c r="A24" s="171" t="s">
        <v>77</v>
      </c>
      <c r="B24" s="37">
        <f>aantalw2001_steenkool</f>
        <v>404</v>
      </c>
      <c r="C24" s="166" t="s">
        <v>111</v>
      </c>
      <c r="D24" s="229"/>
      <c r="E24" s="15"/>
    </row>
    <row r="25" spans="1:7">
      <c r="A25" s="171" t="s">
        <v>78</v>
      </c>
      <c r="B25" s="37">
        <f>aantalw2001_stookolie</f>
        <v>2770</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698</v>
      </c>
      <c r="B28" s="37">
        <f>aantalHuishoudens2011</f>
        <v>7763</v>
      </c>
      <c r="C28" s="36"/>
      <c r="D28" s="228"/>
    </row>
    <row r="29" spans="1:7" s="15" customFormat="1">
      <c r="A29" s="230" t="s">
        <v>699</v>
      </c>
      <c r="B29" s="37">
        <f>SUM(HH_hh_gas_aantal,HH_rest_gas_aantal)</f>
        <v>4854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4854</v>
      </c>
      <c r="C32" s="167">
        <f>IF(ISERROR(B32/SUM($B$32,$B$34,$B$35,$B$36,$B$38,$B$39)*100),0,B32/SUM($B$32,$B$34,$B$35,$B$36,$B$38,$B$39)*100)</f>
        <v>62.973533990659057</v>
      </c>
      <c r="D32" s="233"/>
      <c r="G32" s="15"/>
    </row>
    <row r="33" spans="1:7">
      <c r="A33" s="171" t="s">
        <v>72</v>
      </c>
      <c r="B33" s="34" t="s">
        <v>111</v>
      </c>
      <c r="C33" s="167"/>
      <c r="D33" s="233"/>
      <c r="G33" s="15"/>
    </row>
    <row r="34" spans="1:7">
      <c r="A34" s="171" t="s">
        <v>73</v>
      </c>
      <c r="B34" s="33">
        <f>IF((($B$28-$B$32-$B$39-$B$77-$B$38)*C20/100)&lt;0,0,($B$28-$B$32-$B$39-$B$77-$B$38)*C20/100)</f>
        <v>232.49631966351208</v>
      </c>
      <c r="C34" s="167">
        <f>IF(ISERROR(B34/SUM($B$32,$B$34,$B$35,$B$36,$B$38,$B$39)*100),0,B34/SUM($B$32,$B$34,$B$35,$B$36,$B$38,$B$39)*100)</f>
        <v>3.0162989058577074</v>
      </c>
      <c r="D34" s="233"/>
      <c r="G34" s="15"/>
    </row>
    <row r="35" spans="1:7">
      <c r="A35" s="171" t="s">
        <v>74</v>
      </c>
      <c r="B35" s="33">
        <f>IF((($B$28-$B$32-$B$39-$B$77-$B$38)*C21/100)&lt;0,0,($B$28-$B$32-$B$39-$B$77-$B$38)*C21/100)</f>
        <v>1658.7718191377498</v>
      </c>
      <c r="C35" s="167">
        <f>IF(ISERROR(B35/SUM($B$32,$B$34,$B$35,$B$36,$B$38,$B$39)*100),0,B35/SUM($B$32,$B$34,$B$35,$B$36,$B$38,$B$39)*100)</f>
        <v>21.520132578330951</v>
      </c>
      <c r="D35" s="233"/>
      <c r="G35" s="15"/>
    </row>
    <row r="36" spans="1:7">
      <c r="A36" s="171" t="s">
        <v>75</v>
      </c>
      <c r="B36" s="33">
        <f>IF((($B$28-$B$32-$B$39-$B$77-$B$38)*C22/100)&lt;0,0,($B$28-$B$32-$B$39-$B$77-$B$38)*C22/100)</f>
        <v>234.73186119873816</v>
      </c>
      <c r="C36" s="167">
        <f>IF(ISERROR(B36/SUM($B$32,$B$34,$B$35,$B$36,$B$38,$B$39)*100),0,B36/SUM($B$32,$B$34,$B$35,$B$36,$B$38,$B$39)*100)</f>
        <v>3.0453017799524931</v>
      </c>
      <c r="D36" s="233"/>
      <c r="G36" s="15"/>
    </row>
    <row r="37" spans="1:7">
      <c r="A37" s="171" t="s">
        <v>76</v>
      </c>
      <c r="B37" s="34" t="s">
        <v>111</v>
      </c>
      <c r="C37" s="167"/>
      <c r="D37" s="173"/>
      <c r="G37" s="15"/>
    </row>
    <row r="38" spans="1:7">
      <c r="A38" s="171" t="s">
        <v>77</v>
      </c>
      <c r="B38" s="33">
        <f>IF((B24-(B29-B18)*0.1)&lt;0,0,B24-(B29-B18)*0.1)</f>
        <v>159.39999999999998</v>
      </c>
      <c r="C38" s="167">
        <f>IF(ISERROR(B38/SUM($B$32,$B$34,$B$35,$B$36,$B$38,$B$39)*100),0,B38/SUM($B$32,$B$34,$B$35,$B$36,$B$38,$B$39)*100)</f>
        <v>2.0679813181110531</v>
      </c>
      <c r="D38" s="234"/>
      <c r="G38" s="15"/>
    </row>
    <row r="39" spans="1:7">
      <c r="A39" s="171" t="s">
        <v>78</v>
      </c>
      <c r="B39" s="33">
        <f>IF((B25-(B29-B18))&lt;0,0,B25-(B29-B18)*0.9)</f>
        <v>568.59999999999991</v>
      </c>
      <c r="C39" s="167">
        <f>IF(ISERROR(B39/SUM($B$32,$B$34,$B$35,$B$36,$B$38,$B$39)*100),0,B39/SUM($B$32,$B$34,$B$35,$B$36,$B$38,$B$39)*100)</f>
        <v>7.3767514270887373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4854</v>
      </c>
      <c r="C44" s="34" t="s">
        <v>111</v>
      </c>
      <c r="D44" s="174"/>
    </row>
    <row r="45" spans="1:7">
      <c r="A45" s="171" t="s">
        <v>72</v>
      </c>
      <c r="B45" s="33" t="str">
        <f t="shared" si="0"/>
        <v>-</v>
      </c>
      <c r="C45" s="34" t="s">
        <v>111</v>
      </c>
      <c r="D45" s="174"/>
    </row>
    <row r="46" spans="1:7">
      <c r="A46" s="171" t="s">
        <v>73</v>
      </c>
      <c r="B46" s="33">
        <f t="shared" si="0"/>
        <v>232.49631966351208</v>
      </c>
      <c r="C46" s="34" t="s">
        <v>111</v>
      </c>
      <c r="D46" s="174"/>
    </row>
    <row r="47" spans="1:7">
      <c r="A47" s="171" t="s">
        <v>74</v>
      </c>
      <c r="B47" s="33">
        <f t="shared" si="0"/>
        <v>1658.7718191377498</v>
      </c>
      <c r="C47" s="34" t="s">
        <v>111</v>
      </c>
      <c r="D47" s="174"/>
    </row>
    <row r="48" spans="1:7">
      <c r="A48" s="171" t="s">
        <v>75</v>
      </c>
      <c r="B48" s="33">
        <f t="shared" si="0"/>
        <v>234.73186119873816</v>
      </c>
      <c r="C48" s="33">
        <f>B48*10</f>
        <v>2347.3186119873817</v>
      </c>
      <c r="D48" s="234"/>
    </row>
    <row r="49" spans="1:6">
      <c r="A49" s="171" t="s">
        <v>76</v>
      </c>
      <c r="B49" s="33" t="str">
        <f t="shared" si="0"/>
        <v>-</v>
      </c>
      <c r="C49" s="34" t="s">
        <v>111</v>
      </c>
      <c r="D49" s="234"/>
    </row>
    <row r="50" spans="1:6">
      <c r="A50" s="171" t="s">
        <v>77</v>
      </c>
      <c r="B50" s="33">
        <f t="shared" si="0"/>
        <v>159.39999999999998</v>
      </c>
      <c r="C50" s="33">
        <f>B50*2</f>
        <v>318.79999999999995</v>
      </c>
      <c r="D50" s="234"/>
    </row>
    <row r="51" spans="1:6">
      <c r="A51" s="171" t="s">
        <v>78</v>
      </c>
      <c r="B51" s="33">
        <f t="shared" si="0"/>
        <v>568.59999999999991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14145.01734771</v>
      </c>
      <c r="C5" s="17">
        <f>IF(ISERROR('Eigen informatie GS &amp; warmtenet'!B58),0,'Eigen informatie GS &amp; warmtenet'!B58)</f>
        <v>0</v>
      </c>
      <c r="D5" s="30">
        <f>SUM(D6:D12)</f>
        <v>17324.663380066682</v>
      </c>
      <c r="E5" s="17">
        <f>SUM(E6:E12)</f>
        <v>319.73881235207182</v>
      </c>
      <c r="F5" s="17">
        <f>SUM(F6:F12)</f>
        <v>3661.7590491361689</v>
      </c>
      <c r="G5" s="18"/>
      <c r="H5" s="17"/>
      <c r="I5" s="17"/>
      <c r="J5" s="17">
        <f>SUM(J6:J12)</f>
        <v>0</v>
      </c>
      <c r="K5" s="17"/>
      <c r="L5" s="17"/>
      <c r="M5" s="17"/>
      <c r="N5" s="17">
        <f>SUM(N6:N12)</f>
        <v>980.20270028711604</v>
      </c>
      <c r="O5" s="17">
        <f>B38*B39*B40</f>
        <v>0</v>
      </c>
      <c r="P5" s="17">
        <f>B46*B47*B48/1000-B46*B47*B48/1000/B49</f>
        <v>76.266666666666666</v>
      </c>
      <c r="R5" s="32"/>
    </row>
    <row r="6" spans="1:18">
      <c r="A6" s="32" t="s">
        <v>54</v>
      </c>
      <c r="B6" s="37">
        <f>B26</f>
        <v>1768.7595763000002</v>
      </c>
      <c r="C6" s="33"/>
      <c r="D6" s="37">
        <f>IF(ISERROR(TER_kantoor_gas_kWh/1000),0,TER_kantoor_gas_kWh/1000)*0.902</f>
        <v>4375.4391190048</v>
      </c>
      <c r="E6" s="33">
        <f>$C$26*'E Balans VL '!I12/100/3.6*1000000</f>
        <v>23.155241649630838</v>
      </c>
      <c r="F6" s="33">
        <f>$C$26*('E Balans VL '!L12+'E Balans VL '!N12)/100/3.6*1000000</f>
        <v>451.01541427779944</v>
      </c>
      <c r="G6" s="34"/>
      <c r="H6" s="33"/>
      <c r="I6" s="33"/>
      <c r="J6" s="33">
        <f>$C$26*('E Balans VL '!D12+'E Balans VL '!E12)/100/3.6*1000000</f>
        <v>0</v>
      </c>
      <c r="K6" s="33"/>
      <c r="L6" s="33"/>
      <c r="M6" s="33"/>
      <c r="N6" s="33">
        <f>$C$26*'E Balans VL '!Y12/100/3.6*1000000</f>
        <v>1.7747157794334587</v>
      </c>
      <c r="O6" s="33"/>
      <c r="P6" s="33"/>
      <c r="R6" s="32"/>
    </row>
    <row r="7" spans="1:18">
      <c r="A7" s="32" t="s">
        <v>53</v>
      </c>
      <c r="B7" s="37">
        <f t="shared" ref="B7:B12" si="0">B27</f>
        <v>1907.4172124000002</v>
      </c>
      <c r="C7" s="33"/>
      <c r="D7" s="37">
        <f>IF(ISERROR(TER_horeca_gas_kWh/1000),0,TER_horeca_gas_kWh/1000)*0.902</f>
        <v>1584.1107077136</v>
      </c>
      <c r="E7" s="33">
        <f>$C$27*'E Balans VL '!I9/100/3.6*1000000</f>
        <v>63.123907300751398</v>
      </c>
      <c r="F7" s="33">
        <f>$C$27*('E Balans VL '!L9+'E Balans VL '!N9)/100/3.6*1000000</f>
        <v>820.18209122378153</v>
      </c>
      <c r="G7" s="34"/>
      <c r="H7" s="33"/>
      <c r="I7" s="33"/>
      <c r="J7" s="33">
        <f>$C$27*('E Balans VL '!D9+'E Balans VL '!E9)/100/3.6*1000000</f>
        <v>0</v>
      </c>
      <c r="K7" s="33"/>
      <c r="L7" s="33"/>
      <c r="M7" s="33"/>
      <c r="N7" s="33">
        <f>$C$27*'E Balans VL '!Y9/100/3.6*1000000</f>
        <v>0.45914302176228788</v>
      </c>
      <c r="O7" s="33"/>
      <c r="P7" s="33"/>
      <c r="R7" s="32"/>
    </row>
    <row r="8" spans="1:18">
      <c r="A8" s="6" t="s">
        <v>52</v>
      </c>
      <c r="B8" s="37">
        <f t="shared" si="0"/>
        <v>5258.1341681000004</v>
      </c>
      <c r="C8" s="33"/>
      <c r="D8" s="37">
        <f>IF(ISERROR(TER_handel_gas_kWh/1000),0,TER_handel_gas_kWh/1000)*0.902</f>
        <v>1892.8247612802002</v>
      </c>
      <c r="E8" s="33">
        <f>$C$28*'E Balans VL '!I13/100/3.6*1000000</f>
        <v>165.9547485350945</v>
      </c>
      <c r="F8" s="33">
        <f>$C$28*('E Balans VL '!L13+'E Balans VL '!N13)/100/3.6*1000000</f>
        <v>1031.2127003586138</v>
      </c>
      <c r="G8" s="34"/>
      <c r="H8" s="33"/>
      <c r="I8" s="33"/>
      <c r="J8" s="33">
        <f>$C$28*('E Balans VL '!D13+'E Balans VL '!E13)/100/3.6*1000000</f>
        <v>0</v>
      </c>
      <c r="K8" s="33"/>
      <c r="L8" s="33"/>
      <c r="M8" s="33"/>
      <c r="N8" s="33">
        <f>$C$28*'E Balans VL '!Y13/100/3.6*1000000</f>
        <v>6.2403844033184459</v>
      </c>
      <c r="O8" s="33"/>
      <c r="P8" s="33"/>
      <c r="R8" s="32"/>
    </row>
    <row r="9" spans="1:18">
      <c r="A9" s="32" t="s">
        <v>51</v>
      </c>
      <c r="B9" s="37">
        <f t="shared" si="0"/>
        <v>355.65759713</v>
      </c>
      <c r="C9" s="33"/>
      <c r="D9" s="37">
        <f>IF(ISERROR(TER_gezond_gas_kWh/1000),0,TER_gezond_gas_kWh/1000)*0.902</f>
        <v>1169.9515366858002</v>
      </c>
      <c r="E9" s="33">
        <f>$C$29*'E Balans VL '!I10/100/3.6*1000000</f>
        <v>4.5534576964786973E-2</v>
      </c>
      <c r="F9" s="33">
        <f>$C$29*('E Balans VL '!L10+'E Balans VL '!N10)/100/3.6*1000000</f>
        <v>74.098384458200414</v>
      </c>
      <c r="G9" s="34"/>
      <c r="H9" s="33"/>
      <c r="I9" s="33"/>
      <c r="J9" s="33">
        <f>$C$29*('E Balans VL '!D10+'E Balans VL '!E10)/100/3.6*1000000</f>
        <v>0</v>
      </c>
      <c r="K9" s="33"/>
      <c r="L9" s="33"/>
      <c r="M9" s="33"/>
      <c r="N9" s="33">
        <f>$C$29*'E Balans VL '!Y10/100/3.6*1000000</f>
        <v>4.1773665841724315</v>
      </c>
      <c r="O9" s="33"/>
      <c r="P9" s="33"/>
      <c r="R9" s="32"/>
    </row>
    <row r="10" spans="1:18">
      <c r="A10" s="32" t="s">
        <v>50</v>
      </c>
      <c r="B10" s="37">
        <f t="shared" si="0"/>
        <v>809.2504466800001</v>
      </c>
      <c r="C10" s="33"/>
      <c r="D10" s="37">
        <f>IF(ISERROR(TER_ander_gas_kWh/1000),0,TER_ander_gas_kWh/1000)*0.902</f>
        <v>891.53606481587997</v>
      </c>
      <c r="E10" s="33">
        <f>$C$30*'E Balans VL '!I14/100/3.6*1000000</f>
        <v>1.2169223639496518</v>
      </c>
      <c r="F10" s="33">
        <f>$C$30*('E Balans VL '!L14+'E Balans VL '!N14)/100/3.6*1000000</f>
        <v>178.65641276493332</v>
      </c>
      <c r="G10" s="34"/>
      <c r="H10" s="33"/>
      <c r="I10" s="33"/>
      <c r="J10" s="33">
        <f>$C$30*('E Balans VL '!D14+'E Balans VL '!E14)/100/3.6*1000000</f>
        <v>0</v>
      </c>
      <c r="K10" s="33"/>
      <c r="L10" s="33"/>
      <c r="M10" s="33"/>
      <c r="N10" s="33">
        <f>$C$30*'E Balans VL '!Y14/100/3.6*1000000</f>
        <v>637.74381248553641</v>
      </c>
      <c r="O10" s="33"/>
      <c r="P10" s="33"/>
      <c r="R10" s="32"/>
    </row>
    <row r="11" spans="1:18">
      <c r="A11" s="32" t="s">
        <v>55</v>
      </c>
      <c r="B11" s="37">
        <f t="shared" si="0"/>
        <v>314.9134057</v>
      </c>
      <c r="C11" s="33"/>
      <c r="D11" s="37">
        <f>IF(ISERROR(TER_onderwijs_gas_kWh/1000),0,TER_onderwijs_gas_kWh/1000)*0.902</f>
        <v>1070.4813217054</v>
      </c>
      <c r="E11" s="33">
        <f>$C$31*'E Balans VL '!I11/100/3.6*1000000</f>
        <v>0.55458889708987813</v>
      </c>
      <c r="F11" s="33">
        <f>$C$31*('E Balans VL '!L11+'E Balans VL '!N11)/100/3.6*1000000</f>
        <v>145.40121776034147</v>
      </c>
      <c r="G11" s="34"/>
      <c r="H11" s="33"/>
      <c r="I11" s="33"/>
      <c r="J11" s="33">
        <f>$C$31*('E Balans VL '!D11+'E Balans VL '!E11)/100/3.6*1000000</f>
        <v>0</v>
      </c>
      <c r="K11" s="33"/>
      <c r="L11" s="33"/>
      <c r="M11" s="33"/>
      <c r="N11" s="33">
        <f>$C$31*'E Balans VL '!Y11/100/3.6*1000000</f>
        <v>0.58668802968690059</v>
      </c>
      <c r="O11" s="33"/>
      <c r="P11" s="33"/>
      <c r="R11" s="32"/>
    </row>
    <row r="12" spans="1:18">
      <c r="A12" s="32" t="s">
        <v>260</v>
      </c>
      <c r="B12" s="37">
        <f t="shared" si="0"/>
        <v>3730.8849414000001</v>
      </c>
      <c r="C12" s="33"/>
      <c r="D12" s="37">
        <f>IF(ISERROR(TER_rest_gas_kWh/1000),0,TER_rest_gas_kWh/1000)*0.902</f>
        <v>6340.3198688610009</v>
      </c>
      <c r="E12" s="33">
        <f>$C$32*'E Balans VL '!I8/100/3.6*1000000</f>
        <v>65.687869028590711</v>
      </c>
      <c r="F12" s="33">
        <f>$C$32*('E Balans VL '!L8+'E Balans VL '!N8)/100/3.6*1000000</f>
        <v>961.19282829249892</v>
      </c>
      <c r="G12" s="34"/>
      <c r="H12" s="33"/>
      <c r="I12" s="33"/>
      <c r="J12" s="33">
        <f>$C$32*('E Balans VL '!D8+'E Balans VL '!E8)/100/3.6*1000000</f>
        <v>0</v>
      </c>
      <c r="K12" s="33"/>
      <c r="L12" s="33"/>
      <c r="M12" s="33"/>
      <c r="N12" s="33">
        <f>$C$32*'E Balans VL '!Y8/100/3.6*1000000</f>
        <v>329.22058998320608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14145.01734771</v>
      </c>
      <c r="C16" s="21">
        <f t="shared" ca="1" si="1"/>
        <v>0</v>
      </c>
      <c r="D16" s="21">
        <f t="shared" ca="1" si="1"/>
        <v>17324.663380066682</v>
      </c>
      <c r="E16" s="21">
        <f t="shared" si="1"/>
        <v>319.73881235207182</v>
      </c>
      <c r="F16" s="21">
        <f t="shared" ca="1" si="1"/>
        <v>3661.7590491361689</v>
      </c>
      <c r="G16" s="21">
        <f t="shared" si="1"/>
        <v>0</v>
      </c>
      <c r="H16" s="21">
        <f t="shared" si="1"/>
        <v>0</v>
      </c>
      <c r="I16" s="21">
        <f t="shared" si="1"/>
        <v>0</v>
      </c>
      <c r="J16" s="21">
        <f t="shared" si="1"/>
        <v>0</v>
      </c>
      <c r="K16" s="21">
        <f t="shared" si="1"/>
        <v>0</v>
      </c>
      <c r="L16" s="21">
        <f t="shared" ca="1" si="1"/>
        <v>0</v>
      </c>
      <c r="M16" s="21">
        <f t="shared" si="1"/>
        <v>0</v>
      </c>
      <c r="N16" s="21">
        <f t="shared" ca="1" si="1"/>
        <v>980.20270028711604</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0.20509340491907835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2901.0497704812747</v>
      </c>
      <c r="C20" s="23">
        <f t="shared" ref="C20:P20" ca="1" si="2">C16*C18</f>
        <v>0</v>
      </c>
      <c r="D20" s="23">
        <f t="shared" ca="1" si="2"/>
        <v>3499.5820027734699</v>
      </c>
      <c r="E20" s="23">
        <f t="shared" si="2"/>
        <v>72.580710403920307</v>
      </c>
      <c r="F20" s="23">
        <f t="shared" ca="1" si="2"/>
        <v>977.68966611935718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1768.7595763000002</v>
      </c>
      <c r="C26" s="39">
        <f>IF(ISERROR(B26*3.6/1000000/'E Balans VL '!Z12*100),0,B26*3.6/1000000/'E Balans VL '!Z12*100)</f>
        <v>3.7888204220154188E-2</v>
      </c>
      <c r="D26" s="237" t="s">
        <v>660</v>
      </c>
      <c r="F26" s="6"/>
    </row>
    <row r="27" spans="1:18">
      <c r="A27" s="231" t="s">
        <v>53</v>
      </c>
      <c r="B27" s="33">
        <f>IF(ISERROR(TER_horeca_ele_kWh/1000),0,TER_horeca_ele_kWh/1000)</f>
        <v>1907.4172124000002</v>
      </c>
      <c r="C27" s="39">
        <f>IF(ISERROR(B27*3.6/1000000/'E Balans VL '!Z9*100),0,B27*3.6/1000000/'E Balans VL '!Z9*100)</f>
        <v>0.15306360118054438</v>
      </c>
      <c r="D27" s="237" t="s">
        <v>660</v>
      </c>
      <c r="F27" s="6"/>
    </row>
    <row r="28" spans="1:18">
      <c r="A28" s="171" t="s">
        <v>52</v>
      </c>
      <c r="B28" s="33">
        <f>IF(ISERROR(TER_handel_ele_kWh/1000),0,TER_handel_ele_kWh/1000)</f>
        <v>5258.1341681000004</v>
      </c>
      <c r="C28" s="39">
        <f>IF(ISERROR(B28*3.6/1000000/'E Balans VL '!Z13*100),0,B28*3.6/1000000/'E Balans VL '!Z13*100)</f>
        <v>0.15508479850432472</v>
      </c>
      <c r="D28" s="237" t="s">
        <v>660</v>
      </c>
      <c r="F28" s="6"/>
    </row>
    <row r="29" spans="1:18">
      <c r="A29" s="231" t="s">
        <v>51</v>
      </c>
      <c r="B29" s="33">
        <f>IF(ISERROR(TER_gezond_ele_kWh/1000),0,TER_gezond_ele_kWh/1000)</f>
        <v>355.65759713</v>
      </c>
      <c r="C29" s="39">
        <f>IF(ISERROR(B29*3.6/1000000/'E Balans VL '!Z10*100),0,B29*3.6/1000000/'E Balans VL '!Z10*100)</f>
        <v>3.7974695835725221E-2</v>
      </c>
      <c r="D29" s="237" t="s">
        <v>660</v>
      </c>
      <c r="F29" s="6"/>
    </row>
    <row r="30" spans="1:18">
      <c r="A30" s="231" t="s">
        <v>50</v>
      </c>
      <c r="B30" s="33">
        <f>IF(ISERROR(TER_ander_ele_kWh/1000),0,TER_ander_ele_kWh/1000)</f>
        <v>809.2504466800001</v>
      </c>
      <c r="C30" s="39">
        <f>IF(ISERROR(B30*3.6/1000000/'E Balans VL '!Z14*100),0,B30*3.6/1000000/'E Balans VL '!Z14*100)</f>
        <v>6.112586403606271E-2</v>
      </c>
      <c r="D30" s="237" t="s">
        <v>660</v>
      </c>
      <c r="F30" s="6"/>
    </row>
    <row r="31" spans="1:18">
      <c r="A31" s="231" t="s">
        <v>55</v>
      </c>
      <c r="B31" s="33">
        <f>IF(ISERROR(TER_onderwijs_ele_kWh/1000),0,TER_onderwijs_ele_kWh/1000)</f>
        <v>314.9134057</v>
      </c>
      <c r="C31" s="39">
        <f>IF(ISERROR(B31*3.6/1000000/'E Balans VL '!Z11*100),0,B31*3.6/1000000/'E Balans VL '!Z11*100)</f>
        <v>6.3591529232456562E-2</v>
      </c>
      <c r="D31" s="237" t="s">
        <v>660</v>
      </c>
    </row>
    <row r="32" spans="1:18">
      <c r="A32" s="231" t="s">
        <v>260</v>
      </c>
      <c r="B32" s="33">
        <f>IF(ISERROR(TER_rest_ele_kWh/1000),0,TER_rest_ele_kWh/1000)</f>
        <v>3730.8849414000001</v>
      </c>
      <c r="C32" s="39">
        <f>IF(ISERROR(B32*3.6/1000000/'E Balans VL '!Z8*100),0,B32*3.6/1000000/'E Balans VL '!Z8*100)</f>
        <v>3.0934231384007957E-2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1417.4384074049999</v>
      </c>
      <c r="C5" s="17">
        <f>IF(ISERROR('Eigen informatie GS &amp; warmtenet'!B59),0,'Eigen informatie GS &amp; warmtenet'!B59)</f>
        <v>0</v>
      </c>
      <c r="D5" s="30">
        <f>SUM(D6:D15)</f>
        <v>1534.0824545890798</v>
      </c>
      <c r="E5" s="17">
        <f>SUM(E6:E15)</f>
        <v>210.80101128158651</v>
      </c>
      <c r="F5" s="17">
        <f>SUM(F6:F15)</f>
        <v>784.07118884303441</v>
      </c>
      <c r="G5" s="18"/>
      <c r="H5" s="17"/>
      <c r="I5" s="17"/>
      <c r="J5" s="17">
        <f>SUM(J6:J15)</f>
        <v>4.2658864128048997</v>
      </c>
      <c r="K5" s="17"/>
      <c r="L5" s="17"/>
      <c r="M5" s="17"/>
      <c r="N5" s="17">
        <f>SUM(N6:N15)</f>
        <v>408.57126133111069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95.994795104999994</v>
      </c>
      <c r="C8" s="33"/>
      <c r="D8" s="37">
        <f>IF( ISERROR(IND_metaal_Gas_kWH/1000),0,IND_metaal_Gas_kWH/1000)*0.902</f>
        <v>0</v>
      </c>
      <c r="E8" s="33">
        <f>C30*'E Balans VL '!I18/100/3.6*1000000</f>
        <v>3.4541831318189962</v>
      </c>
      <c r="F8" s="33">
        <f>C30*'E Balans VL '!L18/100/3.6*1000000+C30*'E Balans VL '!N18/100/3.6*1000000</f>
        <v>41.917815205896119</v>
      </c>
      <c r="G8" s="34"/>
      <c r="H8" s="33"/>
      <c r="I8" s="33"/>
      <c r="J8" s="40">
        <f>C30*'E Balans VL '!D18/100/3.6*1000000+C30*'E Balans VL '!E18/100/3.6*1000000</f>
        <v>0</v>
      </c>
      <c r="K8" s="33"/>
      <c r="L8" s="33"/>
      <c r="M8" s="33"/>
      <c r="N8" s="33">
        <f>C30*'E Balans VL '!Y18/100/3.6*1000000</f>
        <v>4.811193895287011</v>
      </c>
      <c r="O8" s="33"/>
      <c r="P8" s="33"/>
      <c r="R8" s="32"/>
    </row>
    <row r="9" spans="1:18">
      <c r="A9" s="6" t="s">
        <v>33</v>
      </c>
      <c r="B9" s="37">
        <f t="shared" si="0"/>
        <v>710.65372776000004</v>
      </c>
      <c r="C9" s="33"/>
      <c r="D9" s="37">
        <f>IF( ISERROR(IND_andere_gas_kWh/1000),0,IND_andere_gas_kWh/1000)*0.902</f>
        <v>689.21695440114001</v>
      </c>
      <c r="E9" s="33">
        <f>C31*'E Balans VL '!I19/100/3.6*1000000</f>
        <v>181.34275233340566</v>
      </c>
      <c r="F9" s="33">
        <f>C31*'E Balans VL '!L19/100/3.6*1000000+C31*'E Balans VL '!N19/100/3.6*1000000</f>
        <v>611.81944479059223</v>
      </c>
      <c r="G9" s="34"/>
      <c r="H9" s="33"/>
      <c r="I9" s="33"/>
      <c r="J9" s="40">
        <f>C31*'E Balans VL '!D19/100/3.6*1000000+C31*'E Balans VL '!E19/100/3.6*1000000</f>
        <v>0</v>
      </c>
      <c r="K9" s="33"/>
      <c r="L9" s="33"/>
      <c r="M9" s="33"/>
      <c r="N9" s="33">
        <f>C31*'E Balans VL '!Y19/100/3.6*1000000</f>
        <v>222.24575801896489</v>
      </c>
      <c r="O9" s="33"/>
      <c r="P9" s="33"/>
      <c r="R9" s="32"/>
    </row>
    <row r="10" spans="1:18">
      <c r="A10" s="6" t="s">
        <v>41</v>
      </c>
      <c r="B10" s="37">
        <f t="shared" si="0"/>
        <v>195.57427048</v>
      </c>
      <c r="C10" s="33"/>
      <c r="D10" s="37">
        <f>IF( ISERROR(IND_voed_gas_kWh/1000),0,IND_voed_gas_kWh/1000)*0.902</f>
        <v>356.12315794396</v>
      </c>
      <c r="E10" s="33">
        <f>C32*'E Balans VL '!I20/100/3.6*1000000</f>
        <v>4.9717665010818184</v>
      </c>
      <c r="F10" s="33">
        <f>C32*'E Balans VL '!L20/100/3.6*1000000+C32*'E Balans VL '!N20/100/3.6*1000000</f>
        <v>44.255521586638558</v>
      </c>
      <c r="G10" s="34"/>
      <c r="H10" s="33"/>
      <c r="I10" s="33"/>
      <c r="J10" s="40">
        <f>C32*'E Balans VL '!D20/100/3.6*1000000+C32*'E Balans VL '!E20/100/3.6*1000000</f>
        <v>0</v>
      </c>
      <c r="K10" s="33"/>
      <c r="L10" s="33"/>
      <c r="M10" s="33"/>
      <c r="N10" s="33">
        <f>C32*'E Balans VL '!Y20/100/3.6*1000000</f>
        <v>73.345652679118885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18.96909934</v>
      </c>
      <c r="C12" s="33"/>
      <c r="D12" s="37">
        <f>IF( ISERROR(IND_min_gas_kWh/1000),0,IND_min_gas_kWh/1000)*0.902</f>
        <v>0</v>
      </c>
      <c r="E12" s="33">
        <f>C34*'E Balans VL '!I22/100/3.6*1000000</f>
        <v>0.40304582019683599</v>
      </c>
      <c r="F12" s="33">
        <f>C34*'E Balans VL '!L22/100/3.6*1000000+C34*'E Balans VL '!N22/100/3.6*1000000</f>
        <v>3.0949702138562234</v>
      </c>
      <c r="G12" s="34"/>
      <c r="H12" s="33"/>
      <c r="I12" s="33"/>
      <c r="J12" s="40">
        <f>C34*'E Balans VL '!D22/100/3.6*1000000+C34*'E Balans VL '!E22/100/3.6*1000000</f>
        <v>2.2100770937161646E-2</v>
      </c>
      <c r="K12" s="33"/>
      <c r="L12" s="33"/>
      <c r="M12" s="33"/>
      <c r="N12" s="33">
        <f>C34*'E Balans VL '!Y22/100/3.6*1000000</f>
        <v>0</v>
      </c>
      <c r="O12" s="33"/>
      <c r="P12" s="33"/>
      <c r="R12" s="32"/>
    </row>
    <row r="13" spans="1:18">
      <c r="A13" s="6" t="s">
        <v>39</v>
      </c>
      <c r="B13" s="37">
        <f t="shared" si="0"/>
        <v>17.529145849999999</v>
      </c>
      <c r="C13" s="33"/>
      <c r="D13" s="37">
        <f>IF( ISERROR(IND_papier_gas_kWh/1000),0,IND_papier_gas_kWh/1000)*0.902</f>
        <v>58.904208757680003</v>
      </c>
      <c r="E13" s="33">
        <f>C35*'E Balans VL '!I23/100/3.6*1000000</f>
        <v>7.5177407010391425E-2</v>
      </c>
      <c r="F13" s="33">
        <f>C35*'E Balans VL '!L23/100/3.6*1000000+C35*'E Balans VL '!N23/100/3.6*1000000</f>
        <v>0.44056184221566602</v>
      </c>
      <c r="G13" s="34"/>
      <c r="H13" s="33"/>
      <c r="I13" s="33"/>
      <c r="J13" s="40">
        <f>C35*'E Balans VL '!D23/100/3.6*1000000+C35*'E Balans VL '!E23/100/3.6*1000000</f>
        <v>1.1734801712474638</v>
      </c>
      <c r="K13" s="33"/>
      <c r="L13" s="33"/>
      <c r="M13" s="33"/>
      <c r="N13" s="33">
        <f>C35*'E Balans VL '!Y23/100/3.6*1000000</f>
        <v>31.907214036924703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378.71736887000003</v>
      </c>
      <c r="C15" s="33"/>
      <c r="D15" s="37">
        <f>IF( ISERROR(IND_rest_gas_kWh/1000),0,IND_rest_gas_kWh/1000)*0.902</f>
        <v>429.83813348630002</v>
      </c>
      <c r="E15" s="33">
        <f>C37*'E Balans VL '!I15/100/3.6*1000000</f>
        <v>20.554086088072811</v>
      </c>
      <c r="F15" s="33">
        <f>C37*'E Balans VL '!L15/100/3.6*1000000+C37*'E Balans VL '!N15/100/3.6*1000000</f>
        <v>82.542875203835692</v>
      </c>
      <c r="G15" s="34"/>
      <c r="H15" s="33"/>
      <c r="I15" s="33"/>
      <c r="J15" s="40">
        <f>C37*'E Balans VL '!D15/100/3.6*1000000+C37*'E Balans VL '!E15/100/3.6*1000000</f>
        <v>3.0703054706202737</v>
      </c>
      <c r="K15" s="33"/>
      <c r="L15" s="33"/>
      <c r="M15" s="33"/>
      <c r="N15" s="33">
        <f>C37*'E Balans VL '!Y15/100/3.6*1000000</f>
        <v>76.261442700815252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1417.4384074049999</v>
      </c>
      <c r="C18" s="21">
        <f>C5+C16</f>
        <v>0</v>
      </c>
      <c r="D18" s="21">
        <f>MAX((D5+D16),0)</f>
        <v>1534.0824545890798</v>
      </c>
      <c r="E18" s="21">
        <f>MAX((E5+E16),0)</f>
        <v>210.80101128158651</v>
      </c>
      <c r="F18" s="21">
        <f>MAX((F5+F16),0)</f>
        <v>784.07118884303441</v>
      </c>
      <c r="G18" s="21"/>
      <c r="H18" s="21"/>
      <c r="I18" s="21"/>
      <c r="J18" s="21">
        <f>MAX((J5+J16),0)</f>
        <v>4.2658864128048997</v>
      </c>
      <c r="K18" s="21"/>
      <c r="L18" s="21">
        <f>MAX((L5+L16),0)</f>
        <v>0</v>
      </c>
      <c r="M18" s="21"/>
      <c r="N18" s="21">
        <f>MAX((N5+N16),0)</f>
        <v>408.57126133111069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0.20509340491907835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290.70726923776721</v>
      </c>
      <c r="C22" s="23">
        <f ca="1">C18*C20</f>
        <v>0</v>
      </c>
      <c r="D22" s="23">
        <f>D18*D20</f>
        <v>309.88465582699416</v>
      </c>
      <c r="E22" s="23">
        <f>E18*E20</f>
        <v>47.851829560920137</v>
      </c>
      <c r="F22" s="23">
        <f>F18*F20</f>
        <v>209.34700742109021</v>
      </c>
      <c r="G22" s="23"/>
      <c r="H22" s="23"/>
      <c r="I22" s="23"/>
      <c r="J22" s="23">
        <f>J18*J20</f>
        <v>1.5101237901329343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95.994795104999994</v>
      </c>
      <c r="C30" s="39">
        <f>IF(ISERROR(B30*3.6/1000000/'E Balans VL '!Z18*100),0,B30*3.6/1000000/'E Balans VL '!Z18*100)</f>
        <v>2.0339239008584108E-2</v>
      </c>
      <c r="D30" s="237" t="s">
        <v>660</v>
      </c>
    </row>
    <row r="31" spans="1:18">
      <c r="A31" s="6" t="s">
        <v>33</v>
      </c>
      <c r="B31" s="37">
        <f>IF( ISERROR(IND_ander_ele_kWh/1000),0,IND_ander_ele_kWh/1000)</f>
        <v>710.65372776000004</v>
      </c>
      <c r="C31" s="39">
        <f>IF(ISERROR(B31*3.6/1000000/'E Balans VL '!Z19*100),0,B31*3.6/1000000/'E Balans VL '!Z19*100)</f>
        <v>2.9913029058061941E-2</v>
      </c>
      <c r="D31" s="237" t="s">
        <v>660</v>
      </c>
    </row>
    <row r="32" spans="1:18">
      <c r="A32" s="171" t="s">
        <v>41</v>
      </c>
      <c r="B32" s="37">
        <f>IF( ISERROR(IND_voed_ele_kWh/1000),0,IND_voed_ele_kWh/1000)</f>
        <v>195.57427048</v>
      </c>
      <c r="C32" s="39">
        <f>IF(ISERROR(B32*3.6/1000000/'E Balans VL '!Z20*100),0,B32*3.6/1000000/'E Balans VL '!Z20*100)</f>
        <v>3.2672894654367478E-2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18.96909934</v>
      </c>
      <c r="C34" s="39">
        <f>IF(ISERROR(B34*3.6/1000000/'E Balans VL '!Z22*100),0,B34*3.6/1000000/'E Balans VL '!Z22*100)</f>
        <v>2.404435641395601E-3</v>
      </c>
      <c r="D34" s="237" t="s">
        <v>660</v>
      </c>
    </row>
    <row r="35" spans="1:5">
      <c r="A35" s="171" t="s">
        <v>39</v>
      </c>
      <c r="B35" s="37">
        <f>IF( ISERROR(IND_papier_ele_kWh/1000),0,IND_papier_ele_kWh/1000)</f>
        <v>17.529145849999999</v>
      </c>
      <c r="C35" s="39">
        <f>IF(ISERROR(B35*3.6/1000000/'E Balans VL '!Z22*100),0,B35*3.6/1000000/'E Balans VL '!Z22*100)</f>
        <v>2.2219137708918649E-3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378.71736887000003</v>
      </c>
      <c r="C37" s="39">
        <f>IF(ISERROR(B37*3.6/1000000/'E Balans VL '!Z15*100),0,B37*3.6/1000000/'E Balans VL '!Z15*100)</f>
        <v>3.0575319649740764E-3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714.48409505999996</v>
      </c>
      <c r="C5" s="17">
        <f>'Eigen informatie GS &amp; warmtenet'!B60</f>
        <v>0</v>
      </c>
      <c r="D5" s="30">
        <f>IF(ISERROR(SUM(LB_lb_gas_kWh,LB_rest_gas_kWh)/1000),0,SUM(LB_lb_gas_kWh,LB_rest_gas_kWh)/1000)*0.902</f>
        <v>223.98262359072604</v>
      </c>
      <c r="E5" s="17">
        <f>B17*'E Balans VL '!I25/3.6*1000000/100</f>
        <v>18.423801509838533</v>
      </c>
      <c r="F5" s="17">
        <f>B17*('E Balans VL '!L25/3.6*1000000+'E Balans VL '!N25/3.6*1000000)/100</f>
        <v>2611.5754343304634</v>
      </c>
      <c r="G5" s="18"/>
      <c r="H5" s="17"/>
      <c r="I5" s="17"/>
      <c r="J5" s="17">
        <f>('E Balans VL '!D25+'E Balans VL '!E25)/3.6*1000000*landbouw!B17/100</f>
        <v>102.85942620725011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714.48409505999996</v>
      </c>
      <c r="C8" s="21">
        <f>C5+C6</f>
        <v>0</v>
      </c>
      <c r="D8" s="21">
        <f>MAX((D5+D6),0)</f>
        <v>223.98262359072604</v>
      </c>
      <c r="E8" s="21">
        <f>MAX((E5+E6),0)</f>
        <v>18.423801509838533</v>
      </c>
      <c r="F8" s="21">
        <f>MAX((F5+F6),0)</f>
        <v>2611.5754343304634</v>
      </c>
      <c r="G8" s="21"/>
      <c r="H8" s="21"/>
      <c r="I8" s="21"/>
      <c r="J8" s="21">
        <f>MAX((J5+J6),0)</f>
        <v>102.85942620725011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0.20509340491907835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146.53597581638184</v>
      </c>
      <c r="C12" s="23">
        <f ca="1">C8*C10</f>
        <v>0</v>
      </c>
      <c r="D12" s="23">
        <f>D8*D10</f>
        <v>45.244489965326665</v>
      </c>
      <c r="E12" s="23">
        <f>E8*E10</f>
        <v>4.1822029427333476</v>
      </c>
      <c r="F12" s="23">
        <f>F8*F10</f>
        <v>697.29064096623381</v>
      </c>
      <c r="G12" s="23"/>
      <c r="H12" s="23"/>
      <c r="I12" s="23"/>
      <c r="J12" s="23">
        <f>J8*J10</f>
        <v>36.412236877366539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0.10074699003998636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171.07843898721896</v>
      </c>
      <c r="C26" s="247">
        <f>B26*'GWP N2O_CH4'!B5</f>
        <v>3592.6472187315981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21.864770876418586</v>
      </c>
      <c r="C27" s="247">
        <f>B27*'GWP N2O_CH4'!B5</f>
        <v>459.16018840479029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2.2643324363532837</v>
      </c>
      <c r="C28" s="247">
        <f>B28*'GWP N2O_CH4'!B4</f>
        <v>701.94305526951791</v>
      </c>
      <c r="D28" s="50"/>
    </row>
    <row r="29" spans="1:4">
      <c r="A29" s="41" t="s">
        <v>277</v>
      </c>
      <c r="B29" s="247">
        <f>B34*'ha_N2O bodem landbouw'!B4</f>
        <v>8.915096831866542</v>
      </c>
      <c r="C29" s="247">
        <f>B29*'GWP N2O_CH4'!B4</f>
        <v>2763.680017878628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2.0063812476244771E-3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1.1107500149558412E-4</v>
      </c>
      <c r="C5" s="463" t="s">
        <v>211</v>
      </c>
      <c r="D5" s="448">
        <f>SUM(D6:D11)</f>
        <v>2.5921611920944553E-4</v>
      </c>
      <c r="E5" s="448">
        <f>SUM(E6:E11)</f>
        <v>1.1271524184315721E-3</v>
      </c>
      <c r="F5" s="461" t="s">
        <v>211</v>
      </c>
      <c r="G5" s="448">
        <f>SUM(G6:G11)</f>
        <v>0.37069368348746223</v>
      </c>
      <c r="H5" s="448">
        <f>SUM(H6:H11)</f>
        <v>7.1117254292332399E-2</v>
      </c>
      <c r="I5" s="463" t="s">
        <v>211</v>
      </c>
      <c r="J5" s="463" t="s">
        <v>211</v>
      </c>
      <c r="K5" s="463" t="s">
        <v>211</v>
      </c>
      <c r="L5" s="463" t="s">
        <v>211</v>
      </c>
      <c r="M5" s="448">
        <f>SUM(M6:M11)</f>
        <v>1.3809434952668377E-2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2.5701920071172069E-5</v>
      </c>
      <c r="C6" s="449"/>
      <c r="D6" s="892">
        <f>vkm_2011_GW_PW*SUMIFS(TableVerdeelsleutelVkm[CNG],TableVerdeelsleutelVkm[Voertuigtype],"Lichte voertuigen")*SUMIFS(TableECFTransport[EnergieConsumptieFactor (PJ per km)],TableECFTransport[Index],CONCATENATE($A6,"_CNG_CNG"))</f>
        <v>5.1070165389987551E-5</v>
      </c>
      <c r="E6" s="892">
        <f>vkm_2011_GW_PW*SUMIFS(TableVerdeelsleutelVkm[LPG],TableVerdeelsleutelVkm[Voertuigtype],"Lichte voertuigen")*SUMIFS(TableECFTransport[EnergieConsumptieFactor (PJ per km)],TableECFTransport[Index],CONCATENATE($A6,"_LPG_LPG"))</f>
        <v>2.0097940809149769E-4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4.7786007238548749E-2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1.3826230183028554E-2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1.9198942116282315E-3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2.796287338118587E-2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9.0332024945328245E-6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8.8106735491787376E-4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2.1250252153186614E-5</v>
      </c>
      <c r="C8" s="449"/>
      <c r="D8" s="451">
        <f>vkm_2011_NGW_PW*SUMIFS(TableVerdeelsleutelVkm[CNG],TableVerdeelsleutelVkm[Voertuigtype],"Lichte voertuigen")*SUMIFS(TableECFTransport[EnergieConsumptieFactor (PJ per km)],TableECFTransport[Index],CONCATENATE($A8,"_CNG_CNG"))</f>
        <v>7.4764404658756513E-5</v>
      </c>
      <c r="E8" s="451">
        <f>vkm_2011_NGW_PW*SUMIFS(TableVerdeelsleutelVkm[LPG],TableVerdeelsleutelVkm[Voertuigtype],"Lichte voertuigen")*SUMIFS(TableECFTransport[EnergieConsumptieFactor (PJ per km)],TableECFTransport[Index],CONCATENATE($A8,"_LPG_LPG"))</f>
        <v>2.7210589921284413E-4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6.0415158800567526E-2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1.9626751022854605E-2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2.4916734196453114E-3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4.078119361581682E-3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1.245900043766909E-6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1.2849315653399164E-4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6.412282927122544E-5</v>
      </c>
      <c r="C10" s="449"/>
      <c r="D10" s="451">
        <f>vkm_2011_SW_PW*SUMIFS(TableVerdeelsleutelVkm[CNG],TableVerdeelsleutelVkm[Voertuigtype],"Lichte voertuigen")*SUMIFS(TableECFTransport[EnergieConsumptieFactor (PJ per km)],TableECFTransport[Index],CONCATENATE($A10,"_CNG_CNG"))</f>
        <v>1.3338154916070149E-4</v>
      </c>
      <c r="E10" s="451">
        <f>vkm_2011_SW_PW*SUMIFS(TableVerdeelsleutelVkm[LPG],TableVerdeelsleutelVkm[Voertuigtype],"Lichte voertuigen")*SUMIFS(TableECFTransport[EnergieConsumptieFactor (PJ per km)],TableECFTransport[Index],CONCATENATE($A10,"_LPG_LPG"))</f>
        <v>6.5406711112723018E-4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0.13930878491762885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3.7622270979528534E-2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5.5164701498026459E-3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9.1142739787949581E-2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3.1723004382408296E-5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2.8718366601403239E-3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30.854167082106699</v>
      </c>
      <c r="C14" s="21"/>
      <c r="D14" s="21">
        <f t="shared" ref="D14:M14" si="0">((D5)*10^9/3600)+D12</f>
        <v>72.004477558179317</v>
      </c>
      <c r="E14" s="21">
        <f t="shared" si="0"/>
        <v>313.09789400877003</v>
      </c>
      <c r="F14" s="21"/>
      <c r="G14" s="21">
        <f t="shared" si="0"/>
        <v>102970.46763540617</v>
      </c>
      <c r="H14" s="21">
        <f t="shared" si="0"/>
        <v>19754.792858981222</v>
      </c>
      <c r="I14" s="21"/>
      <c r="J14" s="21"/>
      <c r="K14" s="21"/>
      <c r="L14" s="21"/>
      <c r="M14" s="21">
        <f t="shared" si="0"/>
        <v>3835.9541535189933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0.20509340491907835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6.327986182811407</v>
      </c>
      <c r="C18" s="23"/>
      <c r="D18" s="23">
        <f t="shared" ref="D18:M18" si="1">D14*D16</f>
        <v>14.544904466752223</v>
      </c>
      <c r="E18" s="23">
        <f t="shared" si="1"/>
        <v>71.073221939990802</v>
      </c>
      <c r="F18" s="23"/>
      <c r="G18" s="23">
        <f t="shared" si="1"/>
        <v>27493.114858653447</v>
      </c>
      <c r="H18" s="23">
        <f t="shared" si="1"/>
        <v>4918.9434218863244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2.8757673787892092E-3</v>
      </c>
      <c r="H50" s="321">
        <f t="shared" si="2"/>
        <v>0</v>
      </c>
      <c r="I50" s="321">
        <f t="shared" si="2"/>
        <v>0</v>
      </c>
      <c r="J50" s="321">
        <f t="shared" si="2"/>
        <v>0</v>
      </c>
      <c r="K50" s="321">
        <f t="shared" si="2"/>
        <v>0</v>
      </c>
      <c r="L50" s="321">
        <f t="shared" si="2"/>
        <v>0</v>
      </c>
      <c r="M50" s="321">
        <f t="shared" si="2"/>
        <v>8.9199870474771824E-5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2.8757673787892092E-3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8.9199870474771824E-5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798.82427188589145</v>
      </c>
      <c r="H54" s="21">
        <f t="shared" si="3"/>
        <v>0</v>
      </c>
      <c r="I54" s="21">
        <f t="shared" si="3"/>
        <v>0</v>
      </c>
      <c r="J54" s="21">
        <f t="shared" si="3"/>
        <v>0</v>
      </c>
      <c r="K54" s="21">
        <f t="shared" si="3"/>
        <v>0</v>
      </c>
      <c r="L54" s="21">
        <f t="shared" si="3"/>
        <v>0</v>
      </c>
      <c r="M54" s="21">
        <f t="shared" si="3"/>
        <v>24.77774179854773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0.20509340491907835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213.28608059353303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15337.665347709999</v>
      </c>
      <c r="D10" s="1012">
        <f ca="1">tertiair!C16</f>
        <v>0</v>
      </c>
      <c r="E10" s="1012">
        <f ca="1">tertiair!D16</f>
        <v>17324.663380066682</v>
      </c>
      <c r="F10" s="1012">
        <f>tertiair!E16</f>
        <v>319.73881235207182</v>
      </c>
      <c r="G10" s="1012">
        <f ca="1">tertiair!F16</f>
        <v>3661.7590491361689</v>
      </c>
      <c r="H10" s="1012">
        <f>tertiair!G16</f>
        <v>0</v>
      </c>
      <c r="I10" s="1012">
        <f>tertiair!H16</f>
        <v>0</v>
      </c>
      <c r="J10" s="1012">
        <f>tertiair!I16</f>
        <v>0</v>
      </c>
      <c r="K10" s="1012">
        <f>tertiair!J16</f>
        <v>0</v>
      </c>
      <c r="L10" s="1012">
        <f>tertiair!K16</f>
        <v>0</v>
      </c>
      <c r="M10" s="1012">
        <f ca="1">tertiair!L16</f>
        <v>0</v>
      </c>
      <c r="N10" s="1012">
        <f>tertiair!M16</f>
        <v>0</v>
      </c>
      <c r="O10" s="1012">
        <f ca="1">tertiair!N16</f>
        <v>980.20270028711604</v>
      </c>
      <c r="P10" s="1012">
        <f>tertiair!O16</f>
        <v>0</v>
      </c>
      <c r="Q10" s="1013">
        <f>tertiair!P16</f>
        <v>76.266666666666666</v>
      </c>
      <c r="R10" s="700">
        <f ca="1">SUM(C10:Q10)</f>
        <v>37700.29595621871</v>
      </c>
      <c r="S10" s="67"/>
    </row>
    <row r="11" spans="1:19" s="473" customFormat="1">
      <c r="A11" s="809" t="s">
        <v>225</v>
      </c>
      <c r="B11" s="814"/>
      <c r="C11" s="1012">
        <f>huishoudens!B8</f>
        <v>35009.358264977578</v>
      </c>
      <c r="D11" s="1012">
        <f>huishoudens!C8</f>
        <v>0</v>
      </c>
      <c r="E11" s="1012">
        <f>huishoudens!D8</f>
        <v>69390.073116847998</v>
      </c>
      <c r="F11" s="1012">
        <f>huishoudens!E8</f>
        <v>5258.5756702456092</v>
      </c>
      <c r="G11" s="1012">
        <f>huishoudens!F8</f>
        <v>13840.948843003782</v>
      </c>
      <c r="H11" s="1012">
        <f>huishoudens!G8</f>
        <v>0</v>
      </c>
      <c r="I11" s="1012">
        <f>huishoudens!H8</f>
        <v>0</v>
      </c>
      <c r="J11" s="1012">
        <f>huishoudens!I8</f>
        <v>0</v>
      </c>
      <c r="K11" s="1012">
        <f>huishoudens!J8</f>
        <v>4934.1600712749932</v>
      </c>
      <c r="L11" s="1012">
        <f>huishoudens!K8</f>
        <v>0</v>
      </c>
      <c r="M11" s="1012">
        <f>huishoudens!L8</f>
        <v>0</v>
      </c>
      <c r="N11" s="1012">
        <f>huishoudens!M8</f>
        <v>0</v>
      </c>
      <c r="O11" s="1012">
        <f>huishoudens!N8</f>
        <v>15078.304662562245</v>
      </c>
      <c r="P11" s="1012">
        <f>huishoudens!O8</f>
        <v>195.41666666666669</v>
      </c>
      <c r="Q11" s="1013">
        <f>huishoudens!P8</f>
        <v>1048.6666666666667</v>
      </c>
      <c r="R11" s="700">
        <f>SUM(C11:Q11)</f>
        <v>144755.50396224551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1417.4384074049999</v>
      </c>
      <c r="D13" s="1012">
        <f>industrie!C18</f>
        <v>0</v>
      </c>
      <c r="E13" s="1012">
        <f>industrie!D18</f>
        <v>1534.0824545890798</v>
      </c>
      <c r="F13" s="1012">
        <f>industrie!E18</f>
        <v>210.80101128158651</v>
      </c>
      <c r="G13" s="1012">
        <f>industrie!F18</f>
        <v>784.07118884303441</v>
      </c>
      <c r="H13" s="1012">
        <f>industrie!G18</f>
        <v>0</v>
      </c>
      <c r="I13" s="1012">
        <f>industrie!H18</f>
        <v>0</v>
      </c>
      <c r="J13" s="1012">
        <f>industrie!I18</f>
        <v>0</v>
      </c>
      <c r="K13" s="1012">
        <f>industrie!J18</f>
        <v>4.2658864128048997</v>
      </c>
      <c r="L13" s="1012">
        <f>industrie!K18</f>
        <v>0</v>
      </c>
      <c r="M13" s="1012">
        <f>industrie!L18</f>
        <v>0</v>
      </c>
      <c r="N13" s="1012">
        <f>industrie!M18</f>
        <v>0</v>
      </c>
      <c r="O13" s="1012">
        <f>industrie!N18</f>
        <v>408.57126133111069</v>
      </c>
      <c r="P13" s="1012">
        <f>industrie!O18</f>
        <v>0</v>
      </c>
      <c r="Q13" s="1013">
        <f>industrie!P18</f>
        <v>0</v>
      </c>
      <c r="R13" s="700">
        <f>SUM(C13:Q13)</f>
        <v>4359.2302098626151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51764.462020092578</v>
      </c>
      <c r="D16" s="732">
        <f t="shared" ref="D16:R16" ca="1" si="0">SUM(D9:D15)</f>
        <v>0</v>
      </c>
      <c r="E16" s="732">
        <f t="shared" ca="1" si="0"/>
        <v>88248.818951503752</v>
      </c>
      <c r="F16" s="732">
        <f t="shared" si="0"/>
        <v>5789.1154938792679</v>
      </c>
      <c r="G16" s="732">
        <f t="shared" ca="1" si="0"/>
        <v>18286.779080982986</v>
      </c>
      <c r="H16" s="732">
        <f t="shared" si="0"/>
        <v>0</v>
      </c>
      <c r="I16" s="732">
        <f t="shared" si="0"/>
        <v>0</v>
      </c>
      <c r="J16" s="732">
        <f t="shared" si="0"/>
        <v>0</v>
      </c>
      <c r="K16" s="732">
        <f t="shared" si="0"/>
        <v>4938.4259576877985</v>
      </c>
      <c r="L16" s="732">
        <f t="shared" si="0"/>
        <v>0</v>
      </c>
      <c r="M16" s="732">
        <f t="shared" ca="1" si="0"/>
        <v>0</v>
      </c>
      <c r="N16" s="732">
        <f t="shared" si="0"/>
        <v>0</v>
      </c>
      <c r="O16" s="732">
        <f t="shared" ca="1" si="0"/>
        <v>16467.078624180471</v>
      </c>
      <c r="P16" s="732">
        <f t="shared" si="0"/>
        <v>195.41666666666669</v>
      </c>
      <c r="Q16" s="732">
        <f t="shared" si="0"/>
        <v>1124.9333333333334</v>
      </c>
      <c r="R16" s="732">
        <f t="shared" ca="1" si="0"/>
        <v>186815.03012832682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798.82427188589145</v>
      </c>
      <c r="I19" s="1012">
        <f>transport!H54</f>
        <v>0</v>
      </c>
      <c r="J19" s="1012">
        <f>transport!I54</f>
        <v>0</v>
      </c>
      <c r="K19" s="1012">
        <f>transport!J54</f>
        <v>0</v>
      </c>
      <c r="L19" s="1012">
        <f>transport!K54</f>
        <v>0</v>
      </c>
      <c r="M19" s="1012">
        <f>transport!L54</f>
        <v>0</v>
      </c>
      <c r="N19" s="1012">
        <f>transport!M54</f>
        <v>24.77774179854773</v>
      </c>
      <c r="O19" s="1012">
        <f>transport!N54</f>
        <v>0</v>
      </c>
      <c r="P19" s="1012">
        <f>transport!O54</f>
        <v>0</v>
      </c>
      <c r="Q19" s="1013">
        <f>transport!P54</f>
        <v>0</v>
      </c>
      <c r="R19" s="700">
        <f>SUM(C19:Q19)</f>
        <v>823.60201368443916</v>
      </c>
      <c r="S19" s="67"/>
    </row>
    <row r="20" spans="1:19" s="473" customFormat="1">
      <c r="A20" s="809" t="s">
        <v>307</v>
      </c>
      <c r="B20" s="814"/>
      <c r="C20" s="1012">
        <f>transport!B14</f>
        <v>30.854167082106699</v>
      </c>
      <c r="D20" s="1012">
        <f>transport!C14</f>
        <v>0</v>
      </c>
      <c r="E20" s="1012">
        <f>transport!D14</f>
        <v>72.004477558179317</v>
      </c>
      <c r="F20" s="1012">
        <f>transport!E14</f>
        <v>313.09789400877003</v>
      </c>
      <c r="G20" s="1012">
        <f>transport!F14</f>
        <v>0</v>
      </c>
      <c r="H20" s="1012">
        <f>transport!G14</f>
        <v>102970.46763540617</v>
      </c>
      <c r="I20" s="1012">
        <f>transport!H14</f>
        <v>19754.792858981222</v>
      </c>
      <c r="J20" s="1012">
        <f>transport!I14</f>
        <v>0</v>
      </c>
      <c r="K20" s="1012">
        <f>transport!J14</f>
        <v>0</v>
      </c>
      <c r="L20" s="1012">
        <f>transport!K14</f>
        <v>0</v>
      </c>
      <c r="M20" s="1012">
        <f>transport!L14</f>
        <v>0</v>
      </c>
      <c r="N20" s="1012">
        <f>transport!M14</f>
        <v>3835.9541535189933</v>
      </c>
      <c r="O20" s="1012">
        <f>transport!N14</f>
        <v>0</v>
      </c>
      <c r="P20" s="1012">
        <f>transport!O14</f>
        <v>0</v>
      </c>
      <c r="Q20" s="1013">
        <f>transport!P14</f>
        <v>0</v>
      </c>
      <c r="R20" s="700">
        <f>SUM(C20:Q20)</f>
        <v>126977.17118655544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30.854167082106699</v>
      </c>
      <c r="D22" s="812">
        <f t="shared" ref="D22:R22" si="1">SUM(D18:D21)</f>
        <v>0</v>
      </c>
      <c r="E22" s="812">
        <f t="shared" si="1"/>
        <v>72.004477558179317</v>
      </c>
      <c r="F22" s="812">
        <f t="shared" si="1"/>
        <v>313.09789400877003</v>
      </c>
      <c r="G22" s="812">
        <f t="shared" si="1"/>
        <v>0</v>
      </c>
      <c r="H22" s="812">
        <f t="shared" si="1"/>
        <v>103769.29190729206</v>
      </c>
      <c r="I22" s="812">
        <f t="shared" si="1"/>
        <v>19754.792858981222</v>
      </c>
      <c r="J22" s="812">
        <f t="shared" si="1"/>
        <v>0</v>
      </c>
      <c r="K22" s="812">
        <f t="shared" si="1"/>
        <v>0</v>
      </c>
      <c r="L22" s="812">
        <f t="shared" si="1"/>
        <v>0</v>
      </c>
      <c r="M22" s="812">
        <f t="shared" si="1"/>
        <v>0</v>
      </c>
      <c r="N22" s="812">
        <f t="shared" si="1"/>
        <v>3860.7318953175409</v>
      </c>
      <c r="O22" s="812">
        <f t="shared" si="1"/>
        <v>0</v>
      </c>
      <c r="P22" s="812">
        <f t="shared" si="1"/>
        <v>0</v>
      </c>
      <c r="Q22" s="812">
        <f t="shared" si="1"/>
        <v>0</v>
      </c>
      <c r="R22" s="812">
        <f t="shared" si="1"/>
        <v>127800.77320023988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714.48409505999996</v>
      </c>
      <c r="D24" s="1012">
        <f>+landbouw!C8</f>
        <v>0</v>
      </c>
      <c r="E24" s="1012">
        <f>+landbouw!D8</f>
        <v>223.98262359072604</v>
      </c>
      <c r="F24" s="1012">
        <f>+landbouw!E8</f>
        <v>18.423801509838533</v>
      </c>
      <c r="G24" s="1012">
        <f>+landbouw!F8</f>
        <v>2611.5754343304634</v>
      </c>
      <c r="H24" s="1012">
        <f>+landbouw!G8</f>
        <v>0</v>
      </c>
      <c r="I24" s="1012">
        <f>+landbouw!H8</f>
        <v>0</v>
      </c>
      <c r="J24" s="1012">
        <f>+landbouw!I8</f>
        <v>0</v>
      </c>
      <c r="K24" s="1012">
        <f>+landbouw!J8</f>
        <v>102.85942620725011</v>
      </c>
      <c r="L24" s="1012">
        <f>+landbouw!K8</f>
        <v>0</v>
      </c>
      <c r="M24" s="1012">
        <f>+landbouw!L8</f>
        <v>0</v>
      </c>
      <c r="N24" s="1012">
        <f>+landbouw!M8</f>
        <v>0</v>
      </c>
      <c r="O24" s="1012">
        <f>+landbouw!N8</f>
        <v>0</v>
      </c>
      <c r="P24" s="1012">
        <f>+landbouw!O8</f>
        <v>0</v>
      </c>
      <c r="Q24" s="1013">
        <f>+landbouw!P8</f>
        <v>0</v>
      </c>
      <c r="R24" s="700">
        <f>SUM(C24:Q24)</f>
        <v>3671.325380698278</v>
      </c>
      <c r="S24" s="67"/>
    </row>
    <row r="25" spans="1:19" s="473" customFormat="1" ht="15" thickBot="1">
      <c r="A25" s="831" t="s">
        <v>848</v>
      </c>
      <c r="B25" s="1015"/>
      <c r="C25" s="1016">
        <f>IF(Onbekend_ele_kWh="---",0,Onbekend_ele_kWh)/1000+IF(REST_rest_ele_kWh="---",0,REST_rest_ele_kWh)/1000</f>
        <v>812.08091835000005</v>
      </c>
      <c r="D25" s="1016"/>
      <c r="E25" s="1016">
        <f>IF(onbekend_gas_kWh="---",0,onbekend_gas_kWh)/1000+IF(REST_rest_gas_kWh="---",0,REST_rest_gas_kWh)/1000</f>
        <v>2003.8568977</v>
      </c>
      <c r="F25" s="1016"/>
      <c r="G25" s="1016"/>
      <c r="H25" s="1016"/>
      <c r="I25" s="1016"/>
      <c r="J25" s="1016"/>
      <c r="K25" s="1016"/>
      <c r="L25" s="1016"/>
      <c r="M25" s="1016"/>
      <c r="N25" s="1016"/>
      <c r="O25" s="1016"/>
      <c r="P25" s="1016"/>
      <c r="Q25" s="1017"/>
      <c r="R25" s="700">
        <f>SUM(C25:Q25)</f>
        <v>2815.93781605</v>
      </c>
      <c r="S25" s="67"/>
    </row>
    <row r="26" spans="1:19" s="473" customFormat="1" ht="15.75" thickBot="1">
      <c r="A26" s="705" t="s">
        <v>849</v>
      </c>
      <c r="B26" s="817"/>
      <c r="C26" s="812">
        <f>SUM(C24:C25)</f>
        <v>1526.5650134100001</v>
      </c>
      <c r="D26" s="812">
        <f t="shared" ref="D26:R26" si="2">SUM(D24:D25)</f>
        <v>0</v>
      </c>
      <c r="E26" s="812">
        <f t="shared" si="2"/>
        <v>2227.8395212907262</v>
      </c>
      <c r="F26" s="812">
        <f t="shared" si="2"/>
        <v>18.423801509838533</v>
      </c>
      <c r="G26" s="812">
        <f t="shared" si="2"/>
        <v>2611.5754343304634</v>
      </c>
      <c r="H26" s="812">
        <f t="shared" si="2"/>
        <v>0</v>
      </c>
      <c r="I26" s="812">
        <f t="shared" si="2"/>
        <v>0</v>
      </c>
      <c r="J26" s="812">
        <f t="shared" si="2"/>
        <v>0</v>
      </c>
      <c r="K26" s="812">
        <f t="shared" si="2"/>
        <v>102.85942620725011</v>
      </c>
      <c r="L26" s="812">
        <f t="shared" si="2"/>
        <v>0</v>
      </c>
      <c r="M26" s="812">
        <f t="shared" si="2"/>
        <v>0</v>
      </c>
      <c r="N26" s="812">
        <f t="shared" si="2"/>
        <v>0</v>
      </c>
      <c r="O26" s="812">
        <f t="shared" si="2"/>
        <v>0</v>
      </c>
      <c r="P26" s="812">
        <f t="shared" si="2"/>
        <v>0</v>
      </c>
      <c r="Q26" s="812">
        <f t="shared" si="2"/>
        <v>0</v>
      </c>
      <c r="R26" s="812">
        <f t="shared" si="2"/>
        <v>6487.2631967482776</v>
      </c>
      <c r="S26" s="67"/>
    </row>
    <row r="27" spans="1:19" s="473" customFormat="1" ht="17.25" thickTop="1" thickBot="1">
      <c r="A27" s="706" t="s">
        <v>116</v>
      </c>
      <c r="B27" s="805"/>
      <c r="C27" s="707">
        <f ca="1">C22+C16+C26</f>
        <v>53321.881200584685</v>
      </c>
      <c r="D27" s="707">
        <f t="shared" ref="D27:R27" ca="1" si="3">D22+D16+D26</f>
        <v>0</v>
      </c>
      <c r="E27" s="707">
        <f t="shared" ca="1" si="3"/>
        <v>90548.662950352649</v>
      </c>
      <c r="F27" s="707">
        <f t="shared" si="3"/>
        <v>6120.6371893978758</v>
      </c>
      <c r="G27" s="707">
        <f t="shared" ca="1" si="3"/>
        <v>20898.354515313447</v>
      </c>
      <c r="H27" s="707">
        <f t="shared" si="3"/>
        <v>103769.29190729206</v>
      </c>
      <c r="I27" s="707">
        <f t="shared" si="3"/>
        <v>19754.792858981222</v>
      </c>
      <c r="J27" s="707">
        <f t="shared" si="3"/>
        <v>0</v>
      </c>
      <c r="K27" s="707">
        <f t="shared" si="3"/>
        <v>5041.2853838950487</v>
      </c>
      <c r="L27" s="707">
        <f t="shared" si="3"/>
        <v>0</v>
      </c>
      <c r="M27" s="707">
        <f t="shared" ca="1" si="3"/>
        <v>0</v>
      </c>
      <c r="N27" s="707">
        <f t="shared" si="3"/>
        <v>3860.7318953175409</v>
      </c>
      <c r="O27" s="707">
        <f t="shared" ca="1" si="3"/>
        <v>16467.078624180471</v>
      </c>
      <c r="P27" s="707">
        <f t="shared" si="3"/>
        <v>195.41666666666669</v>
      </c>
      <c r="Q27" s="707">
        <f t="shared" si="3"/>
        <v>1124.9333333333334</v>
      </c>
      <c r="R27" s="707">
        <f t="shared" ca="1" si="3"/>
        <v>321103.06652531499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3145.6540096712038</v>
      </c>
      <c r="D40" s="1012">
        <f ca="1">tertiair!C20</f>
        <v>0</v>
      </c>
      <c r="E40" s="1012">
        <f ca="1">tertiair!D20</f>
        <v>3499.5820027734699</v>
      </c>
      <c r="F40" s="1012">
        <f>tertiair!E20</f>
        <v>72.580710403920307</v>
      </c>
      <c r="G40" s="1012">
        <f ca="1">tertiair!F20</f>
        <v>977.68966611935718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7695.5063889679504</v>
      </c>
    </row>
    <row r="41" spans="1:18">
      <c r="A41" s="822" t="s">
        <v>225</v>
      </c>
      <c r="B41" s="829"/>
      <c r="C41" s="1012">
        <f ca="1">huishoudens!B12</f>
        <v>7180.1884905961288</v>
      </c>
      <c r="D41" s="1012">
        <f ca="1">huishoudens!C12</f>
        <v>0</v>
      </c>
      <c r="E41" s="1012">
        <f>huishoudens!D12</f>
        <v>14016.794769603297</v>
      </c>
      <c r="F41" s="1012">
        <f>huishoudens!E12</f>
        <v>1193.6966771457533</v>
      </c>
      <c r="G41" s="1012">
        <f>huishoudens!F12</f>
        <v>3695.5333410820099</v>
      </c>
      <c r="H41" s="1012">
        <f>huishoudens!G12</f>
        <v>0</v>
      </c>
      <c r="I41" s="1012">
        <f>huishoudens!H12</f>
        <v>0</v>
      </c>
      <c r="J41" s="1012">
        <f>huishoudens!I12</f>
        <v>0</v>
      </c>
      <c r="K41" s="1012">
        <f>huishoudens!J12</f>
        <v>1746.6926652313475</v>
      </c>
      <c r="L41" s="1012">
        <f>huishoudens!K12</f>
        <v>0</v>
      </c>
      <c r="M41" s="1012">
        <f>huishoudens!L12</f>
        <v>0</v>
      </c>
      <c r="N41" s="1012">
        <f>huishoudens!M12</f>
        <v>0</v>
      </c>
      <c r="O41" s="1012">
        <f>huishoudens!N12</f>
        <v>0</v>
      </c>
      <c r="P41" s="1012">
        <f>huishoudens!O12</f>
        <v>0</v>
      </c>
      <c r="Q41" s="774">
        <f>huishoudens!P12</f>
        <v>0</v>
      </c>
      <c r="R41" s="850">
        <f t="shared" ca="1" si="4"/>
        <v>27832.905943658538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290.70726923776721</v>
      </c>
      <c r="D43" s="1012">
        <f ca="1">industrie!C22</f>
        <v>0</v>
      </c>
      <c r="E43" s="1012">
        <f>industrie!D22</f>
        <v>309.88465582699416</v>
      </c>
      <c r="F43" s="1012">
        <f>industrie!E22</f>
        <v>47.851829560920137</v>
      </c>
      <c r="G43" s="1012">
        <f>industrie!F22</f>
        <v>209.34700742109021</v>
      </c>
      <c r="H43" s="1012">
        <f>industrie!G22</f>
        <v>0</v>
      </c>
      <c r="I43" s="1012">
        <f>industrie!H22</f>
        <v>0</v>
      </c>
      <c r="J43" s="1012">
        <f>industrie!I22</f>
        <v>0</v>
      </c>
      <c r="K43" s="1012">
        <f>industrie!J22</f>
        <v>1.5101237901329343</v>
      </c>
      <c r="L43" s="1012">
        <f>industrie!K22</f>
        <v>0</v>
      </c>
      <c r="M43" s="1012">
        <f>industrie!L22</f>
        <v>0</v>
      </c>
      <c r="N43" s="1012">
        <f>industrie!M22</f>
        <v>0</v>
      </c>
      <c r="O43" s="1012">
        <f>industrie!N22</f>
        <v>0</v>
      </c>
      <c r="P43" s="1012">
        <f>industrie!O22</f>
        <v>0</v>
      </c>
      <c r="Q43" s="774">
        <f>industrie!P22</f>
        <v>0</v>
      </c>
      <c r="R43" s="849">
        <f t="shared" ca="1" si="4"/>
        <v>859.30088583690474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10616.5497695051</v>
      </c>
      <c r="D46" s="732">
        <f t="shared" ref="D46:Q46" ca="1" si="5">SUM(D39:D45)</f>
        <v>0</v>
      </c>
      <c r="E46" s="732">
        <f t="shared" ca="1" si="5"/>
        <v>17826.261428203761</v>
      </c>
      <c r="F46" s="732">
        <f t="shared" si="5"/>
        <v>1314.1292171105938</v>
      </c>
      <c r="G46" s="732">
        <f t="shared" ca="1" si="5"/>
        <v>4882.5700146224572</v>
      </c>
      <c r="H46" s="732">
        <f t="shared" si="5"/>
        <v>0</v>
      </c>
      <c r="I46" s="732">
        <f t="shared" si="5"/>
        <v>0</v>
      </c>
      <c r="J46" s="732">
        <f t="shared" si="5"/>
        <v>0</v>
      </c>
      <c r="K46" s="732">
        <f t="shared" si="5"/>
        <v>1748.2027890214804</v>
      </c>
      <c r="L46" s="732">
        <f t="shared" si="5"/>
        <v>0</v>
      </c>
      <c r="M46" s="732">
        <f t="shared" ca="1" si="5"/>
        <v>0</v>
      </c>
      <c r="N46" s="732">
        <f t="shared" si="5"/>
        <v>0</v>
      </c>
      <c r="O46" s="732">
        <f t="shared" ca="1" si="5"/>
        <v>0</v>
      </c>
      <c r="P46" s="732">
        <f t="shared" si="5"/>
        <v>0</v>
      </c>
      <c r="Q46" s="732">
        <f t="shared" si="5"/>
        <v>0</v>
      </c>
      <c r="R46" s="732">
        <f ca="1">SUM(R39:R45)</f>
        <v>36387.713218463396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213.28608059353303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213.28608059353303</v>
      </c>
    </row>
    <row r="50" spans="1:18">
      <c r="A50" s="825" t="s">
        <v>307</v>
      </c>
      <c r="B50" s="835"/>
      <c r="C50" s="703">
        <f ca="1">transport!B18</f>
        <v>6.327986182811407</v>
      </c>
      <c r="D50" s="703">
        <f>transport!C18</f>
        <v>0</v>
      </c>
      <c r="E50" s="703">
        <f>transport!D18</f>
        <v>14.544904466752223</v>
      </c>
      <c r="F50" s="703">
        <f>transport!E18</f>
        <v>71.073221939990802</v>
      </c>
      <c r="G50" s="703">
        <f>transport!F18</f>
        <v>0</v>
      </c>
      <c r="H50" s="703">
        <f>transport!G18</f>
        <v>27493.114858653447</v>
      </c>
      <c r="I50" s="703">
        <f>transport!H18</f>
        <v>4918.9434218863244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32504.004393129326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6.327986182811407</v>
      </c>
      <c r="D52" s="732">
        <f t="shared" ref="D52:Q52" ca="1" si="6">SUM(D48:D51)</f>
        <v>0</v>
      </c>
      <c r="E52" s="732">
        <f t="shared" si="6"/>
        <v>14.544904466752223</v>
      </c>
      <c r="F52" s="732">
        <f t="shared" si="6"/>
        <v>71.073221939990802</v>
      </c>
      <c r="G52" s="732">
        <f t="shared" si="6"/>
        <v>0</v>
      </c>
      <c r="H52" s="732">
        <f t="shared" si="6"/>
        <v>27706.400939246982</v>
      </c>
      <c r="I52" s="732">
        <f t="shared" si="6"/>
        <v>4918.9434218863244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32717.29047372286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146.53597581638184</v>
      </c>
      <c r="D54" s="703">
        <f ca="1">+landbouw!C12</f>
        <v>0</v>
      </c>
      <c r="E54" s="703">
        <f>+landbouw!D12</f>
        <v>45.244489965326665</v>
      </c>
      <c r="F54" s="703">
        <f>+landbouw!E12</f>
        <v>4.1822029427333476</v>
      </c>
      <c r="G54" s="703">
        <f>+landbouw!F12</f>
        <v>697.29064096623381</v>
      </c>
      <c r="H54" s="703">
        <f>+landbouw!G12</f>
        <v>0</v>
      </c>
      <c r="I54" s="703">
        <f>+landbouw!H12</f>
        <v>0</v>
      </c>
      <c r="J54" s="703">
        <f>+landbouw!I12</f>
        <v>0</v>
      </c>
      <c r="K54" s="703">
        <f>+landbouw!J12</f>
        <v>36.412236877366539</v>
      </c>
      <c r="L54" s="703">
        <f>+landbouw!K12</f>
        <v>0</v>
      </c>
      <c r="M54" s="703">
        <f>+landbouw!L12</f>
        <v>0</v>
      </c>
      <c r="N54" s="703">
        <f>+landbouw!M12</f>
        <v>0</v>
      </c>
      <c r="O54" s="703">
        <f>+landbouw!N12</f>
        <v>0</v>
      </c>
      <c r="P54" s="703">
        <f>+landbouw!O12</f>
        <v>0</v>
      </c>
      <c r="Q54" s="704">
        <f>+landbouw!P12</f>
        <v>0</v>
      </c>
      <c r="R54" s="731">
        <f ca="1">SUM(C54:Q54)</f>
        <v>929.66554656804226</v>
      </c>
    </row>
    <row r="55" spans="1:18" ht="15" thickBot="1">
      <c r="A55" s="825" t="s">
        <v>848</v>
      </c>
      <c r="B55" s="835"/>
      <c r="C55" s="703">
        <f ca="1">C25*'EF ele_warmte'!B12</f>
        <v>166.55244061421357</v>
      </c>
      <c r="D55" s="703"/>
      <c r="E55" s="703">
        <f>E25*EF_CO2_aardgas</f>
        <v>404.77909333540003</v>
      </c>
      <c r="F55" s="703"/>
      <c r="G55" s="703"/>
      <c r="H55" s="703"/>
      <c r="I55" s="703"/>
      <c r="J55" s="703"/>
      <c r="K55" s="703"/>
      <c r="L55" s="703"/>
      <c r="M55" s="703"/>
      <c r="N55" s="703"/>
      <c r="O55" s="703"/>
      <c r="P55" s="703"/>
      <c r="Q55" s="704"/>
      <c r="R55" s="731">
        <f ca="1">SUM(C55:Q55)</f>
        <v>571.33153394961357</v>
      </c>
    </row>
    <row r="56" spans="1:18" ht="15.75" thickBot="1">
      <c r="A56" s="823" t="s">
        <v>849</v>
      </c>
      <c r="B56" s="836"/>
      <c r="C56" s="732">
        <f ca="1">SUM(C54:C55)</f>
        <v>313.08841643059543</v>
      </c>
      <c r="D56" s="732">
        <f t="shared" ref="D56:Q56" ca="1" si="7">SUM(D54:D55)</f>
        <v>0</v>
      </c>
      <c r="E56" s="732">
        <f t="shared" si="7"/>
        <v>450.02358330072673</v>
      </c>
      <c r="F56" s="732">
        <f t="shared" si="7"/>
        <v>4.1822029427333476</v>
      </c>
      <c r="G56" s="732">
        <f t="shared" si="7"/>
        <v>697.29064096623381</v>
      </c>
      <c r="H56" s="732">
        <f t="shared" si="7"/>
        <v>0</v>
      </c>
      <c r="I56" s="732">
        <f t="shared" si="7"/>
        <v>0</v>
      </c>
      <c r="J56" s="732">
        <f t="shared" si="7"/>
        <v>0</v>
      </c>
      <c r="K56" s="732">
        <f t="shared" si="7"/>
        <v>36.412236877366539</v>
      </c>
      <c r="L56" s="732">
        <f t="shared" si="7"/>
        <v>0</v>
      </c>
      <c r="M56" s="732">
        <f t="shared" si="7"/>
        <v>0</v>
      </c>
      <c r="N56" s="732">
        <f t="shared" si="7"/>
        <v>0</v>
      </c>
      <c r="O56" s="732">
        <f t="shared" si="7"/>
        <v>0</v>
      </c>
      <c r="P56" s="732">
        <f t="shared" si="7"/>
        <v>0</v>
      </c>
      <c r="Q56" s="733">
        <f t="shared" si="7"/>
        <v>0</v>
      </c>
      <c r="R56" s="734">
        <f ca="1">SUM(R54:R55)</f>
        <v>1500.9970805176558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10935.966172118508</v>
      </c>
      <c r="D61" s="740">
        <f t="shared" ref="D61:Q61" ca="1" si="8">D46+D52+D56</f>
        <v>0</v>
      </c>
      <c r="E61" s="740">
        <f t="shared" ca="1" si="8"/>
        <v>18290.829915971241</v>
      </c>
      <c r="F61" s="740">
        <f t="shared" si="8"/>
        <v>1389.3846419933179</v>
      </c>
      <c r="G61" s="740">
        <f t="shared" ca="1" si="8"/>
        <v>5579.8606555886909</v>
      </c>
      <c r="H61" s="740">
        <f t="shared" si="8"/>
        <v>27706.400939246982</v>
      </c>
      <c r="I61" s="740">
        <f t="shared" si="8"/>
        <v>4918.9434218863244</v>
      </c>
      <c r="J61" s="740">
        <f t="shared" si="8"/>
        <v>0</v>
      </c>
      <c r="K61" s="740">
        <f t="shared" si="8"/>
        <v>1784.6150258988469</v>
      </c>
      <c r="L61" s="740">
        <f t="shared" si="8"/>
        <v>0</v>
      </c>
      <c r="M61" s="740">
        <f t="shared" ca="1" si="8"/>
        <v>0</v>
      </c>
      <c r="N61" s="740">
        <f t="shared" si="8"/>
        <v>0</v>
      </c>
      <c r="O61" s="740">
        <f t="shared" ca="1" si="8"/>
        <v>0</v>
      </c>
      <c r="P61" s="740">
        <f t="shared" si="8"/>
        <v>0</v>
      </c>
      <c r="Q61" s="740">
        <f t="shared" si="8"/>
        <v>0</v>
      </c>
      <c r="R61" s="740">
        <f ca="1">R46+R52+R56</f>
        <v>70606.000772703919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0.20509340491907838</v>
      </c>
      <c r="D63" s="781">
        <f t="shared" ca="1" si="9"/>
        <v>0</v>
      </c>
      <c r="E63" s="1023">
        <f t="shared" ca="1" si="9"/>
        <v>0.20200000000000007</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12.1301775147929</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3825.7411944793671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3837.8713719941602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12.1301775147929</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3825.7411944793671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3837.8713719941602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35009.358264977578</v>
      </c>
      <c r="C4" s="477">
        <f>huishoudens!C8</f>
        <v>0</v>
      </c>
      <c r="D4" s="477">
        <f>huishoudens!D8</f>
        <v>69390.073116847998</v>
      </c>
      <c r="E4" s="477">
        <f>huishoudens!E8</f>
        <v>5258.5756702456092</v>
      </c>
      <c r="F4" s="477">
        <f>huishoudens!F8</f>
        <v>13840.948843003782</v>
      </c>
      <c r="G4" s="477">
        <f>huishoudens!G8</f>
        <v>0</v>
      </c>
      <c r="H4" s="477">
        <f>huishoudens!H8</f>
        <v>0</v>
      </c>
      <c r="I4" s="477">
        <f>huishoudens!I8</f>
        <v>0</v>
      </c>
      <c r="J4" s="477">
        <f>huishoudens!J8</f>
        <v>4934.1600712749932</v>
      </c>
      <c r="K4" s="477">
        <f>huishoudens!K8</f>
        <v>0</v>
      </c>
      <c r="L4" s="477">
        <f>huishoudens!L8</f>
        <v>0</v>
      </c>
      <c r="M4" s="477">
        <f>huishoudens!M8</f>
        <v>0</v>
      </c>
      <c r="N4" s="477">
        <f>huishoudens!N8</f>
        <v>15078.304662562245</v>
      </c>
      <c r="O4" s="477">
        <f>huishoudens!O8</f>
        <v>195.41666666666669</v>
      </c>
      <c r="P4" s="478">
        <f>huishoudens!P8</f>
        <v>1048.6666666666667</v>
      </c>
      <c r="Q4" s="479">
        <f>SUM(B4:P4)</f>
        <v>144755.50396224551</v>
      </c>
    </row>
    <row r="5" spans="1:17">
      <c r="A5" s="476" t="s">
        <v>156</v>
      </c>
      <c r="B5" s="477">
        <f ca="1">tertiair!B16</f>
        <v>14145.01734771</v>
      </c>
      <c r="C5" s="477">
        <f ca="1">tertiair!C16</f>
        <v>0</v>
      </c>
      <c r="D5" s="477">
        <f ca="1">tertiair!D16</f>
        <v>17324.663380066682</v>
      </c>
      <c r="E5" s="477">
        <f>tertiair!E16</f>
        <v>319.73881235207182</v>
      </c>
      <c r="F5" s="477">
        <f ca="1">tertiair!F16</f>
        <v>3661.7590491361689</v>
      </c>
      <c r="G5" s="477">
        <f>tertiair!G16</f>
        <v>0</v>
      </c>
      <c r="H5" s="477">
        <f>tertiair!H16</f>
        <v>0</v>
      </c>
      <c r="I5" s="477">
        <f>tertiair!I16</f>
        <v>0</v>
      </c>
      <c r="J5" s="477">
        <f>tertiair!J16</f>
        <v>0</v>
      </c>
      <c r="K5" s="477">
        <f>tertiair!K16</f>
        <v>0</v>
      </c>
      <c r="L5" s="477">
        <f ca="1">tertiair!L16</f>
        <v>0</v>
      </c>
      <c r="M5" s="477">
        <f>tertiair!M16</f>
        <v>0</v>
      </c>
      <c r="N5" s="477">
        <f ca="1">tertiair!N16</f>
        <v>980.20270028711604</v>
      </c>
      <c r="O5" s="477">
        <f>tertiair!O16</f>
        <v>0</v>
      </c>
      <c r="P5" s="478">
        <f>tertiair!P16</f>
        <v>76.266666666666666</v>
      </c>
      <c r="Q5" s="476">
        <f t="shared" ref="Q5:Q14" ca="1" si="0">SUM(B5:P5)</f>
        <v>36507.647956218709</v>
      </c>
    </row>
    <row r="6" spans="1:17">
      <c r="A6" s="476" t="s">
        <v>194</v>
      </c>
      <c r="B6" s="477">
        <f>'openbare verlichting'!B8</f>
        <v>1192.6479999999999</v>
      </c>
      <c r="C6" s="477"/>
      <c r="D6" s="477"/>
      <c r="E6" s="477"/>
      <c r="F6" s="477"/>
      <c r="G6" s="477"/>
      <c r="H6" s="477"/>
      <c r="I6" s="477"/>
      <c r="J6" s="477"/>
      <c r="K6" s="477"/>
      <c r="L6" s="477"/>
      <c r="M6" s="477"/>
      <c r="N6" s="477"/>
      <c r="O6" s="477"/>
      <c r="P6" s="478"/>
      <c r="Q6" s="476">
        <f t="shared" si="0"/>
        <v>1192.6479999999999</v>
      </c>
    </row>
    <row r="7" spans="1:17">
      <c r="A7" s="476" t="s">
        <v>112</v>
      </c>
      <c r="B7" s="477">
        <f>landbouw!B8</f>
        <v>714.48409505999996</v>
      </c>
      <c r="C7" s="477">
        <f>landbouw!C8</f>
        <v>0</v>
      </c>
      <c r="D7" s="477">
        <f>landbouw!D8</f>
        <v>223.98262359072604</v>
      </c>
      <c r="E7" s="477">
        <f>landbouw!E8</f>
        <v>18.423801509838533</v>
      </c>
      <c r="F7" s="477">
        <f>landbouw!F8</f>
        <v>2611.5754343304634</v>
      </c>
      <c r="G7" s="477">
        <f>landbouw!G8</f>
        <v>0</v>
      </c>
      <c r="H7" s="477">
        <f>landbouw!H8</f>
        <v>0</v>
      </c>
      <c r="I7" s="477">
        <f>landbouw!I8</f>
        <v>0</v>
      </c>
      <c r="J7" s="477">
        <f>landbouw!J8</f>
        <v>102.85942620725011</v>
      </c>
      <c r="K7" s="477">
        <f>landbouw!K8</f>
        <v>0</v>
      </c>
      <c r="L7" s="477">
        <f>landbouw!L8</f>
        <v>0</v>
      </c>
      <c r="M7" s="477">
        <f>landbouw!M8</f>
        <v>0</v>
      </c>
      <c r="N7" s="477">
        <f>landbouw!N8</f>
        <v>0</v>
      </c>
      <c r="O7" s="477">
        <f>landbouw!O8</f>
        <v>0</v>
      </c>
      <c r="P7" s="478">
        <f>landbouw!P8</f>
        <v>0</v>
      </c>
      <c r="Q7" s="476">
        <f t="shared" si="0"/>
        <v>3671.325380698278</v>
      </c>
    </row>
    <row r="8" spans="1:17">
      <c r="A8" s="476" t="s">
        <v>638</v>
      </c>
      <c r="B8" s="477">
        <f>industrie!B18</f>
        <v>1417.4384074049999</v>
      </c>
      <c r="C8" s="477">
        <f>industrie!C18</f>
        <v>0</v>
      </c>
      <c r="D8" s="477">
        <f>industrie!D18</f>
        <v>1534.0824545890798</v>
      </c>
      <c r="E8" s="477">
        <f>industrie!E18</f>
        <v>210.80101128158651</v>
      </c>
      <c r="F8" s="477">
        <f>industrie!F18</f>
        <v>784.07118884303441</v>
      </c>
      <c r="G8" s="477">
        <f>industrie!G18</f>
        <v>0</v>
      </c>
      <c r="H8" s="477">
        <f>industrie!H18</f>
        <v>0</v>
      </c>
      <c r="I8" s="477">
        <f>industrie!I18</f>
        <v>0</v>
      </c>
      <c r="J8" s="477">
        <f>industrie!J18</f>
        <v>4.2658864128048997</v>
      </c>
      <c r="K8" s="477">
        <f>industrie!K18</f>
        <v>0</v>
      </c>
      <c r="L8" s="477">
        <f>industrie!L18</f>
        <v>0</v>
      </c>
      <c r="M8" s="477">
        <f>industrie!M18</f>
        <v>0</v>
      </c>
      <c r="N8" s="477">
        <f>industrie!N18</f>
        <v>408.57126133111069</v>
      </c>
      <c r="O8" s="477">
        <f>industrie!O18</f>
        <v>0</v>
      </c>
      <c r="P8" s="478">
        <f>industrie!P18</f>
        <v>0</v>
      </c>
      <c r="Q8" s="476">
        <f t="shared" si="0"/>
        <v>4359.2302098626151</v>
      </c>
    </row>
    <row r="9" spans="1:17" s="482" customFormat="1">
      <c r="A9" s="480" t="s">
        <v>564</v>
      </c>
      <c r="B9" s="481">
        <f>transport!B14</f>
        <v>30.854167082106699</v>
      </c>
      <c r="C9" s="481">
        <f>transport!C14</f>
        <v>0</v>
      </c>
      <c r="D9" s="481">
        <f>transport!D14</f>
        <v>72.004477558179317</v>
      </c>
      <c r="E9" s="481">
        <f>transport!E14</f>
        <v>313.09789400877003</v>
      </c>
      <c r="F9" s="481">
        <f>transport!F14</f>
        <v>0</v>
      </c>
      <c r="G9" s="481">
        <f>transport!G14</f>
        <v>102970.46763540617</v>
      </c>
      <c r="H9" s="481">
        <f>transport!H14</f>
        <v>19754.792858981222</v>
      </c>
      <c r="I9" s="481">
        <f>transport!I14</f>
        <v>0</v>
      </c>
      <c r="J9" s="481">
        <f>transport!J14</f>
        <v>0</v>
      </c>
      <c r="K9" s="481">
        <f>transport!K14</f>
        <v>0</v>
      </c>
      <c r="L9" s="481">
        <f>transport!L14</f>
        <v>0</v>
      </c>
      <c r="M9" s="481">
        <f>transport!M14</f>
        <v>3835.9541535189933</v>
      </c>
      <c r="N9" s="481">
        <f>transport!N14</f>
        <v>0</v>
      </c>
      <c r="O9" s="481">
        <f>transport!O14</f>
        <v>0</v>
      </c>
      <c r="P9" s="481">
        <f>transport!P14</f>
        <v>0</v>
      </c>
      <c r="Q9" s="480">
        <f>SUM(B9:P9)</f>
        <v>126977.17118655544</v>
      </c>
    </row>
    <row r="10" spans="1:17">
      <c r="A10" s="476" t="s">
        <v>554</v>
      </c>
      <c r="B10" s="477">
        <f>transport!B54</f>
        <v>0</v>
      </c>
      <c r="C10" s="477">
        <f>transport!C54</f>
        <v>0</v>
      </c>
      <c r="D10" s="477">
        <f>transport!D54</f>
        <v>0</v>
      </c>
      <c r="E10" s="477">
        <f>transport!E54</f>
        <v>0</v>
      </c>
      <c r="F10" s="477">
        <f>transport!F54</f>
        <v>0</v>
      </c>
      <c r="G10" s="477">
        <f>transport!G54</f>
        <v>798.82427188589145</v>
      </c>
      <c r="H10" s="477">
        <f>transport!H54</f>
        <v>0</v>
      </c>
      <c r="I10" s="477">
        <f>transport!I54</f>
        <v>0</v>
      </c>
      <c r="J10" s="477">
        <f>transport!J54</f>
        <v>0</v>
      </c>
      <c r="K10" s="477">
        <f>transport!K54</f>
        <v>0</v>
      </c>
      <c r="L10" s="477">
        <f>transport!L54</f>
        <v>0</v>
      </c>
      <c r="M10" s="477">
        <f>transport!M54</f>
        <v>24.77774179854773</v>
      </c>
      <c r="N10" s="477">
        <f>transport!N54</f>
        <v>0</v>
      </c>
      <c r="O10" s="477">
        <f>transport!O54</f>
        <v>0</v>
      </c>
      <c r="P10" s="478">
        <f>transport!P54</f>
        <v>0</v>
      </c>
      <c r="Q10" s="476">
        <f t="shared" si="0"/>
        <v>823.60201368443916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812.08091835000005</v>
      </c>
      <c r="C14" s="484"/>
      <c r="D14" s="484">
        <f>'SEAP template'!E25</f>
        <v>2003.8568977</v>
      </c>
      <c r="E14" s="484"/>
      <c r="F14" s="484"/>
      <c r="G14" s="484"/>
      <c r="H14" s="484"/>
      <c r="I14" s="484"/>
      <c r="J14" s="484"/>
      <c r="K14" s="484"/>
      <c r="L14" s="484"/>
      <c r="M14" s="484"/>
      <c r="N14" s="484"/>
      <c r="O14" s="484"/>
      <c r="P14" s="485"/>
      <c r="Q14" s="476">
        <f t="shared" si="0"/>
        <v>2815.93781605</v>
      </c>
    </row>
    <row r="15" spans="1:17" s="486" customFormat="1">
      <c r="A15" s="1038" t="s">
        <v>558</v>
      </c>
      <c r="B15" s="978">
        <f ca="1">SUM(B4:B14)</f>
        <v>53321.881200584692</v>
      </c>
      <c r="C15" s="978">
        <f t="shared" ref="C15:Q15" ca="1" si="1">SUM(C4:C14)</f>
        <v>0</v>
      </c>
      <c r="D15" s="978">
        <f t="shared" ca="1" si="1"/>
        <v>90548.662950352649</v>
      </c>
      <c r="E15" s="978">
        <f t="shared" si="1"/>
        <v>6120.6371893978758</v>
      </c>
      <c r="F15" s="978">
        <f t="shared" ca="1" si="1"/>
        <v>20898.354515313451</v>
      </c>
      <c r="G15" s="978">
        <f t="shared" si="1"/>
        <v>103769.29190729206</v>
      </c>
      <c r="H15" s="978">
        <f t="shared" si="1"/>
        <v>19754.792858981222</v>
      </c>
      <c r="I15" s="978">
        <f t="shared" si="1"/>
        <v>0</v>
      </c>
      <c r="J15" s="978">
        <f t="shared" si="1"/>
        <v>5041.2853838950487</v>
      </c>
      <c r="K15" s="978">
        <f t="shared" si="1"/>
        <v>0</v>
      </c>
      <c r="L15" s="978">
        <f t="shared" ca="1" si="1"/>
        <v>0</v>
      </c>
      <c r="M15" s="978">
        <f t="shared" si="1"/>
        <v>3860.7318953175409</v>
      </c>
      <c r="N15" s="978">
        <f t="shared" ca="1" si="1"/>
        <v>16467.078624180471</v>
      </c>
      <c r="O15" s="978">
        <f t="shared" si="1"/>
        <v>195.41666666666669</v>
      </c>
      <c r="P15" s="978">
        <f t="shared" si="1"/>
        <v>1124.9333333333334</v>
      </c>
      <c r="Q15" s="978">
        <f t="shared" ca="1" si="1"/>
        <v>321103.06652531505</v>
      </c>
    </row>
    <row r="17" spans="1:17">
      <c r="A17" s="487" t="s">
        <v>559</v>
      </c>
      <c r="B17" s="786">
        <f ca="1">huishoudens!B10</f>
        <v>0.20509340491907835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7180.1884905961288</v>
      </c>
      <c r="C22" s="477">
        <f t="shared" ref="C22:C32" ca="1" si="3">C4*$C$17</f>
        <v>0</v>
      </c>
      <c r="D22" s="477">
        <f t="shared" ref="D22:D32" si="4">D4*$D$17</f>
        <v>14016.794769603297</v>
      </c>
      <c r="E22" s="477">
        <f t="shared" ref="E22:E32" si="5">E4*$E$17</f>
        <v>1193.6966771457533</v>
      </c>
      <c r="F22" s="477">
        <f t="shared" ref="F22:F32" si="6">F4*$F$17</f>
        <v>3695.5333410820099</v>
      </c>
      <c r="G22" s="477">
        <f t="shared" ref="G22:G32" si="7">G4*$G$17</f>
        <v>0</v>
      </c>
      <c r="H22" s="477">
        <f t="shared" ref="H22:H32" si="8">H4*$H$17</f>
        <v>0</v>
      </c>
      <c r="I22" s="477">
        <f t="shared" ref="I22:I32" si="9">I4*$I$17</f>
        <v>0</v>
      </c>
      <c r="J22" s="477">
        <f t="shared" ref="J22:J32" si="10">J4*$J$17</f>
        <v>1746.6926652313475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27832.905943658538</v>
      </c>
    </row>
    <row r="23" spans="1:17">
      <c r="A23" s="476" t="s">
        <v>156</v>
      </c>
      <c r="B23" s="477">
        <f t="shared" ca="1" si="2"/>
        <v>2901.0497704812747</v>
      </c>
      <c r="C23" s="477">
        <f t="shared" ca="1" si="3"/>
        <v>0</v>
      </c>
      <c r="D23" s="477">
        <f t="shared" ca="1" si="4"/>
        <v>3499.5820027734699</v>
      </c>
      <c r="E23" s="477">
        <f t="shared" si="5"/>
        <v>72.580710403920307</v>
      </c>
      <c r="F23" s="477">
        <f t="shared" ca="1" si="6"/>
        <v>977.68966611935718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7450.9021497780222</v>
      </c>
    </row>
    <row r="24" spans="1:17">
      <c r="A24" s="476" t="s">
        <v>194</v>
      </c>
      <c r="B24" s="477">
        <f t="shared" ca="1" si="2"/>
        <v>244.60423918992893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244.60423918992893</v>
      </c>
    </row>
    <row r="25" spans="1:17">
      <c r="A25" s="476" t="s">
        <v>112</v>
      </c>
      <c r="B25" s="477">
        <f t="shared" ca="1" si="2"/>
        <v>146.53597581638184</v>
      </c>
      <c r="C25" s="477">
        <f t="shared" ca="1" si="3"/>
        <v>0</v>
      </c>
      <c r="D25" s="477">
        <f t="shared" si="4"/>
        <v>45.244489965326665</v>
      </c>
      <c r="E25" s="477">
        <f t="shared" si="5"/>
        <v>4.1822029427333476</v>
      </c>
      <c r="F25" s="477">
        <f t="shared" si="6"/>
        <v>697.29064096623381</v>
      </c>
      <c r="G25" s="477">
        <f t="shared" si="7"/>
        <v>0</v>
      </c>
      <c r="H25" s="477">
        <f t="shared" si="8"/>
        <v>0</v>
      </c>
      <c r="I25" s="477">
        <f t="shared" si="9"/>
        <v>0</v>
      </c>
      <c r="J25" s="477">
        <f t="shared" si="10"/>
        <v>36.412236877366539</v>
      </c>
      <c r="K25" s="477">
        <f t="shared" si="11"/>
        <v>0</v>
      </c>
      <c r="L25" s="477">
        <f t="shared" si="12"/>
        <v>0</v>
      </c>
      <c r="M25" s="477">
        <f t="shared" si="13"/>
        <v>0</v>
      </c>
      <c r="N25" s="477">
        <f t="shared" si="14"/>
        <v>0</v>
      </c>
      <c r="O25" s="477">
        <f t="shared" si="15"/>
        <v>0</v>
      </c>
      <c r="P25" s="478">
        <f t="shared" si="16"/>
        <v>0</v>
      </c>
      <c r="Q25" s="476">
        <f t="shared" ca="1" si="17"/>
        <v>929.66554656804226</v>
      </c>
    </row>
    <row r="26" spans="1:17">
      <c r="A26" s="476" t="s">
        <v>638</v>
      </c>
      <c r="B26" s="477">
        <f t="shared" ca="1" si="2"/>
        <v>290.70726923776721</v>
      </c>
      <c r="C26" s="477">
        <f t="shared" ca="1" si="3"/>
        <v>0</v>
      </c>
      <c r="D26" s="477">
        <f t="shared" si="4"/>
        <v>309.88465582699416</v>
      </c>
      <c r="E26" s="477">
        <f t="shared" si="5"/>
        <v>47.851829560920137</v>
      </c>
      <c r="F26" s="477">
        <f t="shared" si="6"/>
        <v>209.34700742109021</v>
      </c>
      <c r="G26" s="477">
        <f t="shared" si="7"/>
        <v>0</v>
      </c>
      <c r="H26" s="477">
        <f t="shared" si="8"/>
        <v>0</v>
      </c>
      <c r="I26" s="477">
        <f t="shared" si="9"/>
        <v>0</v>
      </c>
      <c r="J26" s="477">
        <f t="shared" si="10"/>
        <v>1.5101237901329343</v>
      </c>
      <c r="K26" s="477">
        <f t="shared" si="11"/>
        <v>0</v>
      </c>
      <c r="L26" s="477">
        <f t="shared" si="12"/>
        <v>0</v>
      </c>
      <c r="M26" s="477">
        <f t="shared" si="13"/>
        <v>0</v>
      </c>
      <c r="N26" s="477">
        <f t="shared" si="14"/>
        <v>0</v>
      </c>
      <c r="O26" s="477">
        <f t="shared" si="15"/>
        <v>0</v>
      </c>
      <c r="P26" s="478">
        <f t="shared" si="16"/>
        <v>0</v>
      </c>
      <c r="Q26" s="476">
        <f t="shared" ca="1" si="17"/>
        <v>859.30088583690474</v>
      </c>
    </row>
    <row r="27" spans="1:17" s="482" customFormat="1">
      <c r="A27" s="480" t="s">
        <v>564</v>
      </c>
      <c r="B27" s="780">
        <f t="shared" ca="1" si="2"/>
        <v>6.327986182811407</v>
      </c>
      <c r="C27" s="481">
        <f t="shared" ca="1" si="3"/>
        <v>0</v>
      </c>
      <c r="D27" s="481">
        <f t="shared" si="4"/>
        <v>14.544904466752223</v>
      </c>
      <c r="E27" s="481">
        <f t="shared" si="5"/>
        <v>71.073221939990802</v>
      </c>
      <c r="F27" s="481">
        <f t="shared" si="6"/>
        <v>0</v>
      </c>
      <c r="G27" s="481">
        <f t="shared" si="7"/>
        <v>27493.114858653447</v>
      </c>
      <c r="H27" s="481">
        <f t="shared" si="8"/>
        <v>4918.9434218863244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32504.004393129326</v>
      </c>
    </row>
    <row r="28" spans="1:17">
      <c r="A28" s="476" t="s">
        <v>554</v>
      </c>
      <c r="B28" s="477">
        <f t="shared" ca="1" si="2"/>
        <v>0</v>
      </c>
      <c r="C28" s="477">
        <f t="shared" ca="1" si="3"/>
        <v>0</v>
      </c>
      <c r="D28" s="477">
        <f t="shared" si="4"/>
        <v>0</v>
      </c>
      <c r="E28" s="477">
        <f t="shared" si="5"/>
        <v>0</v>
      </c>
      <c r="F28" s="477">
        <f t="shared" si="6"/>
        <v>0</v>
      </c>
      <c r="G28" s="477">
        <f t="shared" si="7"/>
        <v>213.28608059353303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213.28608059353303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166.55244061421357</v>
      </c>
      <c r="C32" s="477">
        <f t="shared" ca="1" si="3"/>
        <v>0</v>
      </c>
      <c r="D32" s="477">
        <f t="shared" si="4"/>
        <v>404.77909333540003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571.33153394961357</v>
      </c>
    </row>
    <row r="33" spans="1:17" s="486" customFormat="1">
      <c r="A33" s="1038" t="s">
        <v>558</v>
      </c>
      <c r="B33" s="978">
        <f ca="1">SUM(B22:B32)</f>
        <v>10935.966172118508</v>
      </c>
      <c r="C33" s="978">
        <f t="shared" ref="C33:Q33" ca="1" si="18">SUM(C22:C32)</f>
        <v>0</v>
      </c>
      <c r="D33" s="978">
        <f t="shared" ca="1" si="18"/>
        <v>18290.829915971241</v>
      </c>
      <c r="E33" s="978">
        <f t="shared" si="18"/>
        <v>1389.3846419933179</v>
      </c>
      <c r="F33" s="978">
        <f t="shared" ca="1" si="18"/>
        <v>5579.8606555886909</v>
      </c>
      <c r="G33" s="978">
        <f t="shared" si="18"/>
        <v>27706.400939246982</v>
      </c>
      <c r="H33" s="978">
        <f t="shared" si="18"/>
        <v>4918.9434218863244</v>
      </c>
      <c r="I33" s="978">
        <f t="shared" si="18"/>
        <v>0</v>
      </c>
      <c r="J33" s="978">
        <f t="shared" si="18"/>
        <v>1784.6150258988469</v>
      </c>
      <c r="K33" s="978">
        <f t="shared" si="18"/>
        <v>0</v>
      </c>
      <c r="L33" s="978">
        <f t="shared" ca="1" si="18"/>
        <v>0</v>
      </c>
      <c r="M33" s="978">
        <f t="shared" si="18"/>
        <v>0</v>
      </c>
      <c r="N33" s="978">
        <f t="shared" ca="1" si="18"/>
        <v>0</v>
      </c>
      <c r="O33" s="978">
        <f t="shared" si="18"/>
        <v>0</v>
      </c>
      <c r="P33" s="978">
        <f t="shared" si="18"/>
        <v>0</v>
      </c>
      <c r="Q33" s="978">
        <f t="shared" ca="1" si="18"/>
        <v>70606.000772703919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12.1301775147929</v>
      </c>
      <c r="C5" s="1055"/>
      <c r="D5" s="1055"/>
      <c r="E5" s="1055"/>
      <c r="F5" s="1055"/>
      <c r="G5" s="1055"/>
      <c r="H5" s="1055"/>
      <c r="I5" s="1055"/>
      <c r="J5" s="1055"/>
      <c r="K5" s="1055"/>
      <c r="L5" s="1055"/>
      <c r="M5" s="1055"/>
      <c r="N5" s="1055"/>
      <c r="O5" s="1055"/>
      <c r="P5" s="1056">
        <f>'SEAP template'!Q73</f>
        <v>0</v>
      </c>
    </row>
    <row r="6" spans="1:16">
      <c r="A6" s="1057" t="s">
        <v>251</v>
      </c>
      <c r="B6" s="1055">
        <f>'SEAP template'!B74</f>
        <v>3825.7411944793671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3837.8713719941602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0.20509340491907835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0.20509340491907835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2019-08-12T08:25:08Z</dcterms:modified>
</cp:coreProperties>
</file>