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D9" i="18"/>
  <c r="E77" i="14" s="1"/>
  <c r="E9" i="59" s="1"/>
  <c r="C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V89"/>
  <c r="J9" s="1"/>
  <c r="J77" i="14" s="1"/>
  <c r="J9" i="59" s="1"/>
  <c r="U89" i="18"/>
  <c r="I9" s="1"/>
  <c r="I77" i="14" s="1"/>
  <c r="I9" i="59" s="1"/>
  <c r="T89" i="18"/>
  <c r="S89"/>
  <c r="E9" s="1"/>
  <c r="F77" i="14" s="1"/>
  <c r="F9" i="59" s="1"/>
  <c r="R89" i="18"/>
  <c r="Q89"/>
  <c r="P89"/>
  <c r="O89"/>
  <c r="N89"/>
  <c r="B9" s="1"/>
  <c r="M89"/>
  <c r="W61"/>
  <c r="V61"/>
  <c r="U61"/>
  <c r="T61"/>
  <c r="L6" i="17" s="1"/>
  <c r="S61" i="18"/>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G12"/>
  <c r="F12"/>
  <c r="E12"/>
  <c r="D12"/>
  <c r="C12"/>
  <c r="F10"/>
  <c r="D10"/>
  <c r="B6"/>
  <c r="B5"/>
  <c r="B4"/>
  <c r="F6" i="17"/>
  <c r="D6"/>
  <c r="D5"/>
  <c r="B19" i="6"/>
  <c r="B18"/>
  <c r="B5"/>
  <c r="B6"/>
  <c r="B14" i="48"/>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K20" s="1"/>
  <c r="J89" i="14"/>
  <c r="J19" i="59" s="1"/>
  <c r="M88" i="14"/>
  <c r="M18" i="59" s="1"/>
  <c r="L88" i="14"/>
  <c r="L18" i="59" s="1"/>
  <c r="K88" i="14"/>
  <c r="K18" i="59" s="1"/>
  <c r="I88" i="14"/>
  <c r="I18" i="59" s="1"/>
  <c r="H88" i="14"/>
  <c r="F88"/>
  <c r="F18" i="59" s="1"/>
  <c r="O87" i="14"/>
  <c r="N87"/>
  <c r="L87"/>
  <c r="L17" i="59" s="1"/>
  <c r="K87" i="14"/>
  <c r="K17" i="59" s="1"/>
  <c r="H87" i="14"/>
  <c r="H17" i="59" s="1"/>
  <c r="G87" i="14"/>
  <c r="G17" i="59" s="1"/>
  <c r="E87" i="14"/>
  <c r="E17" i="59" s="1"/>
  <c r="N77" i="14"/>
  <c r="N9" i="59" s="1"/>
  <c r="M77" i="14"/>
  <c r="M9" i="59" s="1"/>
  <c r="L77" i="14"/>
  <c r="L9" i="59" s="1"/>
  <c r="K77" i="14"/>
  <c r="K9" i="59" s="1"/>
  <c r="D77" i="14"/>
  <c r="D9" i="59" s="1"/>
  <c r="O76" i="14"/>
  <c r="O8" i="59" s="1"/>
  <c r="N76" i="14"/>
  <c r="N8" i="59"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E25"/>
  <c r="E55" s="1"/>
  <c r="C25"/>
  <c r="Q26"/>
  <c r="J26"/>
  <c r="I26"/>
  <c r="H26"/>
  <c r="Q22"/>
  <c r="J22"/>
  <c r="G22"/>
  <c r="G20" i="18" l="1"/>
  <c r="H89" i="14"/>
  <c r="H19" i="59" s="1"/>
  <c r="Q11" i="48"/>
  <c r="N88" i="14"/>
  <c r="N18" i="59" s="1"/>
  <c r="N20" s="1"/>
  <c r="K20" i="18"/>
  <c r="N17" i="59"/>
  <c r="O78" i="14"/>
  <c r="O9" i="59"/>
  <c r="G10" i="18"/>
  <c r="H77" i="14"/>
  <c r="H9" i="59" s="1"/>
  <c r="H10" s="1"/>
  <c r="K22" i="14"/>
  <c r="L22"/>
  <c r="D20" i="18"/>
  <c r="E88" i="14"/>
  <c r="E18" i="59" s="1"/>
  <c r="O88" i="14"/>
  <c r="O18" i="59" s="1"/>
  <c r="L20" i="18"/>
  <c r="O17" i="59"/>
  <c r="O20" s="1"/>
  <c r="Q52" i="14"/>
  <c r="R9"/>
  <c r="P52"/>
  <c r="O10" i="59"/>
  <c r="N6" i="17"/>
  <c r="R25" i="14"/>
  <c r="L90"/>
  <c r="D14" i="48"/>
  <c r="L78" i="14"/>
  <c r="L8" i="59"/>
  <c r="L10" s="1"/>
  <c r="H90" i="14"/>
  <c r="H18" i="59"/>
  <c r="H8"/>
  <c r="N10"/>
  <c r="L20"/>
  <c r="K10"/>
  <c r="H20"/>
  <c r="C98" i="18"/>
  <c r="I101" s="1"/>
  <c r="H8" s="1"/>
  <c r="D13" i="15"/>
  <c r="B10" i="18"/>
  <c r="L10"/>
  <c r="C13" i="15"/>
  <c r="K90" i="14"/>
  <c r="G10" i="59"/>
  <c r="E20"/>
  <c r="F20" i="18"/>
  <c r="E10" i="59"/>
  <c r="B17" i="18"/>
  <c r="B20" s="1"/>
  <c r="B8"/>
  <c r="O19"/>
  <c r="L13" i="15"/>
  <c r="N13"/>
  <c r="O9" i="18"/>
  <c r="O18"/>
  <c r="B89" i="14"/>
  <c r="B19" i="59" s="1"/>
  <c r="G88" i="14"/>
  <c r="F89"/>
  <c r="E101" i="18"/>
  <c r="E8" s="1"/>
  <c r="H101"/>
  <c r="I102"/>
  <c r="H17" s="1"/>
  <c r="E102"/>
  <c r="E17" s="1"/>
  <c r="H102"/>
  <c r="D102"/>
  <c r="G102"/>
  <c r="C102"/>
  <c r="F102"/>
  <c r="B102"/>
  <c r="C17" s="1"/>
  <c r="B88" i="14"/>
  <c r="B18" i="59" s="1"/>
  <c r="Q14" i="48"/>
  <c r="O24"/>
  <c r="O30"/>
  <c r="P24"/>
  <c r="P30"/>
  <c r="E78" i="14"/>
  <c r="E90"/>
  <c r="N78"/>
  <c r="G90" l="1"/>
  <c r="G18" i="59"/>
  <c r="G20" s="1"/>
  <c r="C89" i="14"/>
  <c r="C19" i="59" s="1"/>
  <c r="F19"/>
  <c r="B77" i="14"/>
  <c r="B9" i="59" s="1"/>
  <c r="Q77" i="14"/>
  <c r="P9" i="59" s="1"/>
  <c r="C77" i="14"/>
  <c r="C9" i="59" s="1"/>
  <c r="D101" i="18"/>
  <c r="J8" s="1"/>
  <c r="H78" i="14"/>
  <c r="C88"/>
  <c r="C18" i="59" s="1"/>
  <c r="G101" i="18"/>
  <c r="O90" i="14"/>
  <c r="C101" i="18"/>
  <c r="N90" i="14"/>
  <c r="F101" i="18"/>
  <c r="I8" s="1"/>
  <c r="O8" s="1"/>
  <c r="O10" s="1"/>
  <c r="B101"/>
  <c r="C8" s="1"/>
  <c r="D76" i="14" s="1"/>
  <c r="D8" i="59" s="1"/>
  <c r="D10" s="1"/>
  <c r="Q88" i="14"/>
  <c r="P18" i="59" s="1"/>
  <c r="Q89" i="14"/>
  <c r="P19" i="59" s="1"/>
  <c r="C20" i="18"/>
  <c r="D87" i="14"/>
  <c r="D17" i="59" s="1"/>
  <c r="D20" s="1"/>
  <c r="C10" i="18"/>
  <c r="J17"/>
  <c r="F87" i="14"/>
  <c r="E20" i="18"/>
  <c r="E10"/>
  <c r="F76" i="14"/>
  <c r="F8" i="59" s="1"/>
  <c r="F10" s="1"/>
  <c r="I17" i="18"/>
  <c r="H20"/>
  <c r="M87" i="14"/>
  <c r="M76"/>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28"/>
  <c r="J27"/>
  <c r="J30"/>
  <c r="J31"/>
  <c r="J24"/>
  <c r="Q11" i="14"/>
  <c r="P4" i="48"/>
  <c r="O4"/>
  <c r="P11" i="14"/>
  <c r="I32" i="48"/>
  <c r="I25"/>
  <c r="I26"/>
  <c r="I28"/>
  <c r="I22"/>
  <c r="I27"/>
  <c r="I24"/>
  <c r="I29"/>
  <c r="I31"/>
  <c r="I30"/>
  <c r="D4"/>
  <c r="D22" s="1"/>
  <c r="E11" i="14"/>
  <c r="H26" i="48"/>
  <c r="H28"/>
  <c r="H32"/>
  <c r="H29"/>
  <c r="H24"/>
  <c r="H25"/>
  <c r="H22"/>
  <c r="H30"/>
  <c r="H23"/>
  <c r="C4"/>
  <c r="D11" i="14"/>
  <c r="G32" i="48"/>
  <c r="G30"/>
  <c r="G25"/>
  <c r="G26"/>
  <c r="G24"/>
  <c r="G29"/>
  <c r="G22"/>
  <c r="G23"/>
  <c r="B4"/>
  <c r="C11" i="14"/>
  <c r="F28" i="48"/>
  <c r="F27"/>
  <c r="F32"/>
  <c r="F31"/>
  <c r="F30"/>
  <c r="F29"/>
  <c r="F24"/>
  <c r="N28"/>
  <c r="N27"/>
  <c r="N32"/>
  <c r="N31"/>
  <c r="N30"/>
  <c r="N24"/>
  <c r="N29"/>
  <c r="B10"/>
  <c r="C19" i="14"/>
  <c r="E28" i="48"/>
  <c r="E32"/>
  <c r="E31"/>
  <c r="E29"/>
  <c r="E30"/>
  <c r="E24"/>
  <c r="M32"/>
  <c r="M25"/>
  <c r="M26"/>
  <c r="M29"/>
  <c r="M24"/>
  <c r="M22"/>
  <c r="M30"/>
  <c r="M23"/>
  <c r="K5"/>
  <c r="L10" i="14"/>
  <c r="L16" s="1"/>
  <c r="L27" s="1"/>
  <c r="D30" i="48"/>
  <c r="D31"/>
  <c r="D29"/>
  <c r="D24"/>
  <c r="D28"/>
  <c r="D32"/>
  <c r="L27"/>
  <c r="L32"/>
  <c r="L31"/>
  <c r="L29"/>
  <c r="L24"/>
  <c r="L28"/>
  <c r="L22"/>
  <c r="L30"/>
  <c r="Q10" i="14"/>
  <c r="P5" i="48"/>
  <c r="P23" s="1"/>
  <c r="K32"/>
  <c r="K31"/>
  <c r="K25"/>
  <c r="K29"/>
  <c r="K26"/>
  <c r="K30"/>
  <c r="K24"/>
  <c r="K28"/>
  <c r="K27"/>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K23" i="48"/>
  <c r="K33" s="1"/>
  <c r="K15"/>
  <c r="C22" i="14"/>
  <c r="Q13"/>
  <c r="P8" i="48"/>
  <c r="P26" s="1"/>
  <c r="F20" i="14"/>
  <c r="F22" s="1"/>
  <c r="E9" i="48"/>
  <c r="E27" s="1"/>
  <c r="D9"/>
  <c r="D27" s="1"/>
  <c r="E20" i="14"/>
  <c r="E22" s="1"/>
  <c r="O5" i="48"/>
  <c r="O23" s="1"/>
  <c r="P10" i="14"/>
  <c r="J7" i="48"/>
  <c r="J25" s="1"/>
  <c r="K24" i="14"/>
  <c r="K26" s="1"/>
  <c r="C20"/>
  <c r="B9" i="48"/>
  <c r="F4"/>
  <c r="F22" s="1"/>
  <c r="G11" i="14"/>
  <c r="I5" i="48"/>
  <c r="J10" i="14"/>
  <c r="J16" s="1"/>
  <c r="J27" s="1"/>
  <c r="P15" i="48"/>
  <c r="P22"/>
  <c r="P33" s="1"/>
  <c r="Q16" i="14"/>
  <c r="Q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I23" i="48"/>
  <c r="I33" s="1"/>
  <c r="I15"/>
  <c r="N20" i="14"/>
  <c r="N22" s="1"/>
  <c r="N27" s="1"/>
  <c r="M9" i="48"/>
  <c r="O22" i="16"/>
  <c r="P43" i="14" s="1"/>
  <c r="P46" s="1"/>
  <c r="P61" s="1"/>
  <c r="P63" s="1"/>
  <c r="O8" i="48"/>
  <c r="O26" s="1"/>
  <c r="P13" i="14"/>
  <c r="G31" i="48"/>
  <c r="Q13"/>
  <c r="I20" i="14"/>
  <c r="I22" s="1"/>
  <c r="I27" s="1"/>
  <c r="H9" i="48"/>
  <c r="R18" i="14"/>
  <c r="M10" i="48"/>
  <c r="M28" s="1"/>
  <c r="N19" i="14"/>
  <c r="G10" i="48"/>
  <c r="H19" i="14"/>
  <c r="R19" s="1"/>
  <c r="O15" i="48"/>
  <c r="Q63" i="14"/>
  <c r="J63"/>
  <c r="P16"/>
  <c r="P27" s="1"/>
  <c r="O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E22" i="48"/>
  <c r="Q4"/>
  <c r="H20" i="14"/>
  <c r="R20" s="1"/>
  <c r="G9" i="48"/>
  <c r="H27"/>
  <c r="H33" s="1"/>
  <c r="H15"/>
  <c r="M27"/>
  <c r="M33" s="1"/>
  <c r="M15"/>
  <c r="J22"/>
  <c r="F10" i="14"/>
  <c r="E5" i="48"/>
  <c r="E23" s="1"/>
  <c r="G28"/>
  <c r="Q10"/>
  <c r="H22" i="14"/>
  <c r="H27" s="1"/>
  <c r="R24"/>
  <c r="R26" s="1"/>
  <c r="R22"/>
  <c r="J20" i="15"/>
  <c r="K40" i="14" s="1"/>
  <c r="Q7" i="48"/>
  <c r="E20" i="15"/>
  <c r="F40" i="14" s="1"/>
  <c r="J18" i="16"/>
  <c r="E18"/>
  <c r="F18"/>
  <c r="F22" s="1"/>
  <c r="G43" i="14" s="1"/>
  <c r="N18" i="16"/>
  <c r="G18" i="22"/>
  <c r="H50" i="14" s="1"/>
  <c r="H52" s="1"/>
  <c r="H61" s="1"/>
  <c r="H18" i="22"/>
  <c r="I50" i="14" s="1"/>
  <c r="I52" s="1"/>
  <c r="I61" s="1"/>
  <c r="I63" s="1"/>
  <c r="J22" i="16" l="1"/>
  <c r="K43" i="14" s="1"/>
  <c r="J8" i="48"/>
  <c r="J26" s="1"/>
  <c r="J33" s="1"/>
  <c r="K13" i="14"/>
  <c r="K16" s="1"/>
  <c r="K27" s="1"/>
  <c r="E8" i="48"/>
  <c r="F13" i="14"/>
  <c r="F16" s="1"/>
  <c r="F27" s="1"/>
  <c r="G27" i="48"/>
  <c r="G33" s="1"/>
  <c r="G15"/>
  <c r="Q9"/>
  <c r="H63" i="14"/>
  <c r="E22" i="16"/>
  <c r="F43" i="14" s="1"/>
  <c r="F46" s="1"/>
  <c r="F61" s="1"/>
  <c r="F63" s="1"/>
  <c r="K46"/>
  <c r="K61" s="1"/>
  <c r="N8" i="48"/>
  <c r="N26" s="1"/>
  <c r="O13" i="14"/>
  <c r="N22" i="16"/>
  <c r="O43" i="14" s="1"/>
  <c r="G13"/>
  <c r="F8" i="48"/>
  <c r="E26" l="1"/>
  <c r="E33" s="1"/>
  <c r="E15"/>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<sst xmlns="http://schemas.openxmlformats.org/spreadsheetml/2006/main" count="2410" uniqueCount="900">
  <si>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</si>
  <si>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</si>
  <si>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</si>
  <si>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</si>
  <si>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</si>
  <si>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</si>
  <si>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</si>
  <si>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</si>
  <si>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</si>
  <si>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</si>
  <si>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</si>
  <si>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</si>
  <si>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</si>
  <si>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</si>
  <si>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</si>
  <si>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</si>
  <si>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</si>
  <si>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</si>
  <si>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</si>
  <si>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</si>
  <si>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</si>
  <si>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</si>
  <si>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</si>
  <si>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</si>
  <si>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</si>
  <si>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</si>
  <si>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</si>
  <si>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</si>
  <si>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</si>
  <si>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</si>
  <si>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</si>
  <si>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</si>
  <si>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</si>
  <si>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</si>
  <si>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</si>
  <si>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</si>
  <si>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</si>
  <si>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</si>
  <si>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</si>
  <si>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</si>
  <si>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</si>
  <si>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</si>
  <si>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</si>
  <si>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</si>
  <si>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</si>
  <si>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</si>
  <si>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</si>
  <si>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</si>
  <si>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</si>
  <si>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</si>
  <si>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</si>
  <si>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</si>
  <si>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</si>
  <si>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</si>
  <si>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</si>
  <si>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</si>
  <si>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</si>
  <si>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</si>
  <si>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</si>
  <si>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</si>
  <si>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</si>
  <si>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</si>
  <si>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</si>
  <si>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</si>
  <si>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</si>
  <si>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</si>
  <si>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</si>
  <si>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</si>
  <si>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</si>
  <si>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</si>
  <si>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</si>
  <si>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</si>
  <si>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</si>
  <si>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</si>
  <si>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</si>
  <si>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</si>
  <si>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</si>
  <si>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</si>
  <si>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</si>
  <si>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</si>
  <si>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</si>
  <si>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</si>
  <si>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</si>
  <si>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</si>
  <si>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</si>
  <si>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</si>
  <si>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</si>
  <si>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</si>
  <si>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</si>
  <si>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</si>
  <si>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</si>
  <si>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</si>
  <si>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</si>
  <si>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</si>
  <si>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</si>
  <si>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</si>
  <si>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</si>
  <si>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</si>
  <si>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</si>
  <si>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</si>
  <si>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</si>
  <si>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</si>
  <si>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</si>
  <si>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</si>
  <si>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</si>
  <si>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</si>
  <si>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</si>
  <si>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</si>
  <si>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</si>
  <si>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</si>
  <si>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</si>
  <si>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</si>
  <si>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</si>
  <si>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</si>
  <si>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</si>
  <si>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</si>
  <si>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</si>
  <si>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</si>
  <si>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</si>
  <si>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</si>
  <si>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</si>
  <si>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</si>
  <si>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</si>
  <si>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</si>
  <si>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</si>
  <si>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</si>
  <si>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</si>
  <si>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</si>
  <si>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</si>
  <si>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</si>
  <si>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</si>
  <si>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</si>
  <si>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</si>
  <si>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</si>
  <si>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</si>
  <si>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</si>
  <si>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</si>
  <si>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</si>
  <si>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</si>
  <si>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</si>
  <si>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</si>
  <si>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</si>
  <si>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</si>
  <si>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</si>
  <si>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</si>
  <si>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</si>
  <si>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</si>
  <si>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</si>
  <si>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</si>
  <si>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</si>
  <si>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</si>
  <si>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</si>
  <si>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</si>
  <si>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</si>
  <si>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</si>
  <si>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</si>
  <si>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</si>
  <si>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</si>
  <si>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</si>
  <si>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</si>
  <si>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</si>
  <si>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</si>
  <si>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</si>
  <si>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</si>
  <si>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</si>
  <si>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</si>
  <si>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</si>
  <si>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</si>
  <si>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</si>
  <si>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</si>
  <si>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</si>
  <si>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</si>
  <si>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</si>
  <si>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</si>
  <si>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</si>
  <si>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</si>
  <si>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</si>
  <si>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</si>
  <si>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</si>
  <si>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</si>
  <si>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</si>
  <si>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</si>
  <si>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</si>
  <si>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</si>
  <si>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</si>
  <si>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</si>
  <si>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</si>
  <si>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</si>
  <si>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</si>
  <si>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</si>
  <si>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</si>
  <si>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</si>
  <si>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</si>
  <si>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</si>
  <si>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</si>
  <si>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</si>
  <si>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</si>
  <si>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</si>
  <si>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</si>
  <si>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</si>
  <si>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</si>
  <si>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</si>
  <si>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</si>
  <si>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</si>
  <si>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</si>
  <si>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</si>
  <si>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</si>
  <si>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</si>
  <si>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</si>
  <si>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</si>
  <si>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</si>
  <si>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</si>
  <si>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</si>
  <si>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</si>
  <si>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</si>
  <si>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</si>
  <si>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</si>
  <si>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</si>
  <si>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</si>
  <si>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</si>
  <si>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</si>
  <si>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</si>
  <si>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</si>
  <si>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</si>
  <si>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</si>
  <si>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</si>
  <si>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</si>
  <si>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</si>
  <si>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</si>
  <si>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</si>
  <si>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</si>
  <si>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</si>
  <si>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</si>
  <si>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</si>
  <si>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</si>
  <si>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</si>
  <si>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</si>
  <si>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</si>
  <si>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</si>
  <si>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</si>
  <si>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</si>
  <si>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</si>
  <si>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</si>
  <si>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</si>
  <si>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</si>
  <si>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</si>
  <si>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</si>
  <si>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</si>
  <si>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</si>
  <si>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</si>
  <si>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</si>
  <si>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</si>
  <si>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</si>
  <si>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</si>
  <si>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</si>
  <si>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</si>
  <si>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</si>
  <si>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</si>
  <si>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</si>
  <si>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</si>
  <si>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</si>
  <si>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</si>
  <si>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</si>
  <si>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</si>
  <si>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</si>
  <si>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</si>
  <si>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</si>
  <si>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</si>
  <si>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</si>
  <si>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</si>
  <si>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</si>
  <si>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</si>
  <si>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</si>
  <si>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</si>
  <si>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</si>
  <si>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</si>
  <si>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</si>
  <si>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</si>
  <si>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</si>
  <si>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</si>
  <si>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</si>
  <si>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</si>
  <si>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</si>
  <si>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</si>
  <si>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</si>
  <si>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</si>
  <si>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</si>
  <si>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</si>
  <si>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</si>
  <si>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</si>
  <si>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</si>
  <si>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</si>
  <si>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</si>
  <si>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</si>
  <si>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</si>
  <si>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</si>
  <si>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</si>
  <si>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</si>
  <si>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</si>
  <si>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</si>
  <si>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</si>
  <si>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</si>
  <si>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</si>
  <si>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</si>
  <si>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</si>
  <si>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</si>
  <si>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</si>
  <si>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</si>
  <si>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</si>
  <si>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</si>
  <si>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</si>
  <si>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</si>
  <si>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</si>
  <si>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</si>
  <si>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</si>
  <si>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</si>
  <si>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</si>
  <si>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</si>
  <si>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</si>
  <si>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</si>
  <si>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</si>
  <si>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</si>
  <si>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</si>
  <si>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</si>
  <si>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</si>
  <si>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</si>
  <si>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</si>
  <si>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</si>
  <si>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</si>
  <si>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</si>
  <si>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</si>
  <si>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</si>
  <si>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</si>
  <si>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</si>
  <si>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</si>
  <si>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</si>
  <si>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</si>
  <si>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</si>
  <si>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</si>
  <si>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</si>
  <si>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</si>
  <si>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</si>
  <si>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</si>
  <si>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</si>
  <si>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</si>
  <si>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</si>
  <si>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</si>
  <si>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</si>
  <si>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</si>
  <si>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</si>
  <si>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</si>
  <si>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</si>
  <si>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</si>
  <si>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</si>
  <si>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</si>
  <si>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</si>
  <si>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</si>
  <si>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</si>
  <si>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</si>
  <si>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</si>
  <si>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</si>
  <si>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</si>
  <si>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</si>
  <si>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</si>
  <si>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</si>
  <si>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</si>
  <si>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</si>
  <si>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</si>
  <si>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</si>
  <si>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</si>
  <si>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</si>
  <si>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</si>
  <si>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</si>
  <si>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</si>
  <si>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</si>
  <si>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</si>
  <si>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</si>
  <si>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</si>
  <si>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</si>
  <si>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</si>
  <si>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</si>
  <si>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</si>
  <si>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</si>
  <si>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</si>
  <si>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</si>
  <si>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</si>
  <si>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</si>
  <si>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</si>
  <si>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</si>
  <si>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</si>
  <si>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</si>
  <si>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</si>
  <si>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</si>
  <si>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</si>
  <si>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</si>
  <si>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</si>
  <si>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</si>
  <si>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</si>
  <si>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</si>
  <si>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</si>
  <si>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</si>
  <si>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</si>
  <si>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</si>
  <si>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</si>
  <si>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</si>
  <si>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</si>
  <si>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</si>
  <si>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</si>
  <si>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</si>
  <si>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</si>
  <si>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</si>
  <si>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</si>
  <si>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</si>
  <si>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</si>
  <si>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</si>
  <si>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</si>
  <si>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</si>
  <si>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</si>
  <si>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</si>
  <si>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</si>
  <si>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</si>
  <si>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</si>
  <si>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</si>
  <si>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</si>
  <si>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</si>
  <si>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</si>
  <si>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</si>
  <si>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</si>
  <si>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</si>
  <si>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</si>
  <si>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</si>
  <si>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</si>
  <si>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</si>
  <si>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</si>
  <si>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</si>
  <si>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</si>
  <si>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</si>
  <si>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</si>
  <si>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</si>
  <si>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</si>
  <si>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</si>
  <si>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</si>
  <si>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</si>
  <si>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</si>
  <si>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</si>
  <si>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</si>
  <si>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</si>
  <si>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</si>
  <si>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</si>
  <si>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</si>
  <si>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</si>
  <si>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</si>
  <si>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</si>
  <si>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</si>
  <si>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</si>
  <si>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</si>
  <si>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</si>
  <si>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</si>
  <si>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</si>
  <si>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</si>
  <si>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</si>
  <si>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</si>
  <si>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</si>
  <si>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</si>
  <si>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</si>
  <si>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</si>
  <si>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</si>
  <si>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</si>
  <si>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</si>
  <si>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</si>
  <si>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</si>
  <si>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</si>
  <si>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</si>
  <si>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</si>
  <si>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</si>
  <si>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</si>
  <si>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</si>
  <si>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</si>
  <si>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</si>
  <si>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</si>
  <si>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</si>
  <si>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</si>
  <si>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</si>
  <si>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</si>
  <si>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</si>
  <si>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</si>
  <si>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</si>
  <si>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</si>
  <si>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</si>
  <si>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</si>
  <si>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</si>
  <si>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</si>
  <si>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</si>
  <si>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</si>
  <si>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</si>
  <si>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</si>
  <si>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</si>
  <si>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</si>
  <si>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</si>
  <si>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</si>
  <si>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</si>
  <si>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</si>
  <si>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</si>
  <si>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</si>
  <si>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</si>
  <si>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</si>
  <si>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</si>
  <si>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</si>
  <si>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</si>
  <si>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</si>
  <si>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</si>
  <si>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</si>
  <si>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</si>
  <si>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</si>
  <si>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</si>
  <si>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</si>
  <si>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</si>
  <si>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</si>
  <si>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</si>
  <si>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</si>
  <si>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</si>
  <si>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</si>
  <si>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</si>
  <si>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</si>
  <si>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</si>
  <si>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</si>
  <si>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</si>
  <si>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</si>
  <si>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</si>
  <si>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</si>
  <si>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</si>
  <si>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</si>
  <si>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</si>
  <si>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</si>
  <si>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</si>
  <si>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</si>
  <si>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</si>
  <si>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</si>
  <si>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</si>
  <si>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</si>
  <si>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</si>
  <si>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</si>
  <si>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</si>
  <si>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</si>
  <si>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</si>
  <si>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</si>
  <si>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</si>
  <si>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</si>
  <si>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</si>
  <si>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</si>
  <si>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</si>
  <si>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</si>
  <si>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</si>
  <si>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</si>
  <si>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</si>
  <si>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</si>
  <si>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</si>
  <si>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</si>
  <si>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</si>
  <si>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</si>
  <si>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</si>
  <si>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</si>
  <si>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</si>
  <si>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</si>
  <si>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</si>
  <si>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</si>
  <si>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</si>
  <si>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</si>
  <si>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</si>
  <si>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</si>
  <si>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</si>
  <si>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</si>
  <si>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</si>
  <si>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</si>
  <si>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</si>
  <si>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</si>
  <si>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</si>
  <si>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</si>
  <si>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</si>
  <si>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</si>
  <si>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</si>
  <si>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</si>
  <si>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</si>
  <si>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</si>
  <si>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</si>
  <si>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</si>
  <si>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</si>
  <si>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</si>
  <si>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</si>
  <si>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</si>
  <si>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</si>
  <si>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</si>
  <si>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</si>
  <si>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</si>
  <si>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</si>
  <si>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</si>
  <si>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</si>
  <si>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</si>
  <si>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</si>
  <si>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</si>
  <si>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</si>
  <si>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</si>
  <si>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</si>
  <si>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</si>
  <si>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</si>
  <si>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</si>
  <si>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</si>
  <si>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</si>
  <si>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</si>
  <si>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</si>
  <si>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</si>
  <si>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</si>
  <si>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</si>
  <si>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</si>
  <si>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</si>
  <si>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</si>
  <si>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</si>
  <si>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</si>
  <si>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</si>
  <si>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</si>
  <si>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</si>
  <si>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</si>
  <si>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</si>
  <si>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</si>
  <si>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</si>
  <si>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</si>
  <si>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</si>
  <si>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</si>
  <si>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</si>
  <si>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</si>
  <si>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</si>
  <si>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</si>
  <si>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</si>
  <si>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</si>
  <si>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</si>
  <si>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</si>
  <si>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</si>
  <si>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</si>
  <si>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</si>
  <si>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</si>
  <si>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</si>
  <si>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</si>
  <si>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</si>
  <si>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</si>
  <si>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</si>
  <si>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</si>
  <si>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</si>
  <si>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</si>
  <si>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</si>
  <si>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</si>
  <si>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</si>
  <si>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</si>
  <si>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</si>
  <si>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</si>
  <si>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</si>
  <si>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</si>
  <si>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</si>
  <si>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</si>
  <si>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</si>
  <si>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</si>
  <si>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</si>
  <si>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</si>
  <si>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</si>
  <si>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</si>
  <si>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</si>
  <si>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</si>
  <si>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</si>
  <si>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</si>
  <si>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</si>
  <si>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</si>
  <si>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</si>
  <si>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</si>
  <si>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</si>
  <si>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</si>
  <si>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</si>
  <si>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</si>
  <si>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</si>
  <si>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</si>
  <si>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</si>
  <si>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</si>
  <si>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</si>
  <si>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</si>
  <si>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</si>
  <si>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</si>
  <si>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</si>
  <si>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</si>
  <si>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</si>
  <si>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</si>
  <si>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</si>
  <si>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</si>
  <si>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</si>
  <si>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</si>
  <si>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</si>
  <si>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</si>
  <si>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</si>
  <si>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</si>
  <si>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</si>
  <si>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</si>
  <si>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</si>
  <si>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</si>
  <si>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</si>
  <si>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</si>
  <si>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</si>
  <si>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</si>
  <si>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</si>
  <si>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</si>
  <si>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</si>
  <si>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</si>
  <si>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</si>
  <si>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</si>
  <si>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</si>
  <si>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</si>
  <si>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</si>
  <si>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</si>
  <si>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</si>
  <si>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</si>
  <si>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</si>
  <si>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</si>
  <si>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</si>
  <si>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</si>
  <si>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</si>
  <si>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</si>
  <si>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</si>
  <si>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</si>
  <si>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</si>
  <si>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</si>
  <si>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</si>
  <si>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</si>
  <si>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</si>
  <si>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</si>
  <si>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</si>
  <si>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</si>
  <si>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</si>
  <si>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</si>
  <si>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</si>
  <si>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</si>
  <si>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</si>
  <si>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</si>
  <si>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</si>
  <si>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</si>
  <si>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</si>
  <si>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</si>
  <si>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</si>
  <si>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</si>
  <si>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</si>
  <si>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</si>
  <si>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</si>
  <si>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</si>
  <si>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</si>
  <si>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</si>
  <si>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</si>
  <si>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</si>
  <si>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</si>
  <si>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</si>
  <si>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</si>
  <si>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</si>
  <si>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</si>
  <si>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</si>
  <si>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</si>
  <si>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</si>
  <si>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</si>
  <si>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</si>
  <si>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</si>
  <si>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</si>
  <si>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</si>
  <si>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</si>
  <si>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</si>
  <si>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</si>
  <si>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</si>
  <si>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</si>
  <si>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</si>
  <si>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</si>
  <si>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</si>
  <si>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</si>
  <si>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</si>
  <si>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</si>
  <si>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</si>
  <si>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</si>
  <si>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</si>
  <si>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</si>
  <si>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</si>
  <si>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</si>
  <si>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</si>
  <si>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</si>
  <si>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</si>
  <si>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</si>
  <si>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</si>
  <si>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</si>
  <si>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</si>
  <si>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</si>
  <si>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</si>
  <si>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</si>
  <si>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</si>
  <si>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</si>
  <si>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</si>
  <si>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</si>
  <si>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</si>
  <si>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</si>
  <si>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</si>
  <si>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</si>
  <si>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</si>
  <si>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</si>
  <si>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</si>
  <si>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</si>
  <si>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</si>
  <si>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</si>
  <si>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</si>
  <si>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</si>
  <si>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</si>
  <si>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</si>
  <si>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</si>
  <si>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</si>
  <si>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</si>
  <si>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</si>
  <si>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</si>
  <si>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</si>
  <si>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</si>
  <si>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</si>
  <si>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</si>
  <si>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</si>
  <si>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</si>
  <si>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</si>
  <si>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</si>
  <si>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</si>
  <si>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</si>
  <si>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</si>
  <si>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</si>
  <si>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</si>
  <si>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</si>
  <si>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</si>
  <si>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</si>
  <si>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</si>
  <si>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</si>
  <si>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</si>
  <si>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</si>
  <si>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</si>
  <si>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</si>
  <si>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</si>
  <si>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</si>
  <si>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</si>
  <si>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</si>
  <si>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</si>
  <si>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</si>
  <si>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</si>
  <si>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</si>
  <si>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</si>
  <si>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</si>
  <si>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</si>
  <si>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</si>
  <si>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</si>
  <si>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</si>
  <si>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</si>
  <si>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</si>
  <si>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</si>
  <si>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</si>
  <si>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</si>
  <si>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</si>
  <si>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</si>
  <si>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</si>
  <si>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</si>
  <si>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</si>
  <si>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</si>
  <si>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</si>
  <si>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</si>
  <si>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</si>
  <si>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</si>
  <si>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</si>
  <si>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</si>
  <si>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</si>
  <si>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</si>
  <si>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</si>
  <si>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</si>
  <si>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</si>
  <si>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</si>
  <si>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</si>
  <si>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</si>
  <si>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</si>
  <si>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</si>
  <si>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</si>
  <si>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</si>
  <si>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</si>
  <si>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</si>
  <si>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41027</t>
  </si>
  <si>
    <t>HERZELE</t>
  </si>
  <si>
    <t>Paarden&amp;pony's 200 - 600 kg</t>
  </si>
  <si>
    <t>Paarden&amp;pony's &lt; 200 kg</t>
  </si>
  <si>
    <t>referentietaak LNE (2017); Jaarverslag De Lijn (2015)</t>
  </si>
  <si>
    <t>op basis van VEA (maart 2018) en Inventaris Hernieuwbare Energiebronnen (juni 2018)</t>
  </si>
  <si>
    <t>VEA (januari 2017)</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</si>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</sst>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155114.58113668967</c:v>
                </c:pt>
                <c:pt idx="1">
                  <c:v>21764.784503712621</c:v>
                </c:pt>
                <c:pt idx="2">
                  <c:v>1414.1759999999999</c:v>
                </c:pt>
                <c:pt idx="3">
                  <c:v>5844.0435449170191</c:v>
                </c:pt>
                <c:pt idx="4">
                  <c:v>6370.3243032193086</c:v>
                </c:pt>
                <c:pt idx="5">
                  <c:v>82912.39203419807</c:v>
                </c:pt>
                <c:pt idx="6">
                  <c:v>907.58711669033755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321536"/>
        <c:axId val="182323072"/>
      </c:barChart>
      <c:catAx>
        <c:axId val="182321536"/>
        <c:scaling>
          <c:orientation val="minMax"/>
        </c:scaling>
        <c:axPos val="b"/>
        <c:numFmt formatCode="General" sourceLinked="0"/>
        <c:tickLblPos val="nextTo"/>
        <c:crossAx val="182323072"/>
        <c:crosses val="autoZero"/>
        <c:auto val="1"/>
        <c:lblAlgn val="ctr"/>
        <c:lblOffset val="100"/>
      </c:catAx>
      <c:valAx>
        <c:axId val="182323072"/>
        <c:scaling>
          <c:orientation val="minMax"/>
        </c:scaling>
        <c:axPos val="l"/>
        <c:majorGridlines/>
        <c:numFmt formatCode="#,##0" sourceLinked="1"/>
        <c:tickLblPos val="nextTo"/>
        <c:crossAx val="182321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155114.58113668967</c:v>
                </c:pt>
                <c:pt idx="1">
                  <c:v>21764.784503712621</c:v>
                </c:pt>
                <c:pt idx="2">
                  <c:v>1414.1759999999999</c:v>
                </c:pt>
                <c:pt idx="3">
                  <c:v>5844.0435449170191</c:v>
                </c:pt>
                <c:pt idx="4">
                  <c:v>6370.3243032193086</c:v>
                </c:pt>
                <c:pt idx="5">
                  <c:v>82912.39203419807</c:v>
                </c:pt>
                <c:pt idx="6">
                  <c:v>907.58711669033755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31142.501305838923</c:v>
                </c:pt>
                <c:pt idx="2">
                  <c:v>4451.7344057916143</c:v>
                </c:pt>
                <c:pt idx="3">
                  <c:v>287.40206076240287</c:v>
                </c:pt>
                <c:pt idx="4">
                  <c:v>1471.9994955066575</c:v>
                </c:pt>
                <c:pt idx="5">
                  <c:v>1218.3850695677511</c:v>
                </c:pt>
                <c:pt idx="6">
                  <c:v>21207.462207417975</c:v>
                </c:pt>
                <c:pt idx="7">
                  <c:v>235.035485221914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815744"/>
        <c:axId val="182862592"/>
      </c:barChart>
      <c:catAx>
        <c:axId val="182815744"/>
        <c:scaling>
          <c:orientation val="minMax"/>
        </c:scaling>
        <c:axPos val="b"/>
        <c:numFmt formatCode="General" sourceLinked="0"/>
        <c:tickLblPos val="nextTo"/>
        <c:crossAx val="182862592"/>
        <c:crosses val="autoZero"/>
        <c:auto val="1"/>
        <c:lblAlgn val="ctr"/>
        <c:lblOffset val="100"/>
      </c:catAx>
      <c:valAx>
        <c:axId val="182862592"/>
        <c:scaling>
          <c:orientation val="minMax"/>
        </c:scaling>
        <c:axPos val="l"/>
        <c:majorGridlines/>
        <c:numFmt formatCode="#,##0" sourceLinked="1"/>
        <c:tickLblPos val="nextTo"/>
        <c:crossAx val="182815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31142.501305838923</c:v>
                </c:pt>
                <c:pt idx="2">
                  <c:v>4451.7344057916143</c:v>
                </c:pt>
                <c:pt idx="3">
                  <c:v>287.40206076240287</c:v>
                </c:pt>
                <c:pt idx="4">
                  <c:v>1471.9994955066575</c:v>
                </c:pt>
                <c:pt idx="5">
                  <c:v>1218.3850695677511</c:v>
                </c:pt>
                <c:pt idx="6">
                  <c:v>21207.462207417975</c:v>
                </c:pt>
                <c:pt idx="7">
                  <c:v>235.035485221914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0.20322934398717193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0.20322934398717193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7235</v>
      </c>
      <c r="C9" s="342">
        <v>7695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2885.95</v>
      </c>
    </row>
    <row r="15" spans="1:6">
      <c r="A15" s="348" t="s">
        <v>184</v>
      </c>
      <c r="B15" s="334">
        <v>167</v>
      </c>
    </row>
    <row r="16" spans="1:6">
      <c r="A16" s="348" t="s">
        <v>6</v>
      </c>
      <c r="B16" s="334">
        <v>993</v>
      </c>
    </row>
    <row r="17" spans="1:6">
      <c r="A17" s="348" t="s">
        <v>7</v>
      </c>
      <c r="B17" s="334">
        <v>746</v>
      </c>
    </row>
    <row r="18" spans="1:6">
      <c r="A18" s="348" t="s">
        <v>8</v>
      </c>
      <c r="B18" s="334">
        <v>1128</v>
      </c>
    </row>
    <row r="19" spans="1:6">
      <c r="A19" s="348" t="s">
        <v>9</v>
      </c>
      <c r="B19" s="334">
        <v>1154</v>
      </c>
    </row>
    <row r="20" spans="1:6">
      <c r="A20" s="348" t="s">
        <v>10</v>
      </c>
      <c r="B20" s="334">
        <v>885</v>
      </c>
    </row>
    <row r="21" spans="1:6">
      <c r="A21" s="348" t="s">
        <v>11</v>
      </c>
      <c r="B21" s="334">
        <v>3</v>
      </c>
    </row>
    <row r="22" spans="1:6">
      <c r="A22" s="348" t="s">
        <v>12</v>
      </c>
      <c r="B22" s="334">
        <v>675</v>
      </c>
    </row>
    <row r="23" spans="1:6">
      <c r="A23" s="348" t="s">
        <v>13</v>
      </c>
      <c r="B23" s="334">
        <v>0</v>
      </c>
    </row>
    <row r="24" spans="1:6">
      <c r="A24" s="348" t="s">
        <v>14</v>
      </c>
      <c r="B24" s="334">
        <v>0</v>
      </c>
    </row>
    <row r="25" spans="1:6">
      <c r="A25" s="348" t="s">
        <v>15</v>
      </c>
      <c r="B25" s="334">
        <v>1</v>
      </c>
    </row>
    <row r="26" spans="1:6">
      <c r="A26" s="348" t="s">
        <v>16</v>
      </c>
      <c r="B26" s="334">
        <v>236</v>
      </c>
    </row>
    <row r="27" spans="1:6">
      <c r="A27" s="348" t="s">
        <v>17</v>
      </c>
      <c r="B27" s="334">
        <v>482</v>
      </c>
    </row>
    <row r="28" spans="1:6" s="356" customFormat="1">
      <c r="A28" s="355" t="s">
        <v>18</v>
      </c>
      <c r="B28" s="355">
        <v>8195</v>
      </c>
    </row>
    <row r="29" spans="1:6">
      <c r="A29" s="355" t="s">
        <v>884</v>
      </c>
      <c r="B29" s="355">
        <v>137</v>
      </c>
      <c r="C29" s="356"/>
      <c r="D29" s="356"/>
      <c r="E29" s="356"/>
      <c r="F29" s="356"/>
    </row>
    <row r="30" spans="1:6">
      <c r="A30" s="355" t="s">
        <v>885</v>
      </c>
      <c r="B30" s="341">
        <v>28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4071.2927905000001</v>
      </c>
    </row>
    <row r="39" spans="1:6">
      <c r="A39" s="348" t="s">
        <v>30</v>
      </c>
      <c r="B39" s="348" t="s">
        <v>31</v>
      </c>
      <c r="C39" s="334">
        <v>3296</v>
      </c>
      <c r="D39" s="334">
        <v>49356925.495999999</v>
      </c>
      <c r="E39" s="334">
        <v>7149</v>
      </c>
      <c r="F39" s="334">
        <v>29167547.598000001</v>
      </c>
    </row>
    <row r="40" spans="1:6">
      <c r="A40" s="348" t="s">
        <v>30</v>
      </c>
      <c r="B40" s="348" t="s">
        <v>29</v>
      </c>
      <c r="C40" s="334">
        <v>0</v>
      </c>
      <c r="D40" s="334">
        <v>0</v>
      </c>
      <c r="E40" s="334">
        <v>0</v>
      </c>
      <c r="F40" s="334">
        <v>0</v>
      </c>
    </row>
    <row r="41" spans="1:6">
      <c r="A41" s="348" t="s">
        <v>32</v>
      </c>
      <c r="B41" s="348" t="s">
        <v>33</v>
      </c>
      <c r="C41" s="334">
        <v>56</v>
      </c>
      <c r="D41" s="334">
        <v>632666.68908000004</v>
      </c>
      <c r="E41" s="334">
        <v>148</v>
      </c>
      <c r="F41" s="334">
        <v>744998.95883999998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28570.383892999998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47360.613047999999</v>
      </c>
    </row>
    <row r="48" spans="1:6">
      <c r="A48" s="348" t="s">
        <v>32</v>
      </c>
      <c r="B48" s="348" t="s">
        <v>29</v>
      </c>
      <c r="C48" s="334">
        <v>24</v>
      </c>
      <c r="D48" s="334">
        <v>785456.08594999998</v>
      </c>
      <c r="E48" s="334">
        <v>42</v>
      </c>
      <c r="F48" s="334">
        <v>1488537.2058999999</v>
      </c>
    </row>
    <row r="49" spans="1:6">
      <c r="A49" s="348" t="s">
        <v>32</v>
      </c>
      <c r="B49" s="348" t="s">
        <v>40</v>
      </c>
      <c r="C49" s="334">
        <v>0</v>
      </c>
      <c r="D49" s="334">
        <v>0</v>
      </c>
      <c r="E49" s="334">
        <v>0</v>
      </c>
      <c r="F49" s="334">
        <v>0</v>
      </c>
    </row>
    <row r="50" spans="1:6">
      <c r="A50" s="348" t="s">
        <v>32</v>
      </c>
      <c r="B50" s="348" t="s">
        <v>41</v>
      </c>
      <c r="C50" s="334">
        <v>4</v>
      </c>
      <c r="D50" s="334">
        <v>420882.41872999998</v>
      </c>
      <c r="E50" s="334">
        <v>8</v>
      </c>
      <c r="F50" s="334">
        <v>316496.19549999997</v>
      </c>
    </row>
    <row r="51" spans="1:6">
      <c r="A51" s="348" t="s">
        <v>42</v>
      </c>
      <c r="B51" s="348" t="s">
        <v>43</v>
      </c>
      <c r="C51" s="334">
        <v>3</v>
      </c>
      <c r="D51" s="334">
        <v>65261.493001000003</v>
      </c>
      <c r="E51" s="334">
        <v>74</v>
      </c>
      <c r="F51" s="334">
        <v>1053864.9164</v>
      </c>
    </row>
    <row r="52" spans="1:6">
      <c r="A52" s="348" t="s">
        <v>42</v>
      </c>
      <c r="B52" s="348" t="s">
        <v>29</v>
      </c>
      <c r="C52" s="334">
        <v>4</v>
      </c>
      <c r="D52" s="334">
        <v>120327.13832</v>
      </c>
      <c r="E52" s="334">
        <v>14</v>
      </c>
      <c r="F52" s="334">
        <v>109732.07597999999</v>
      </c>
    </row>
    <row r="53" spans="1:6">
      <c r="A53" s="348" t="s">
        <v>44</v>
      </c>
      <c r="B53" s="348" t="s">
        <v>45</v>
      </c>
      <c r="C53" s="334">
        <v>86</v>
      </c>
      <c r="D53" s="334">
        <v>1188316.1873999999</v>
      </c>
      <c r="E53" s="334">
        <v>248</v>
      </c>
      <c r="F53" s="334">
        <v>697389.21849</v>
      </c>
    </row>
    <row r="54" spans="1:6">
      <c r="A54" s="348" t="s">
        <v>46</v>
      </c>
      <c r="B54" s="348" t="s">
        <v>47</v>
      </c>
      <c r="C54" s="334">
        <v>0</v>
      </c>
      <c r="D54" s="334">
        <v>0</v>
      </c>
      <c r="E54" s="334">
        <v>1</v>
      </c>
      <c r="F54" s="334">
        <v>1414176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341808.30686999997</v>
      </c>
      <c r="E57" s="334">
        <v>57</v>
      </c>
      <c r="F57" s="334">
        <v>636278.81299999997</v>
      </c>
    </row>
    <row r="58" spans="1:6">
      <c r="A58" s="348" t="s">
        <v>49</v>
      </c>
      <c r="B58" s="348" t="s">
        <v>51</v>
      </c>
      <c r="C58" s="334">
        <v>17</v>
      </c>
      <c r="D58" s="334">
        <v>279819.94474000001</v>
      </c>
      <c r="E58" s="334">
        <v>42</v>
      </c>
      <c r="F58" s="334">
        <v>531060.63726999995</v>
      </c>
    </row>
    <row r="59" spans="1:6">
      <c r="A59" s="348" t="s">
        <v>49</v>
      </c>
      <c r="B59" s="348" t="s">
        <v>52</v>
      </c>
      <c r="C59" s="334">
        <v>33</v>
      </c>
      <c r="D59" s="334">
        <v>1187101.2988</v>
      </c>
      <c r="E59" s="334">
        <v>138</v>
      </c>
      <c r="F59" s="334">
        <v>3953973.2955999998</v>
      </c>
    </row>
    <row r="60" spans="1:6">
      <c r="A60" s="348" t="s">
        <v>49</v>
      </c>
      <c r="B60" s="348" t="s">
        <v>53</v>
      </c>
      <c r="C60" s="334">
        <v>22</v>
      </c>
      <c r="D60" s="334">
        <v>559266.79876999999</v>
      </c>
      <c r="E60" s="334">
        <v>59</v>
      </c>
      <c r="F60" s="334">
        <v>1003352.4845</v>
      </c>
    </row>
    <row r="61" spans="1:6">
      <c r="A61" s="348" t="s">
        <v>49</v>
      </c>
      <c r="B61" s="348" t="s">
        <v>54</v>
      </c>
      <c r="C61" s="334">
        <v>73</v>
      </c>
      <c r="D61" s="334">
        <v>3870690.9657000001</v>
      </c>
      <c r="E61" s="334">
        <v>212</v>
      </c>
      <c r="F61" s="334">
        <v>2093686.9687999999</v>
      </c>
    </row>
    <row r="62" spans="1:6">
      <c r="A62" s="348" t="s">
        <v>49</v>
      </c>
      <c r="B62" s="348" t="s">
        <v>55</v>
      </c>
      <c r="C62" s="334">
        <v>3</v>
      </c>
      <c r="D62" s="334">
        <v>309558.03878</v>
      </c>
      <c r="E62" s="334">
        <v>10</v>
      </c>
      <c r="F62" s="334">
        <v>176680.41256999999</v>
      </c>
    </row>
    <row r="63" spans="1:6">
      <c r="A63" s="348" t="s">
        <v>49</v>
      </c>
      <c r="B63" s="348" t="s">
        <v>29</v>
      </c>
      <c r="C63" s="334">
        <v>99</v>
      </c>
      <c r="D63" s="334">
        <v>2535224.3108999999</v>
      </c>
      <c r="E63" s="334">
        <v>145</v>
      </c>
      <c r="F63" s="334">
        <v>1759707.3859999999</v>
      </c>
    </row>
    <row r="64" spans="1:6">
      <c r="A64" s="348" t="s">
        <v>56</v>
      </c>
      <c r="B64" s="348" t="s">
        <v>57</v>
      </c>
      <c r="C64" s="334">
        <v>0</v>
      </c>
      <c r="D64" s="334">
        <v>0</v>
      </c>
      <c r="E64" s="334">
        <v>0</v>
      </c>
      <c r="F64" s="334">
        <v>0</v>
      </c>
    </row>
    <row r="65" spans="1:6">
      <c r="A65" s="348" t="s">
        <v>56</v>
      </c>
      <c r="B65" s="348" t="s">
        <v>29</v>
      </c>
      <c r="C65" s="334">
        <v>1</v>
      </c>
      <c r="D65" s="334">
        <v>7237.7134427000001</v>
      </c>
      <c r="E65" s="334">
        <v>3</v>
      </c>
      <c r="F65" s="334">
        <v>23095.880175999999</v>
      </c>
    </row>
    <row r="66" spans="1:6">
      <c r="A66" s="348" t="s">
        <v>56</v>
      </c>
      <c r="B66" s="348" t="s">
        <v>58</v>
      </c>
      <c r="C66" s="334">
        <v>0</v>
      </c>
      <c r="D66" s="334">
        <v>0</v>
      </c>
      <c r="E66" s="334">
        <v>5</v>
      </c>
      <c r="F66" s="334">
        <v>12918</v>
      </c>
    </row>
    <row r="67" spans="1:6">
      <c r="A67" s="355" t="s">
        <v>56</v>
      </c>
      <c r="B67" s="355" t="s">
        <v>59</v>
      </c>
      <c r="C67" s="334">
        <v>0</v>
      </c>
      <c r="D67" s="334">
        <v>0</v>
      </c>
      <c r="E67" s="334">
        <v>0</v>
      </c>
      <c r="F67" s="334">
        <v>0</v>
      </c>
    </row>
    <row r="68" spans="1:6">
      <c r="A68" s="341" t="s">
        <v>56</v>
      </c>
      <c r="B68" s="341" t="s">
        <v>60</v>
      </c>
      <c r="C68" s="334">
        <v>0</v>
      </c>
      <c r="D68" s="334">
        <v>0</v>
      </c>
      <c r="E68" s="334">
        <v>9</v>
      </c>
      <c r="F68" s="334">
        <v>165400.72880000001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59279062</v>
      </c>
      <c r="E73" s="475">
        <v>62889025.724979915</v>
      </c>
    </row>
    <row r="74" spans="1:6">
      <c r="A74" s="348" t="s">
        <v>64</v>
      </c>
      <c r="B74" s="348" t="s">
        <v>667</v>
      </c>
      <c r="C74" s="1294" t="s">
        <v>669</v>
      </c>
      <c r="D74" s="475">
        <v>6379024.2368359677</v>
      </c>
      <c r="E74" s="475">
        <v>6625297.7013071608</v>
      </c>
    </row>
    <row r="75" spans="1:6">
      <c r="A75" s="348" t="s">
        <v>65</v>
      </c>
      <c r="B75" s="348" t="s">
        <v>666</v>
      </c>
      <c r="C75" s="1294" t="s">
        <v>670</v>
      </c>
      <c r="D75" s="475">
        <v>29397678</v>
      </c>
      <c r="E75" s="475">
        <v>30735783.947697274</v>
      </c>
    </row>
    <row r="76" spans="1:6">
      <c r="A76" s="348" t="s">
        <v>65</v>
      </c>
      <c r="B76" s="348" t="s">
        <v>667</v>
      </c>
      <c r="C76" s="1294" t="s">
        <v>671</v>
      </c>
      <c r="D76" s="475">
        <v>1149666.236835968</v>
      </c>
      <c r="E76" s="475">
        <v>1189075.6243224654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243765.52632806424</v>
      </c>
      <c r="C83" s="475">
        <v>243765.52632806424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3426.6663557985921</v>
      </c>
    </row>
    <row r="92" spans="1:6">
      <c r="A92" s="341" t="s">
        <v>69</v>
      </c>
      <c r="B92" s="342">
        <v>403.1775040371885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48714.509604979976</v>
      </c>
      <c r="C3" s="43" t="s">
        <v>170</v>
      </c>
      <c r="D3" s="43"/>
      <c r="E3" s="154"/>
      <c r="F3" s="43"/>
      <c r="G3" s="43"/>
      <c r="H3" s="43"/>
      <c r="I3" s="43"/>
      <c r="J3" s="43"/>
      <c r="K3" s="96"/>
    </row>
    <row r="4" spans="1:11">
      <c r="A4" s="383" t="s">
        <v>171</v>
      </c>
      <c r="B4" s="49">
        <f>IF(ISERROR('SEAP template'!B78+'SEAP template'!C78),0,'SEAP template'!B78+'SEAP template'!C78)</f>
        <v>3917.1438598357809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0.20322934398717193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1414.1759999999999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1414.1759999999999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0.20322934398717193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287.40206076240287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29167.547598000001</v>
      </c>
      <c r="C5" s="17">
        <f>IF(ISERROR('Eigen informatie GS &amp; warmtenet'!B57),0,'Eigen informatie GS &amp; warmtenet'!B57)</f>
        <v>0</v>
      </c>
      <c r="D5" s="30">
        <f>(SUM(HH_hh_gas_kWh,HH_rest_gas_kWh)/1000)*0.902</f>
        <v>44519.946797391996</v>
      </c>
      <c r="E5" s="17">
        <f>B46*B57</f>
        <v>4999.0478824866259</v>
      </c>
      <c r="F5" s="17">
        <f>B51*B62</f>
        <v>47905.359344058117</v>
      </c>
      <c r="G5" s="18"/>
      <c r="H5" s="17"/>
      <c r="I5" s="17"/>
      <c r="J5" s="17">
        <f>B50*B61+C50*C61</f>
        <v>4519.368697654636</v>
      </c>
      <c r="K5" s="17"/>
      <c r="L5" s="17"/>
      <c r="M5" s="17"/>
      <c r="N5" s="17">
        <f>B48*B59+C48*C59</f>
        <v>19820.447794633015</v>
      </c>
      <c r="O5" s="17">
        <f>B69*B70*B71</f>
        <v>298.59666666666669</v>
      </c>
      <c r="P5" s="17">
        <f>B77*B78*B79/1000-B77*B78*B79/1000/B80</f>
        <v>457.6</v>
      </c>
    </row>
    <row r="6" spans="1:16">
      <c r="A6" s="16" t="s">
        <v>624</v>
      </c>
      <c r="B6" s="788">
        <f>kWh_PV_kleiner_dan_10kW</f>
        <v>3426.6663557985921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32594.213953798593</v>
      </c>
      <c r="C8" s="21">
        <f>C5</f>
        <v>0</v>
      </c>
      <c r="D8" s="21">
        <f>D5</f>
        <v>44519.946797391996</v>
      </c>
      <c r="E8" s="21">
        <f>E5</f>
        <v>4999.0478824866259</v>
      </c>
      <c r="F8" s="21">
        <f>F5</f>
        <v>47905.359344058117</v>
      </c>
      <c r="G8" s="21"/>
      <c r="H8" s="21"/>
      <c r="I8" s="21"/>
      <c r="J8" s="21">
        <f>J5</f>
        <v>4519.368697654636</v>
      </c>
      <c r="K8" s="21"/>
      <c r="L8" s="21">
        <f>L5</f>
        <v>0</v>
      </c>
      <c r="M8" s="21">
        <f>M5</f>
        <v>0</v>
      </c>
      <c r="N8" s="21">
        <f>N5</f>
        <v>19820.447794633015</v>
      </c>
      <c r="O8" s="21">
        <f>O5</f>
        <v>298.59666666666669</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0.20322934398717193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6624.1007196080136</v>
      </c>
      <c r="C12" s="23">
        <f ca="1">C10*C8</f>
        <v>0</v>
      </c>
      <c r="D12" s="23">
        <f>D8*D10</f>
        <v>8993.029253073184</v>
      </c>
      <c r="E12" s="23">
        <f>E10*E8</f>
        <v>1134.7838693244641</v>
      </c>
      <c r="F12" s="23">
        <f>F10*F8</f>
        <v>12790.730944863519</v>
      </c>
      <c r="G12" s="23"/>
      <c r="H12" s="23"/>
      <c r="I12" s="23"/>
      <c r="J12" s="23">
        <f>J10*J8</f>
        <v>1599.856518969741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7235</v>
      </c>
      <c r="C28" s="36"/>
      <c r="D28" s="228"/>
    </row>
    <row r="29" spans="1:7" s="15" customFormat="1">
      <c r="A29" s="230" t="s">
        <v>699</v>
      </c>
      <c r="B29" s="37">
        <f>SUM(HH_hh_gas_aantal,HH_rest_gas_aantal)</f>
        <v>3296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3296</v>
      </c>
      <c r="C32" s="167">
        <f>IF(ISERROR(B32/SUM($B$32,$B$34,$B$35,$B$36,$B$38,$B$39)*100),0,B32/SUM($B$32,$B$34,$B$35,$B$36,$B$38,$B$39)*100)</f>
        <v>45.70794619331577</v>
      </c>
      <c r="D32" s="233"/>
      <c r="G32" s="15"/>
    </row>
    <row r="33" spans="1:7">
      <c r="A33" s="171" t="s">
        <v>72</v>
      </c>
      <c r="B33" s="34" t="s">
        <v>111</v>
      </c>
      <c r="C33" s="167"/>
      <c r="D33" s="233"/>
      <c r="G33" s="15"/>
    </row>
    <row r="34" spans="1:7">
      <c r="A34" s="171" t="s">
        <v>73</v>
      </c>
      <c r="B34" s="33">
        <f>IF((($B$28-$B$32-$B$39-$B$77-$B$38)*C20/100)&lt;0,0,($B$28-$B$32-$B$39-$B$77-$B$38)*C20/100)</f>
        <v>221.0218712029162</v>
      </c>
      <c r="C34" s="167">
        <f>IF(ISERROR(B34/SUM($B$32,$B$34,$B$35,$B$36,$B$38,$B$39)*100),0,B34/SUM($B$32,$B$34,$B$35,$B$36,$B$38,$B$39)*100)</f>
        <v>3.0650654722356983</v>
      </c>
      <c r="D34" s="233"/>
      <c r="G34" s="15"/>
    </row>
    <row r="35" spans="1:7">
      <c r="A35" s="171" t="s">
        <v>74</v>
      </c>
      <c r="B35" s="33">
        <f>IF((($B$28-$B$32-$B$39-$B$77-$B$38)*C21/100)&lt;0,0,($B$28-$B$32-$B$39-$B$77-$B$38)*C21/100)</f>
        <v>1271.4228432563789</v>
      </c>
      <c r="C35" s="167">
        <f>IF(ISERROR(B35/SUM($B$32,$B$34,$B$35,$B$36,$B$38,$B$39)*100),0,B35/SUM($B$32,$B$34,$B$35,$B$36,$B$38,$B$39)*100)</f>
        <v>17.631713261078612</v>
      </c>
      <c r="D35" s="233"/>
      <c r="G35" s="15"/>
    </row>
    <row r="36" spans="1:7">
      <c r="A36" s="171" t="s">
        <v>75</v>
      </c>
      <c r="B36" s="33">
        <f>IF((($B$28-$B$32-$B$39-$B$77-$B$38)*C22/100)&lt;0,0,($B$28-$B$32-$B$39-$B$77-$B$38)*C22/100)</f>
        <v>308.55528554070474</v>
      </c>
      <c r="C36" s="167">
        <f>IF(ISERROR(B36/SUM($B$32,$B$34,$B$35,$B$36,$B$38,$B$39)*100),0,B36/SUM($B$32,$B$34,$B$35,$B$36,$B$38,$B$39)*100)</f>
        <v>4.2789527879726075</v>
      </c>
      <c r="D36" s="233"/>
      <c r="G36" s="15"/>
    </row>
    <row r="37" spans="1:7">
      <c r="A37" s="171" t="s">
        <v>76</v>
      </c>
      <c r="B37" s="34" t="s">
        <v>111</v>
      </c>
      <c r="C37" s="167"/>
      <c r="D37" s="173"/>
      <c r="G37" s="15"/>
    </row>
    <row r="38" spans="1:7">
      <c r="A38" s="171" t="s">
        <v>77</v>
      </c>
      <c r="B38" s="33">
        <f>IF((B24-(B29-B18)*0.1)&lt;0,0,B24-(B29-B18)*0.1)</f>
        <v>146</v>
      </c>
      <c r="C38" s="167">
        <f>IF(ISERROR(B38/SUM($B$32,$B$34,$B$35,$B$36,$B$38,$B$39)*100),0,B38/SUM($B$32,$B$34,$B$35,$B$36,$B$38,$B$39)*100)</f>
        <v>2.0246845097767299</v>
      </c>
      <c r="D38" s="234"/>
      <c r="G38" s="15"/>
    </row>
    <row r="39" spans="1:7">
      <c r="A39" s="171" t="s">
        <v>78</v>
      </c>
      <c r="B39" s="33">
        <f>IF((B25-(B29-B18))&lt;0,0,B25-(B29-B18)*0.9)</f>
        <v>1968</v>
      </c>
      <c r="C39" s="167">
        <f>IF(ISERROR(B39/SUM($B$32,$B$34,$B$35,$B$36,$B$38,$B$39)*100),0,B39/SUM($B$32,$B$34,$B$35,$B$36,$B$38,$B$39)*100)</f>
        <v>27.291637775620579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3296</v>
      </c>
      <c r="C44" s="34" t="s">
        <v>111</v>
      </c>
      <c r="D44" s="174"/>
    </row>
    <row r="45" spans="1:7">
      <c r="A45" s="171" t="s">
        <v>72</v>
      </c>
      <c r="B45" s="33" t="str">
        <f t="shared" si="0"/>
        <v>-</v>
      </c>
      <c r="C45" s="34" t="s">
        <v>111</v>
      </c>
      <c r="D45" s="174"/>
    </row>
    <row r="46" spans="1:7">
      <c r="A46" s="171" t="s">
        <v>73</v>
      </c>
      <c r="B46" s="33">
        <f t="shared" si="0"/>
        <v>221.0218712029162</v>
      </c>
      <c r="C46" s="34" t="s">
        <v>111</v>
      </c>
      <c r="D46" s="174"/>
    </row>
    <row r="47" spans="1:7">
      <c r="A47" s="171" t="s">
        <v>74</v>
      </c>
      <c r="B47" s="33">
        <f t="shared" si="0"/>
        <v>1271.4228432563789</v>
      </c>
      <c r="C47" s="34" t="s">
        <v>111</v>
      </c>
      <c r="D47" s="174"/>
    </row>
    <row r="48" spans="1:7">
      <c r="A48" s="171" t="s">
        <v>75</v>
      </c>
      <c r="B48" s="33">
        <f t="shared" si="0"/>
        <v>308.55528554070474</v>
      </c>
      <c r="C48" s="33">
        <f>B48*10</f>
        <v>3085.5528554070474</v>
      </c>
      <c r="D48" s="234"/>
    </row>
    <row r="49" spans="1:6">
      <c r="A49" s="171" t="s">
        <v>76</v>
      </c>
      <c r="B49" s="33" t="str">
        <f t="shared" si="0"/>
        <v>-</v>
      </c>
      <c r="C49" s="34" t="s">
        <v>111</v>
      </c>
      <c r="D49" s="234"/>
    </row>
    <row r="50" spans="1:6">
      <c r="A50" s="171" t="s">
        <v>77</v>
      </c>
      <c r="B50" s="33">
        <f t="shared" si="0"/>
        <v>146</v>
      </c>
      <c r="C50" s="33">
        <f>B50*2</f>
        <v>292</v>
      </c>
      <c r="D50" s="234"/>
    </row>
    <row r="51" spans="1:6">
      <c r="A51" s="171" t="s">
        <v>78</v>
      </c>
      <c r="B51" s="33">
        <f t="shared" si="0"/>
        <v>1968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10154.73999774</v>
      </c>
      <c r="C5" s="17">
        <f>IF(ISERROR('Eigen informatie GS &amp; warmtenet'!B58),0,'Eigen informatie GS &amp; warmtenet'!B58)</f>
        <v>0</v>
      </c>
      <c r="D5" s="30">
        <f>SUM(D6:D12)</f>
        <v>8193.2896374331212</v>
      </c>
      <c r="E5" s="17">
        <f>SUM(E6:E12)</f>
        <v>217.72550675072497</v>
      </c>
      <c r="F5" s="17">
        <f>SUM(F6:F12)</f>
        <v>2526.7943821410977</v>
      </c>
      <c r="G5" s="18"/>
      <c r="H5" s="17"/>
      <c r="I5" s="17"/>
      <c r="J5" s="17">
        <f>SUM(J6:J12)</f>
        <v>0</v>
      </c>
      <c r="K5" s="17"/>
      <c r="L5" s="17"/>
      <c r="M5" s="17"/>
      <c r="N5" s="17">
        <f>SUM(N6:N12)</f>
        <v>670.31212250482361</v>
      </c>
      <c r="O5" s="17">
        <f>B38*B39*B40</f>
        <v>1.5633333333333335</v>
      </c>
      <c r="P5" s="17">
        <f>B46*B47*B48/1000-B46*B47*B48/1000/B49</f>
        <v>19.066666666666666</v>
      </c>
      <c r="R5" s="32"/>
    </row>
    <row r="6" spans="1:18">
      <c r="A6" s="32" t="s">
        <v>54</v>
      </c>
      <c r="B6" s="37">
        <f>B26</f>
        <v>2093.6869687999997</v>
      </c>
      <c r="C6" s="33"/>
      <c r="D6" s="37">
        <f>IF(ISERROR(TER_kantoor_gas_kWh/1000),0,TER_kantoor_gas_kWh/1000)*0.902</f>
        <v>3491.3632510614002</v>
      </c>
      <c r="E6" s="33">
        <f>$C$26*'E Balans VL '!I12/100/3.6*1000000</f>
        <v>27.408941469965161</v>
      </c>
      <c r="F6" s="33">
        <f>$C$26*('E Balans VL '!L12+'E Balans VL '!N12)/100/3.6*1000000</f>
        <v>533.86854169105072</v>
      </c>
      <c r="G6" s="34"/>
      <c r="H6" s="33"/>
      <c r="I6" s="33"/>
      <c r="J6" s="33">
        <f>$C$26*('E Balans VL '!D12+'E Balans VL '!E12)/100/3.6*1000000</f>
        <v>0</v>
      </c>
      <c r="K6" s="33"/>
      <c r="L6" s="33"/>
      <c r="M6" s="33"/>
      <c r="N6" s="33">
        <f>$C$26*'E Balans VL '!Y12/100/3.6*1000000</f>
        <v>2.1007373475236775</v>
      </c>
      <c r="O6" s="33"/>
      <c r="P6" s="33"/>
      <c r="R6" s="32"/>
    </row>
    <row r="7" spans="1:18">
      <c r="A7" s="32" t="s">
        <v>53</v>
      </c>
      <c r="B7" s="37">
        <f t="shared" ref="B7:B12" si="0">B27</f>
        <v>1003.3524845000001</v>
      </c>
      <c r="C7" s="33"/>
      <c r="D7" s="37">
        <f>IF(ISERROR(TER_horeca_gas_kWh/1000),0,TER_horeca_gas_kWh/1000)*0.902</f>
        <v>504.45865249054003</v>
      </c>
      <c r="E7" s="33">
        <f>$C$27*'E Balans VL '!I9/100/3.6*1000000</f>
        <v>33.20486404852398</v>
      </c>
      <c r="F7" s="33">
        <f>$C$27*('E Balans VL '!L9+'E Balans VL '!N9)/100/3.6*1000000</f>
        <v>431.43772302250346</v>
      </c>
      <c r="G7" s="34"/>
      <c r="H7" s="33"/>
      <c r="I7" s="33"/>
      <c r="J7" s="33">
        <f>$C$27*('E Balans VL '!D9+'E Balans VL '!E9)/100/3.6*1000000</f>
        <v>0</v>
      </c>
      <c r="K7" s="33"/>
      <c r="L7" s="33"/>
      <c r="M7" s="33"/>
      <c r="N7" s="33">
        <f>$C$27*'E Balans VL '!Y9/100/3.6*1000000</f>
        <v>0.24152151329617999</v>
      </c>
      <c r="O7" s="33"/>
      <c r="P7" s="33"/>
      <c r="R7" s="32"/>
    </row>
    <row r="8" spans="1:18">
      <c r="A8" s="6" t="s">
        <v>52</v>
      </c>
      <c r="B8" s="37">
        <f t="shared" si="0"/>
        <v>3953.9732955999998</v>
      </c>
      <c r="C8" s="33"/>
      <c r="D8" s="37">
        <f>IF(ISERROR(TER_handel_gas_kWh/1000),0,TER_handel_gas_kWh/1000)*0.902</f>
        <v>1070.7653715176</v>
      </c>
      <c r="E8" s="33">
        <f>$C$28*'E Balans VL '!I13/100/3.6*1000000</f>
        <v>124.79343870049709</v>
      </c>
      <c r="F8" s="33">
        <f>$C$28*('E Balans VL '!L13+'E Balans VL '!N13)/100/3.6*1000000</f>
        <v>775.44378841418279</v>
      </c>
      <c r="G8" s="34"/>
      <c r="H8" s="33"/>
      <c r="I8" s="33"/>
      <c r="J8" s="33">
        <f>$C$28*('E Balans VL '!D13+'E Balans VL '!E13)/100/3.6*1000000</f>
        <v>0</v>
      </c>
      <c r="K8" s="33"/>
      <c r="L8" s="33"/>
      <c r="M8" s="33"/>
      <c r="N8" s="33">
        <f>$C$28*'E Balans VL '!Y13/100/3.6*1000000</f>
        <v>4.6925986473859425</v>
      </c>
      <c r="O8" s="33"/>
      <c r="P8" s="33"/>
      <c r="R8" s="32"/>
    </row>
    <row r="9" spans="1:18">
      <c r="A9" s="32" t="s">
        <v>51</v>
      </c>
      <c r="B9" s="37">
        <f t="shared" si="0"/>
        <v>531.06063726999992</v>
      </c>
      <c r="C9" s="33"/>
      <c r="D9" s="37">
        <f>IF(ISERROR(TER_gezond_gas_kWh/1000),0,TER_gezond_gas_kWh/1000)*0.902</f>
        <v>252.39759015548</v>
      </c>
      <c r="E9" s="33">
        <f>$C$29*'E Balans VL '!I10/100/3.6*1000000</f>
        <v>6.7991297404792289E-2</v>
      </c>
      <c r="F9" s="33">
        <f>$C$29*('E Balans VL '!L10+'E Balans VL '!N10)/100/3.6*1000000</f>
        <v>110.64218953451987</v>
      </c>
      <c r="G9" s="34"/>
      <c r="H9" s="33"/>
      <c r="I9" s="33"/>
      <c r="J9" s="33">
        <f>$C$29*('E Balans VL '!D10+'E Balans VL '!E10)/100/3.6*1000000</f>
        <v>0</v>
      </c>
      <c r="K9" s="33"/>
      <c r="L9" s="33"/>
      <c r="M9" s="33"/>
      <c r="N9" s="33">
        <f>$C$29*'E Balans VL '!Y10/100/3.6*1000000</f>
        <v>6.2375581969928566</v>
      </c>
      <c r="O9" s="33"/>
      <c r="P9" s="33"/>
      <c r="R9" s="32"/>
    </row>
    <row r="10" spans="1:18">
      <c r="A10" s="32" t="s">
        <v>50</v>
      </c>
      <c r="B10" s="37">
        <f t="shared" si="0"/>
        <v>636.27881300000001</v>
      </c>
      <c r="C10" s="33"/>
      <c r="D10" s="37">
        <f>IF(ISERROR(TER_ander_gas_kWh/1000),0,TER_ander_gas_kWh/1000)*0.902</f>
        <v>308.31109279673996</v>
      </c>
      <c r="E10" s="33">
        <f>$C$30*'E Balans VL '!I14/100/3.6*1000000</f>
        <v>0.95681370387085929</v>
      </c>
      <c r="F10" s="33">
        <f>$C$30*('E Balans VL '!L14+'E Balans VL '!N14)/100/3.6*1000000</f>
        <v>140.46985171929123</v>
      </c>
      <c r="G10" s="34"/>
      <c r="H10" s="33"/>
      <c r="I10" s="33"/>
      <c r="J10" s="33">
        <f>$C$30*('E Balans VL '!D14+'E Balans VL '!E14)/100/3.6*1000000</f>
        <v>0</v>
      </c>
      <c r="K10" s="33"/>
      <c r="L10" s="33"/>
      <c r="M10" s="33"/>
      <c r="N10" s="33">
        <f>$C$30*'E Balans VL '!Y14/100/3.6*1000000</f>
        <v>501.43052459364202</v>
      </c>
      <c r="O10" s="33"/>
      <c r="P10" s="33"/>
      <c r="R10" s="32"/>
    </row>
    <row r="11" spans="1:18">
      <c r="A11" s="32" t="s">
        <v>55</v>
      </c>
      <c r="B11" s="37">
        <f t="shared" si="0"/>
        <v>176.68041256999999</v>
      </c>
      <c r="C11" s="33"/>
      <c r="D11" s="37">
        <f>IF(ISERROR(TER_onderwijs_gas_kWh/1000),0,TER_onderwijs_gas_kWh/1000)*0.902</f>
        <v>279.22135097955999</v>
      </c>
      <c r="E11" s="33">
        <f>$C$31*'E Balans VL '!I11/100/3.6*1000000</f>
        <v>0.31114901230316516</v>
      </c>
      <c r="F11" s="33">
        <f>$C$31*('E Balans VL '!L11+'E Balans VL '!N11)/100/3.6*1000000</f>
        <v>81.576543510346795</v>
      </c>
      <c r="G11" s="34"/>
      <c r="H11" s="33"/>
      <c r="I11" s="33"/>
      <c r="J11" s="33">
        <f>$C$31*('E Balans VL '!D11+'E Balans VL '!E11)/100/3.6*1000000</f>
        <v>0</v>
      </c>
      <c r="K11" s="33"/>
      <c r="L11" s="33"/>
      <c r="M11" s="33"/>
      <c r="N11" s="33">
        <f>$C$31*'E Balans VL '!Y11/100/3.6*1000000</f>
        <v>0.32915805189223796</v>
      </c>
      <c r="O11" s="33"/>
      <c r="P11" s="33"/>
      <c r="R11" s="32"/>
    </row>
    <row r="12" spans="1:18">
      <c r="A12" s="32" t="s">
        <v>260</v>
      </c>
      <c r="B12" s="37">
        <f t="shared" si="0"/>
        <v>1759.707386</v>
      </c>
      <c r="C12" s="33"/>
      <c r="D12" s="37">
        <f>IF(ISERROR(TER_rest_gas_kWh/1000),0,TER_rest_gas_kWh/1000)*0.902</f>
        <v>2286.7723284318004</v>
      </c>
      <c r="E12" s="33">
        <f>$C$32*'E Balans VL '!I8/100/3.6*1000000</f>
        <v>30.982308518159908</v>
      </c>
      <c r="F12" s="33">
        <f>$C$32*('E Balans VL '!L8+'E Balans VL '!N8)/100/3.6*1000000</f>
        <v>453.3557442492027</v>
      </c>
      <c r="G12" s="34"/>
      <c r="H12" s="33"/>
      <c r="I12" s="33"/>
      <c r="J12" s="33">
        <f>$C$32*('E Balans VL '!D8+'E Balans VL '!E8)/100/3.6*1000000</f>
        <v>0</v>
      </c>
      <c r="K12" s="33"/>
      <c r="L12" s="33"/>
      <c r="M12" s="33"/>
      <c r="N12" s="33">
        <f>$C$32*'E Balans VL '!Y8/100/3.6*1000000</f>
        <v>155.28002415409074</v>
      </c>
      <c r="O12" s="33"/>
      <c r="P12" s="33"/>
      <c r="R12" s="32"/>
    </row>
    <row r="13" spans="1:18">
      <c r="A13" s="16" t="s">
        <v>491</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10198.38999774</v>
      </c>
      <c r="C16" s="21">
        <f t="shared" ca="1" si="1"/>
        <v>62.357142857142847</v>
      </c>
      <c r="D16" s="21">
        <f t="shared" ca="1" si="1"/>
        <v>8193.2896374331212</v>
      </c>
      <c r="E16" s="21">
        <f t="shared" si="1"/>
        <v>217.72550675072497</v>
      </c>
      <c r="F16" s="21">
        <f t="shared" ca="1" si="1"/>
        <v>2526.7943821410977</v>
      </c>
      <c r="G16" s="21">
        <f t="shared" si="1"/>
        <v>0</v>
      </c>
      <c r="H16" s="21">
        <f t="shared" si="1"/>
        <v>0</v>
      </c>
      <c r="I16" s="21">
        <f t="shared" si="1"/>
        <v>0</v>
      </c>
      <c r="J16" s="21">
        <f t="shared" si="1"/>
        <v>0</v>
      </c>
      <c r="K16" s="21">
        <f t="shared" si="1"/>
        <v>0</v>
      </c>
      <c r="L16" s="21">
        <f t="shared" ca="1" si="1"/>
        <v>0</v>
      </c>
      <c r="M16" s="21">
        <f t="shared" si="1"/>
        <v>0</v>
      </c>
      <c r="N16" s="21">
        <f t="shared" ca="1" si="1"/>
        <v>545.59783679053794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0.20322934398717193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2072.612108966036</v>
      </c>
      <c r="C20" s="23">
        <f t="shared" ref="C20:P20" ca="1" si="2">C16*C18</f>
        <v>0</v>
      </c>
      <c r="D20" s="23">
        <f t="shared" ca="1" si="2"/>
        <v>1655.0445067614905</v>
      </c>
      <c r="E20" s="23">
        <f t="shared" si="2"/>
        <v>49.423690032414569</v>
      </c>
      <c r="F20" s="23">
        <f t="shared" ca="1" si="2"/>
        <v>674.65410003167312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2093.6869687999997</v>
      </c>
      <c r="C26" s="39">
        <f>IF(ISERROR(B26*3.6/1000000/'E Balans VL '!Z12*100),0,B26*3.6/1000000/'E Balans VL '!Z12*100)</f>
        <v>4.4848401393766044E-2</v>
      </c>
      <c r="D26" s="237" t="s">
        <v>660</v>
      </c>
      <c r="F26" s="6"/>
    </row>
    <row r="27" spans="1:18">
      <c r="A27" s="231" t="s">
        <v>53</v>
      </c>
      <c r="B27" s="33">
        <f>IF(ISERROR(TER_horeca_ele_kWh/1000),0,TER_horeca_ele_kWh/1000)</f>
        <v>1003.3524845000001</v>
      </c>
      <c r="C27" s="39">
        <f>IF(ISERROR(B27*3.6/1000000/'E Balans VL '!Z9*100),0,B27*3.6/1000000/'E Balans VL '!Z9*100)</f>
        <v>8.0515549263487571E-2</v>
      </c>
      <c r="D27" s="237" t="s">
        <v>660</v>
      </c>
      <c r="F27" s="6"/>
    </row>
    <row r="28" spans="1:18">
      <c r="A28" s="171" t="s">
        <v>52</v>
      </c>
      <c r="B28" s="33">
        <f>IF(ISERROR(TER_handel_ele_kWh/1000),0,TER_handel_ele_kWh/1000)</f>
        <v>3953.9732955999998</v>
      </c>
      <c r="C28" s="39">
        <f>IF(ISERROR(B28*3.6/1000000/'E Balans VL '!Z13*100),0,B28*3.6/1000000/'E Balans VL '!Z13*100)</f>
        <v>0.11661953313397168</v>
      </c>
      <c r="D28" s="237" t="s">
        <v>660</v>
      </c>
      <c r="F28" s="6"/>
    </row>
    <row r="29" spans="1:18">
      <c r="A29" s="231" t="s">
        <v>51</v>
      </c>
      <c r="B29" s="33">
        <f>IF(ISERROR(TER_gezond_ele_kWh/1000),0,TER_gezond_ele_kWh/1000)</f>
        <v>531.06063726999992</v>
      </c>
      <c r="C29" s="39">
        <f>IF(ISERROR(B29*3.6/1000000/'E Balans VL '!Z10*100),0,B29*3.6/1000000/'E Balans VL '!Z10*100)</f>
        <v>5.6703037790820067E-2</v>
      </c>
      <c r="D29" s="237" t="s">
        <v>660</v>
      </c>
      <c r="F29" s="6"/>
    </row>
    <row r="30" spans="1:18">
      <c r="A30" s="231" t="s">
        <v>50</v>
      </c>
      <c r="B30" s="33">
        <f>IF(ISERROR(TER_ander_ele_kWh/1000),0,TER_ander_ele_kWh/1000)</f>
        <v>636.27881300000001</v>
      </c>
      <c r="C30" s="39">
        <f>IF(ISERROR(B30*3.6/1000000/'E Balans VL '!Z14*100),0,B30*3.6/1000000/'E Balans VL '!Z14*100)</f>
        <v>4.80606373120048E-2</v>
      </c>
      <c r="D30" s="237" t="s">
        <v>660</v>
      </c>
      <c r="F30" s="6"/>
    </row>
    <row r="31" spans="1:18">
      <c r="A31" s="231" t="s">
        <v>55</v>
      </c>
      <c r="B31" s="33">
        <f>IF(ISERROR(TER_onderwijs_ele_kWh/1000),0,TER_onderwijs_ele_kWh/1000)</f>
        <v>176.68041256999999</v>
      </c>
      <c r="C31" s="39">
        <f>IF(ISERROR(B31*3.6/1000000/'E Balans VL '!Z11*100),0,B31*3.6/1000000/'E Balans VL '!Z11*100)</f>
        <v>3.5677673345703619E-2</v>
      </c>
      <c r="D31" s="237" t="s">
        <v>660</v>
      </c>
    </row>
    <row r="32" spans="1:18">
      <c r="A32" s="231" t="s">
        <v>260</v>
      </c>
      <c r="B32" s="33">
        <f>IF(ISERROR(TER_rest_ele_kWh/1000),0,TER_rest_ele_kWh/1000)</f>
        <v>1759.707386</v>
      </c>
      <c r="C32" s="39">
        <f>IF(ISERROR(B32*3.6/1000000/'E Balans VL '!Z8*100),0,B32*3.6/1000000/'E Balans VL '!Z8*100)</f>
        <v>1.4590424604797706E-2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2625.963357181</v>
      </c>
      <c r="C5" s="17">
        <f>IF(ISERROR('Eigen informatie GS &amp; warmtenet'!B59),0,'Eigen informatie GS &amp; warmtenet'!B59)</f>
        <v>0</v>
      </c>
      <c r="D5" s="30">
        <f>SUM(D6:D15)</f>
        <v>1658.7826847715201</v>
      </c>
      <c r="E5" s="17">
        <f>SUM(E6:E15)</f>
        <v>280.17102681483976</v>
      </c>
      <c r="F5" s="17">
        <f>SUM(F6:F15)</f>
        <v>1051.1048085880016</v>
      </c>
      <c r="G5" s="18"/>
      <c r="H5" s="17"/>
      <c r="I5" s="17"/>
      <c r="J5" s="17">
        <f>SUM(J6:J15)</f>
        <v>15.238276411561127</v>
      </c>
      <c r="K5" s="17"/>
      <c r="L5" s="17"/>
      <c r="M5" s="17"/>
      <c r="N5" s="17">
        <f>SUM(N6:N15)</f>
        <v>739.06414945238726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28.570383892999999</v>
      </c>
      <c r="C8" s="33"/>
      <c r="D8" s="37">
        <f>IF( ISERROR(IND_metaal_Gas_kWH/1000),0,IND_metaal_Gas_kWH/1000)*0.902</f>
        <v>0</v>
      </c>
      <c r="E8" s="33">
        <f>C30*'E Balans VL '!I18/100/3.6*1000000</f>
        <v>1.0280488437404196</v>
      </c>
      <c r="F8" s="33">
        <f>C30*'E Balans VL '!L18/100/3.6*1000000+C30*'E Balans VL '!N18/100/3.6*1000000</f>
        <v>12.475760493871883</v>
      </c>
      <c r="G8" s="34"/>
      <c r="H8" s="33"/>
      <c r="I8" s="33"/>
      <c r="J8" s="40">
        <f>C30*'E Balans VL '!D18/100/3.6*1000000+C30*'E Balans VL '!E18/100/3.6*1000000</f>
        <v>0</v>
      </c>
      <c r="K8" s="33"/>
      <c r="L8" s="33"/>
      <c r="M8" s="33"/>
      <c r="N8" s="33">
        <f>C30*'E Balans VL '!Y18/100/3.6*1000000</f>
        <v>1.4319282250840317</v>
      </c>
      <c r="O8" s="33"/>
      <c r="P8" s="33"/>
      <c r="R8" s="32"/>
    </row>
    <row r="9" spans="1:18">
      <c r="A9" s="6" t="s">
        <v>33</v>
      </c>
      <c r="B9" s="37">
        <f t="shared" si="0"/>
        <v>744.99895884</v>
      </c>
      <c r="C9" s="33"/>
      <c r="D9" s="37">
        <f>IF( ISERROR(IND_andere_gas_kWh/1000),0,IND_andere_gas_kWh/1000)*0.902</f>
        <v>570.66535355016003</v>
      </c>
      <c r="E9" s="33">
        <f>C31*'E Balans VL '!I19/100/3.6*1000000</f>
        <v>190.10687822240317</v>
      </c>
      <c r="F9" s="33">
        <f>C31*'E Balans VL '!L19/100/3.6*1000000+C31*'E Balans VL '!N19/100/3.6*1000000</f>
        <v>641.38810726254439</v>
      </c>
      <c r="G9" s="34"/>
      <c r="H9" s="33"/>
      <c r="I9" s="33"/>
      <c r="J9" s="40">
        <f>C31*'E Balans VL '!D19/100/3.6*1000000+C31*'E Balans VL '!E19/100/3.6*1000000</f>
        <v>0</v>
      </c>
      <c r="K9" s="33"/>
      <c r="L9" s="33"/>
      <c r="M9" s="33"/>
      <c r="N9" s="33">
        <f>C31*'E Balans VL '!Y19/100/3.6*1000000</f>
        <v>232.98668797900424</v>
      </c>
      <c r="O9" s="33"/>
      <c r="P9" s="33"/>
      <c r="R9" s="32"/>
    </row>
    <row r="10" spans="1:18">
      <c r="A10" s="6" t="s">
        <v>41</v>
      </c>
      <c r="B10" s="37">
        <f t="shared" si="0"/>
        <v>316.4961955</v>
      </c>
      <c r="C10" s="33"/>
      <c r="D10" s="37">
        <f>IF( ISERROR(IND_voed_gas_kWh/1000),0,IND_voed_gas_kWh/1000)*0.902</f>
        <v>379.63594169445997</v>
      </c>
      <c r="E10" s="33">
        <f>C32*'E Balans VL '!I20/100/3.6*1000000</f>
        <v>8.0457678744999175</v>
      </c>
      <c r="F10" s="33">
        <f>C32*'E Balans VL '!L20/100/3.6*1000000+C32*'E Balans VL '!N20/100/3.6*1000000</f>
        <v>71.618338024027537</v>
      </c>
      <c r="G10" s="34"/>
      <c r="H10" s="33"/>
      <c r="I10" s="33"/>
      <c r="J10" s="40">
        <f>C32*'E Balans VL '!D20/100/3.6*1000000+C32*'E Balans VL '!E20/100/3.6*1000000</f>
        <v>0</v>
      </c>
      <c r="K10" s="33"/>
      <c r="L10" s="33"/>
      <c r="M10" s="33"/>
      <c r="N10" s="33">
        <f>C32*'E Balans VL '!Y20/100/3.6*1000000</f>
        <v>118.69465227932118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47.360613047999998</v>
      </c>
      <c r="C13" s="33"/>
      <c r="D13" s="37">
        <f>IF( ISERROR(IND_papier_gas_kWh/1000),0,IND_papier_gas_kWh/1000)*0.902</f>
        <v>0</v>
      </c>
      <c r="E13" s="33">
        <f>C35*'E Balans VL '!I23/100/3.6*1000000</f>
        <v>0.20311589131829549</v>
      </c>
      <c r="F13" s="33">
        <f>C35*'E Balans VL '!L23/100/3.6*1000000+C35*'E Balans VL '!N23/100/3.6*1000000</f>
        <v>1.1903192038812429</v>
      </c>
      <c r="G13" s="34"/>
      <c r="H13" s="33"/>
      <c r="I13" s="33"/>
      <c r="J13" s="40">
        <f>C35*'E Balans VL '!D23/100/3.6*1000000+C35*'E Balans VL '!E23/100/3.6*1000000</f>
        <v>3.1705332812866018</v>
      </c>
      <c r="K13" s="33"/>
      <c r="L13" s="33"/>
      <c r="M13" s="33"/>
      <c r="N13" s="33">
        <f>C35*'E Balans VL '!Y23/100/3.6*1000000</f>
        <v>86.207578530844671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1488.5372058999999</v>
      </c>
      <c r="C15" s="33"/>
      <c r="D15" s="37">
        <f>IF( ISERROR(IND_rest_gas_kWh/1000),0,IND_rest_gas_kWh/1000)*0.902</f>
        <v>708.48138952689999</v>
      </c>
      <c r="E15" s="33">
        <f>C37*'E Balans VL '!I15/100/3.6*1000000</f>
        <v>80.787215982877967</v>
      </c>
      <c r="F15" s="33">
        <f>C37*'E Balans VL '!L15/100/3.6*1000000+C37*'E Balans VL '!N15/100/3.6*1000000</f>
        <v>324.43228360367647</v>
      </c>
      <c r="G15" s="34"/>
      <c r="H15" s="33"/>
      <c r="I15" s="33"/>
      <c r="J15" s="40">
        <f>C37*'E Balans VL '!D15/100/3.6*1000000+C37*'E Balans VL '!E15/100/3.6*1000000</f>
        <v>12.067743130274525</v>
      </c>
      <c r="K15" s="33"/>
      <c r="L15" s="33"/>
      <c r="M15" s="33"/>
      <c r="N15" s="33">
        <f>C37*'E Balans VL '!Y15/100/3.6*1000000</f>
        <v>299.74330243813318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2625.963357181</v>
      </c>
      <c r="C18" s="21">
        <f>C5+C16</f>
        <v>0</v>
      </c>
      <c r="D18" s="21">
        <f>MAX((D5+D16),0)</f>
        <v>1658.7826847715201</v>
      </c>
      <c r="E18" s="21">
        <f>MAX((E5+E16),0)</f>
        <v>280.17102681483976</v>
      </c>
      <c r="F18" s="21">
        <f>MAX((F5+F16),0)</f>
        <v>1051.1048085880016</v>
      </c>
      <c r="G18" s="21"/>
      <c r="H18" s="21"/>
      <c r="I18" s="21"/>
      <c r="J18" s="21">
        <f>MAX((J5+J16),0)</f>
        <v>15.238276411561127</v>
      </c>
      <c r="K18" s="21"/>
      <c r="L18" s="21">
        <f>MAX((L5+L16),0)</f>
        <v>0</v>
      </c>
      <c r="M18" s="21"/>
      <c r="N18" s="21">
        <f>MAX((N5+N16),0)</f>
        <v>739.06414945238726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0.20322934398717193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533.67281041424633</v>
      </c>
      <c r="C22" s="23">
        <f ca="1">C18*C20</f>
        <v>0</v>
      </c>
      <c r="D22" s="23">
        <f>D18*D20</f>
        <v>335.07410232384706</v>
      </c>
      <c r="E22" s="23">
        <f>E18*E20</f>
        <v>63.598823086968629</v>
      </c>
      <c r="F22" s="23">
        <f>F18*F20</f>
        <v>280.64498389299644</v>
      </c>
      <c r="G22" s="23"/>
      <c r="H22" s="23"/>
      <c r="I22" s="23"/>
      <c r="J22" s="23">
        <f>J18*J20</f>
        <v>5.394349849692639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28.570383892999999</v>
      </c>
      <c r="C30" s="39">
        <f>IF(ISERROR(B30*3.6/1000000/'E Balans VL '!Z18*100),0,B30*3.6/1000000/'E Balans VL '!Z18*100)</f>
        <v>6.0534518140396704E-3</v>
      </c>
      <c r="D30" s="237" t="s">
        <v>660</v>
      </c>
    </row>
    <row r="31" spans="1:18">
      <c r="A31" s="6" t="s">
        <v>33</v>
      </c>
      <c r="B31" s="37">
        <f>IF( ISERROR(IND_ander_ele_kWh/1000),0,IND_ander_ele_kWh/1000)</f>
        <v>744.99895884</v>
      </c>
      <c r="C31" s="39">
        <f>IF(ISERROR(B31*3.6/1000000/'E Balans VL '!Z19*100),0,B31*3.6/1000000/'E Balans VL '!Z19*100)</f>
        <v>3.1358697820737941E-2</v>
      </c>
      <c r="D31" s="237" t="s">
        <v>660</v>
      </c>
    </row>
    <row r="32" spans="1:18">
      <c r="A32" s="171" t="s">
        <v>41</v>
      </c>
      <c r="B32" s="37">
        <f>IF( ISERROR(IND_voed_ele_kWh/1000),0,IND_voed_ele_kWh/1000)</f>
        <v>316.4961955</v>
      </c>
      <c r="C32" s="39">
        <f>IF(ISERROR(B32*3.6/1000000/'E Balans VL '!Z20*100),0,B32*3.6/1000000/'E Balans VL '!Z20*100)</f>
        <v>5.2874270366444126E-2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47.360613047999998</v>
      </c>
      <c r="C35" s="39">
        <f>IF(ISERROR(B35*3.6/1000000/'E Balans VL '!Z22*100),0,B35*3.6/1000000/'E Balans VL '!Z22*100)</f>
        <v>6.003213118865809E-3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1488.5372058999999</v>
      </c>
      <c r="C37" s="39">
        <f>IF(ISERROR(B37*3.6/1000000/'E Balans VL '!Z15*100),0,B37*3.6/1000000/'E Balans VL '!Z15*100)</f>
        <v>1.2017537251254845E-2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1163.5969923799998</v>
      </c>
      <c r="C5" s="17">
        <f>'Eigen informatie GS &amp; warmtenet'!B60</f>
        <v>0</v>
      </c>
      <c r="D5" s="30">
        <f>IF(ISERROR(SUM(LB_lb_gas_kWh,LB_rest_gas_kWh)/1000),0,SUM(LB_lb_gas_kWh,LB_rest_gas_kWh)/1000)*0.902</f>
        <v>167.40094545154199</v>
      </c>
      <c r="E5" s="17">
        <f>B17*'E Balans VL '!I25/3.6*1000000/100</f>
        <v>30.004698737561036</v>
      </c>
      <c r="F5" s="17">
        <f>B17*('E Balans VL '!L25/3.6*1000000+'E Balans VL '!N25/3.6*1000000)/100</f>
        <v>4253.1686034315844</v>
      </c>
      <c r="G5" s="18"/>
      <c r="H5" s="17"/>
      <c r="I5" s="17"/>
      <c r="J5" s="17">
        <f>('E Balans VL '!D25+'E Balans VL '!E25)/3.6*1000000*landbouw!B17/100</f>
        <v>167.51516205918887</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1163.5969923799998</v>
      </c>
      <c r="C8" s="21">
        <f>C5+C6</f>
        <v>62.357142857142847</v>
      </c>
      <c r="D8" s="21">
        <f>MAX((D5+D6),0)</f>
        <v>167.40094545154199</v>
      </c>
      <c r="E8" s="21">
        <f>MAX((E5+E6),0)</f>
        <v>30.004698737561036</v>
      </c>
      <c r="F8" s="21">
        <f>MAX((F5+F6),0)</f>
        <v>4253.1686034315844</v>
      </c>
      <c r="G8" s="21"/>
      <c r="H8" s="21"/>
      <c r="I8" s="21"/>
      <c r="J8" s="21">
        <f>MAX((J5+J6),0)</f>
        <v>167.51516205918887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0.20322934398717193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236.47705342683366</v>
      </c>
      <c r="C12" s="23">
        <f ca="1">C8*C10</f>
        <v>0</v>
      </c>
      <c r="D12" s="23">
        <f>D8*D10</f>
        <v>33.81499098121148</v>
      </c>
      <c r="E12" s="23">
        <f>E8*E10</f>
        <v>6.8110666134263553</v>
      </c>
      <c r="F12" s="23">
        <f>F8*F10</f>
        <v>1135.596017116233</v>
      </c>
      <c r="G12" s="23"/>
      <c r="H12" s="23"/>
      <c r="I12" s="23"/>
      <c r="J12" s="23">
        <f>J8*J10</f>
        <v>59.300367368952855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0.16407488341923337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360.75869101076785</v>
      </c>
      <c r="C26" s="247">
        <f>B26*'GWP N2O_CH4'!B5</f>
        <v>7575.9325112261249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53.879471899434222</v>
      </c>
      <c r="C27" s="247">
        <f>B27*'GWP N2O_CH4'!B5</f>
        <v>1131.4689098881186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4.6640328264657152</v>
      </c>
      <c r="C28" s="247">
        <f>B28*'GWP N2O_CH4'!B4</f>
        <v>1445.8501762043718</v>
      </c>
      <c r="D28" s="50"/>
    </row>
    <row r="29" spans="1:4">
      <c r="A29" s="41" t="s">
        <v>277</v>
      </c>
      <c r="B29" s="247">
        <f>B34*'ha_N2O bodem landbouw'!B4</f>
        <v>19.038844803366398</v>
      </c>
      <c r="C29" s="247">
        <f>B29*'GWP N2O_CH4'!B4</f>
        <v>5902.0418890435831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4.2847746816799693E-3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7.4808307405369951E-5</v>
      </c>
      <c r="C5" s="463" t="s">
        <v>211</v>
      </c>
      <c r="D5" s="448">
        <f>SUM(D6:D11)</f>
        <v>1.8662093302948386E-4</v>
      </c>
      <c r="E5" s="448">
        <f>SUM(E6:E11)</f>
        <v>7.0860650917122512E-4</v>
      </c>
      <c r="F5" s="461" t="s">
        <v>211</v>
      </c>
      <c r="G5" s="448">
        <f>SUM(G6:G11)</f>
        <v>0.23867101855658238</v>
      </c>
      <c r="H5" s="448">
        <f>SUM(H6:H11)</f>
        <v>4.983111503134377E-2</v>
      </c>
      <c r="I5" s="463" t="s">
        <v>211</v>
      </c>
      <c r="J5" s="463" t="s">
        <v>211</v>
      </c>
      <c r="K5" s="463" t="s">
        <v>211</v>
      </c>
      <c r="L5" s="463" t="s">
        <v>211</v>
      </c>
      <c r="M5" s="448">
        <f>SUM(M6:M11)</f>
        <v>9.0124419855808751E-3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5.0008224172404001E-5</v>
      </c>
      <c r="C6" s="449"/>
      <c r="D6" s="892">
        <f>vkm_2011_GW_PW*SUMIFS(TableVerdeelsleutelVkm[CNG],TableVerdeelsleutelVkm[Voertuigtype],"Lichte voertuigen")*SUMIFS(TableECFTransport[EnergieConsumptieFactor (PJ per km)],TableECFTransport[Index],CONCATENATE($A6,"_CNG_CNG"))</f>
        <v>9.9367217401348821E-5</v>
      </c>
      <c r="E6" s="892">
        <f>vkm_2011_GW_PW*SUMIFS(TableVerdeelsleutelVkm[LPG],TableVerdeelsleutelVkm[Voertuigtype],"Lichte voertuigen")*SUMIFS(TableECFTransport[EnergieConsumptieFactor (PJ per km)],TableECFTransport[Index],CONCATENATE($A6,"_LPG_LPG"))</f>
        <v>3.9104562095147591E-4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9.2977231104605582E-2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2.690169514719138E-2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3.7355380398250201E-3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6.1125071272309373E-2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1.9746008887163429E-5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1.9259574697818912E-3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2.4800083232965956E-5</v>
      </c>
      <c r="C8" s="449"/>
      <c r="D8" s="451">
        <f>vkm_2011_NGW_PW*SUMIFS(TableVerdeelsleutelVkm[CNG],TableVerdeelsleutelVkm[Voertuigtype],"Lichte voertuigen")*SUMIFS(TableECFTransport[EnergieConsumptieFactor (PJ per km)],TableECFTransport[Index],CONCATENATE($A8,"_CNG_CNG"))</f>
        <v>8.7253715628135038E-5</v>
      </c>
      <c r="E8" s="451">
        <f>vkm_2011_NGW_PW*SUMIFS(TableVerdeelsleutelVkm[LPG],TableVerdeelsleutelVkm[Voertuigtype],"Lichte voertuigen")*SUMIFS(TableECFTransport[EnergieConsumptieFactor (PJ per km)],TableECFTransport[Index],CONCATENATE($A8,"_LPG_LPG"))</f>
        <v>3.175608882197492E-4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7.0507444146362758E-2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2.2905378037432048E-2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2.9079047039593017E-3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1.4061272033304657E-2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4.2958378331815267E-6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4.4304177201466289E-4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20.780085390380542</v>
      </c>
      <c r="C14" s="21"/>
      <c r="D14" s="21">
        <f t="shared" ref="D14:M14" si="0">((D5)*10^9/3600)+D12</f>
        <v>51.839148063745519</v>
      </c>
      <c r="E14" s="21">
        <f t="shared" si="0"/>
        <v>196.83514143645144</v>
      </c>
      <c r="F14" s="21"/>
      <c r="G14" s="21">
        <f t="shared" si="0"/>
        <v>66297.505154606217</v>
      </c>
      <c r="H14" s="21">
        <f t="shared" si="0"/>
        <v>13841.976397595492</v>
      </c>
      <c r="I14" s="21"/>
      <c r="J14" s="21"/>
      <c r="K14" s="21"/>
      <c r="L14" s="21"/>
      <c r="M14" s="21">
        <f t="shared" si="0"/>
        <v>2503.4561071057983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0.20322934398717193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4.2231231218844529</v>
      </c>
      <c r="C18" s="23"/>
      <c r="D18" s="23">
        <f t="shared" ref="D18:M18" si="1">D14*D16</f>
        <v>10.471507908876596</v>
      </c>
      <c r="E18" s="23">
        <f t="shared" si="1"/>
        <v>44.681577106074478</v>
      </c>
      <c r="F18" s="23"/>
      <c r="G18" s="23">
        <f t="shared" si="1"/>
        <v>17701.433876279862</v>
      </c>
      <c r="H18" s="23">
        <f t="shared" si="1"/>
        <v>3446.6521230012777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3.1690177782729974E-3</v>
      </c>
      <c r="H50" s="321">
        <f t="shared" si="2"/>
        <v>0</v>
      </c>
      <c r="I50" s="321">
        <f t="shared" si="2"/>
        <v>0</v>
      </c>
      <c r="J50" s="321">
        <f t="shared" si="2"/>
        <v>0</v>
      </c>
      <c r="K50" s="321">
        <f t="shared" si="2"/>
        <v>0</v>
      </c>
      <c r="L50" s="321">
        <f t="shared" si="2"/>
        <v>0</v>
      </c>
      <c r="M50" s="321">
        <f t="shared" si="2"/>
        <v>9.8295841812217854E-5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3.1690177782729974E-3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9.8295841812217854E-5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880.28271618694373</v>
      </c>
      <c r="H54" s="21">
        <f t="shared" si="3"/>
        <v>0</v>
      </c>
      <c r="I54" s="21">
        <f t="shared" si="3"/>
        <v>0</v>
      </c>
      <c r="J54" s="21">
        <f t="shared" si="3"/>
        <v>0</v>
      </c>
      <c r="K54" s="21">
        <f t="shared" si="3"/>
        <v>0</v>
      </c>
      <c r="L54" s="21">
        <f t="shared" si="3"/>
        <v>0</v>
      </c>
      <c r="M54" s="21">
        <f t="shared" si="3"/>
        <v>27.30440050339385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0.20322934398717193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235.035485221914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11612.565997739999</v>
      </c>
      <c r="D10" s="1012">
        <f ca="1">tertiair!C16</f>
        <v>62.357142857142847</v>
      </c>
      <c r="E10" s="1012">
        <f ca="1">tertiair!D16</f>
        <v>8193.2896374331212</v>
      </c>
      <c r="F10" s="1012">
        <f>tertiair!E16</f>
        <v>217.72550675072497</v>
      </c>
      <c r="G10" s="1012">
        <f ca="1">tertiair!F16</f>
        <v>2526.7943821410977</v>
      </c>
      <c r="H10" s="1012">
        <f>tertiair!G16</f>
        <v>0</v>
      </c>
      <c r="I10" s="1012">
        <f>tertiair!H16</f>
        <v>0</v>
      </c>
      <c r="J10" s="1012">
        <f>tertiair!I16</f>
        <v>0</v>
      </c>
      <c r="K10" s="1012">
        <f>tertiair!J16</f>
        <v>0</v>
      </c>
      <c r="L10" s="1012">
        <f>tertiair!K16</f>
        <v>0</v>
      </c>
      <c r="M10" s="1012">
        <f ca="1">tertiair!L16</f>
        <v>0</v>
      </c>
      <c r="N10" s="1012">
        <f>tertiair!M16</f>
        <v>0</v>
      </c>
      <c r="O10" s="1012">
        <f ca="1">tertiair!N16</f>
        <v>545.59783679053794</v>
      </c>
      <c r="P10" s="1012">
        <f>tertiair!O16</f>
        <v>1.5633333333333335</v>
      </c>
      <c r="Q10" s="1013">
        <f>tertiair!P16</f>
        <v>19.066666666666666</v>
      </c>
      <c r="R10" s="700">
        <f ca="1">SUM(C10:Q10)</f>
        <v>23178.96050371262</v>
      </c>
      <c r="S10" s="67"/>
    </row>
    <row r="11" spans="1:19" s="473" customFormat="1">
      <c r="A11" s="809" t="s">
        <v>225</v>
      </c>
      <c r="B11" s="814"/>
      <c r="C11" s="1012">
        <f>huishoudens!B8</f>
        <v>32594.213953798593</v>
      </c>
      <c r="D11" s="1012">
        <f>huishoudens!C8</f>
        <v>0</v>
      </c>
      <c r="E11" s="1012">
        <f>huishoudens!D8</f>
        <v>44519.946797391996</v>
      </c>
      <c r="F11" s="1012">
        <f>huishoudens!E8</f>
        <v>4999.0478824866259</v>
      </c>
      <c r="G11" s="1012">
        <f>huishoudens!F8</f>
        <v>47905.359344058117</v>
      </c>
      <c r="H11" s="1012">
        <f>huishoudens!G8</f>
        <v>0</v>
      </c>
      <c r="I11" s="1012">
        <f>huishoudens!H8</f>
        <v>0</v>
      </c>
      <c r="J11" s="1012">
        <f>huishoudens!I8</f>
        <v>0</v>
      </c>
      <c r="K11" s="1012">
        <f>huishoudens!J8</f>
        <v>4519.368697654636</v>
      </c>
      <c r="L11" s="1012">
        <f>huishoudens!K8</f>
        <v>0</v>
      </c>
      <c r="M11" s="1012">
        <f>huishoudens!L8</f>
        <v>0</v>
      </c>
      <c r="N11" s="1012">
        <f>huishoudens!M8</f>
        <v>0</v>
      </c>
      <c r="O11" s="1012">
        <f>huishoudens!N8</f>
        <v>19820.447794633015</v>
      </c>
      <c r="P11" s="1012">
        <f>huishoudens!O8</f>
        <v>298.59666666666669</v>
      </c>
      <c r="Q11" s="1013">
        <f>huishoudens!P8</f>
        <v>457.6</v>
      </c>
      <c r="R11" s="700">
        <f>SUM(C11:Q11)</f>
        <v>155114.58113668967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2625.963357181</v>
      </c>
      <c r="D13" s="1012">
        <f>industrie!C18</f>
        <v>0</v>
      </c>
      <c r="E13" s="1012">
        <f>industrie!D18</f>
        <v>1658.7826847715201</v>
      </c>
      <c r="F13" s="1012">
        <f>industrie!E18</f>
        <v>280.17102681483976</v>
      </c>
      <c r="G13" s="1012">
        <f>industrie!F18</f>
        <v>1051.1048085880016</v>
      </c>
      <c r="H13" s="1012">
        <f>industrie!G18</f>
        <v>0</v>
      </c>
      <c r="I13" s="1012">
        <f>industrie!H18</f>
        <v>0</v>
      </c>
      <c r="J13" s="1012">
        <f>industrie!I18</f>
        <v>0</v>
      </c>
      <c r="K13" s="1012">
        <f>industrie!J18</f>
        <v>15.238276411561127</v>
      </c>
      <c r="L13" s="1012">
        <f>industrie!K18</f>
        <v>0</v>
      </c>
      <c r="M13" s="1012">
        <f>industrie!L18</f>
        <v>0</v>
      </c>
      <c r="N13" s="1012">
        <f>industrie!M18</f>
        <v>0</v>
      </c>
      <c r="O13" s="1012">
        <f>industrie!N18</f>
        <v>739.06414945238726</v>
      </c>
      <c r="P13" s="1012">
        <f>industrie!O18</f>
        <v>0</v>
      </c>
      <c r="Q13" s="1013">
        <f>industrie!P18</f>
        <v>0</v>
      </c>
      <c r="R13" s="700">
        <f>SUM(C13:Q13)</f>
        <v>6370.3243032193086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46832.74330871959</v>
      </c>
      <c r="D16" s="732">
        <f t="shared" ref="D16:R16" ca="1" si="0">SUM(D9:D15)</f>
        <v>62.357142857142847</v>
      </c>
      <c r="E16" s="732">
        <f t="shared" ca="1" si="0"/>
        <v>54372.019119596633</v>
      </c>
      <c r="F16" s="732">
        <f t="shared" si="0"/>
        <v>5496.9444160521907</v>
      </c>
      <c r="G16" s="732">
        <f t="shared" ca="1" si="0"/>
        <v>51483.258534787215</v>
      </c>
      <c r="H16" s="732">
        <f t="shared" si="0"/>
        <v>0</v>
      </c>
      <c r="I16" s="732">
        <f t="shared" si="0"/>
        <v>0</v>
      </c>
      <c r="J16" s="732">
        <f t="shared" si="0"/>
        <v>0</v>
      </c>
      <c r="K16" s="732">
        <f t="shared" si="0"/>
        <v>4534.6069740661969</v>
      </c>
      <c r="L16" s="732">
        <f t="shared" si="0"/>
        <v>0</v>
      </c>
      <c r="M16" s="732">
        <f t="shared" ca="1" si="0"/>
        <v>0</v>
      </c>
      <c r="N16" s="732">
        <f t="shared" si="0"/>
        <v>0</v>
      </c>
      <c r="O16" s="732">
        <f t="shared" ca="1" si="0"/>
        <v>21105.10978087594</v>
      </c>
      <c r="P16" s="732">
        <f t="shared" si="0"/>
        <v>300.16000000000003</v>
      </c>
      <c r="Q16" s="732">
        <f t="shared" si="0"/>
        <v>476.66666666666669</v>
      </c>
      <c r="R16" s="732">
        <f t="shared" ca="1" si="0"/>
        <v>184663.86594362158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880.28271618694373</v>
      </c>
      <c r="I19" s="1012">
        <f>transport!H54</f>
        <v>0</v>
      </c>
      <c r="J19" s="1012">
        <f>transport!I54</f>
        <v>0</v>
      </c>
      <c r="K19" s="1012">
        <f>transport!J54</f>
        <v>0</v>
      </c>
      <c r="L19" s="1012">
        <f>transport!K54</f>
        <v>0</v>
      </c>
      <c r="M19" s="1012">
        <f>transport!L54</f>
        <v>0</v>
      </c>
      <c r="N19" s="1012">
        <f>transport!M54</f>
        <v>27.30440050339385</v>
      </c>
      <c r="O19" s="1012">
        <f>transport!N54</f>
        <v>0</v>
      </c>
      <c r="P19" s="1012">
        <f>transport!O54</f>
        <v>0</v>
      </c>
      <c r="Q19" s="1013">
        <f>transport!P54</f>
        <v>0</v>
      </c>
      <c r="R19" s="700">
        <f>SUM(C19:Q19)</f>
        <v>907.58711669033755</v>
      </c>
      <c r="S19" s="67"/>
    </row>
    <row r="20" spans="1:19" s="473" customFormat="1">
      <c r="A20" s="809" t="s">
        <v>307</v>
      </c>
      <c r="B20" s="814"/>
      <c r="C20" s="1012">
        <f>transport!B14</f>
        <v>20.780085390380542</v>
      </c>
      <c r="D20" s="1012">
        <f>transport!C14</f>
        <v>0</v>
      </c>
      <c r="E20" s="1012">
        <f>transport!D14</f>
        <v>51.839148063745519</v>
      </c>
      <c r="F20" s="1012">
        <f>transport!E14</f>
        <v>196.83514143645144</v>
      </c>
      <c r="G20" s="1012">
        <f>transport!F14</f>
        <v>0</v>
      </c>
      <c r="H20" s="1012">
        <f>transport!G14</f>
        <v>66297.505154606217</v>
      </c>
      <c r="I20" s="1012">
        <f>transport!H14</f>
        <v>13841.976397595492</v>
      </c>
      <c r="J20" s="1012">
        <f>transport!I14</f>
        <v>0</v>
      </c>
      <c r="K20" s="1012">
        <f>transport!J14</f>
        <v>0</v>
      </c>
      <c r="L20" s="1012">
        <f>transport!K14</f>
        <v>0</v>
      </c>
      <c r="M20" s="1012">
        <f>transport!L14</f>
        <v>0</v>
      </c>
      <c r="N20" s="1012">
        <f>transport!M14</f>
        <v>2503.4561071057983</v>
      </c>
      <c r="O20" s="1012">
        <f>transport!N14</f>
        <v>0</v>
      </c>
      <c r="P20" s="1012">
        <f>transport!O14</f>
        <v>0</v>
      </c>
      <c r="Q20" s="1013">
        <f>transport!P14</f>
        <v>0</v>
      </c>
      <c r="R20" s="700">
        <f>SUM(C20:Q20)</f>
        <v>82912.39203419807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20.780085390380542</v>
      </c>
      <c r="D22" s="812">
        <f t="shared" ref="D22:R22" si="1">SUM(D18:D21)</f>
        <v>0</v>
      </c>
      <c r="E22" s="812">
        <f t="shared" si="1"/>
        <v>51.839148063745519</v>
      </c>
      <c r="F22" s="812">
        <f t="shared" si="1"/>
        <v>196.83514143645144</v>
      </c>
      <c r="G22" s="812">
        <f t="shared" si="1"/>
        <v>0</v>
      </c>
      <c r="H22" s="812">
        <f t="shared" si="1"/>
        <v>67177.787870793167</v>
      </c>
      <c r="I22" s="812">
        <f t="shared" si="1"/>
        <v>13841.976397595492</v>
      </c>
      <c r="J22" s="812">
        <f t="shared" si="1"/>
        <v>0</v>
      </c>
      <c r="K22" s="812">
        <f t="shared" si="1"/>
        <v>0</v>
      </c>
      <c r="L22" s="812">
        <f t="shared" si="1"/>
        <v>0</v>
      </c>
      <c r="M22" s="812">
        <f t="shared" si="1"/>
        <v>0</v>
      </c>
      <c r="N22" s="812">
        <f t="shared" si="1"/>
        <v>2530.7605076091922</v>
      </c>
      <c r="O22" s="812">
        <f t="shared" si="1"/>
        <v>0</v>
      </c>
      <c r="P22" s="812">
        <f t="shared" si="1"/>
        <v>0</v>
      </c>
      <c r="Q22" s="812">
        <f t="shared" si="1"/>
        <v>0</v>
      </c>
      <c r="R22" s="812">
        <f t="shared" si="1"/>
        <v>83819.979150888408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1163.5969923799998</v>
      </c>
      <c r="D24" s="1012">
        <f>+landbouw!C8</f>
        <v>62.357142857142847</v>
      </c>
      <c r="E24" s="1012">
        <f>+landbouw!D8</f>
        <v>167.40094545154199</v>
      </c>
      <c r="F24" s="1012">
        <f>+landbouw!E8</f>
        <v>30.004698737561036</v>
      </c>
      <c r="G24" s="1012">
        <f>+landbouw!F8</f>
        <v>4253.1686034315844</v>
      </c>
      <c r="H24" s="1012">
        <f>+landbouw!G8</f>
        <v>0</v>
      </c>
      <c r="I24" s="1012">
        <f>+landbouw!H8</f>
        <v>0</v>
      </c>
      <c r="J24" s="1012">
        <f>+landbouw!I8</f>
        <v>0</v>
      </c>
      <c r="K24" s="1012">
        <f>+landbouw!J8</f>
        <v>167.51516205918887</v>
      </c>
      <c r="L24" s="1012">
        <f>+landbouw!K8</f>
        <v>0</v>
      </c>
      <c r="M24" s="1012">
        <f>+landbouw!L8</f>
        <v>0</v>
      </c>
      <c r="N24" s="1012">
        <f>+landbouw!M8</f>
        <v>0</v>
      </c>
      <c r="O24" s="1012">
        <f>+landbouw!N8</f>
        <v>0</v>
      </c>
      <c r="P24" s="1012">
        <f>+landbouw!O8</f>
        <v>0</v>
      </c>
      <c r="Q24" s="1013">
        <f>+landbouw!P8</f>
        <v>0</v>
      </c>
      <c r="R24" s="700">
        <f>SUM(C24:Q24)</f>
        <v>5844.0435449170191</v>
      </c>
      <c r="S24" s="67"/>
    </row>
    <row r="25" spans="1:19" s="473" customFormat="1" ht="15" thickBot="1">
      <c r="A25" s="831" t="s">
        <v>848</v>
      </c>
      <c r="B25" s="1015"/>
      <c r="C25" s="1016">
        <f>IF(Onbekend_ele_kWh="---",0,Onbekend_ele_kWh)/1000+IF(REST_rest_ele_kWh="---",0,REST_rest_ele_kWh)/1000</f>
        <v>697.38921848999996</v>
      </c>
      <c r="D25" s="1016"/>
      <c r="E25" s="1016">
        <f>IF(onbekend_gas_kWh="---",0,onbekend_gas_kWh)/1000+IF(REST_rest_gas_kWh="---",0,REST_rest_gas_kWh)/1000</f>
        <v>1188.3161874</v>
      </c>
      <c r="F25" s="1016"/>
      <c r="G25" s="1016"/>
      <c r="H25" s="1016"/>
      <c r="I25" s="1016"/>
      <c r="J25" s="1016"/>
      <c r="K25" s="1016"/>
      <c r="L25" s="1016"/>
      <c r="M25" s="1016"/>
      <c r="N25" s="1016"/>
      <c r="O25" s="1016"/>
      <c r="P25" s="1016"/>
      <c r="Q25" s="1017"/>
      <c r="R25" s="700">
        <f>SUM(C25:Q25)</f>
        <v>1885.7054058899998</v>
      </c>
      <c r="S25" s="67"/>
    </row>
    <row r="26" spans="1:19" s="473" customFormat="1" ht="15.75" thickBot="1">
      <c r="A26" s="705" t="s">
        <v>849</v>
      </c>
      <c r="B26" s="817"/>
      <c r="C26" s="812">
        <f>SUM(C24:C25)</f>
        <v>1860.9862108699999</v>
      </c>
      <c r="D26" s="812">
        <f t="shared" ref="D26:R26" si="2">SUM(D24:D25)</f>
        <v>62.357142857142847</v>
      </c>
      <c r="E26" s="812">
        <f t="shared" si="2"/>
        <v>1355.7171328515419</v>
      </c>
      <c r="F26" s="812">
        <f t="shared" si="2"/>
        <v>30.004698737561036</v>
      </c>
      <c r="G26" s="812">
        <f t="shared" si="2"/>
        <v>4253.1686034315844</v>
      </c>
      <c r="H26" s="812">
        <f t="shared" si="2"/>
        <v>0</v>
      </c>
      <c r="I26" s="812">
        <f t="shared" si="2"/>
        <v>0</v>
      </c>
      <c r="J26" s="812">
        <f t="shared" si="2"/>
        <v>0</v>
      </c>
      <c r="K26" s="812">
        <f t="shared" si="2"/>
        <v>167.51516205918887</v>
      </c>
      <c r="L26" s="812">
        <f t="shared" si="2"/>
        <v>0</v>
      </c>
      <c r="M26" s="812">
        <f t="shared" si="2"/>
        <v>0</v>
      </c>
      <c r="N26" s="812">
        <f t="shared" si="2"/>
        <v>0</v>
      </c>
      <c r="O26" s="812">
        <f t="shared" si="2"/>
        <v>0</v>
      </c>
      <c r="P26" s="812">
        <f t="shared" si="2"/>
        <v>0</v>
      </c>
      <c r="Q26" s="812">
        <f t="shared" si="2"/>
        <v>0</v>
      </c>
      <c r="R26" s="812">
        <f t="shared" si="2"/>
        <v>7729.7489508070194</v>
      </c>
      <c r="S26" s="67"/>
    </row>
    <row r="27" spans="1:19" s="473" customFormat="1" ht="17.25" thickTop="1" thickBot="1">
      <c r="A27" s="706" t="s">
        <v>116</v>
      </c>
      <c r="B27" s="805"/>
      <c r="C27" s="707">
        <f ca="1">C22+C16+C26</f>
        <v>48714.509604979976</v>
      </c>
      <c r="D27" s="707">
        <f t="shared" ref="D27:R27" ca="1" si="3">D22+D16+D26</f>
        <v>124.71428571428569</v>
      </c>
      <c r="E27" s="707">
        <f t="shared" ca="1" si="3"/>
        <v>55779.575400511916</v>
      </c>
      <c r="F27" s="707">
        <f t="shared" si="3"/>
        <v>5723.7842562262031</v>
      </c>
      <c r="G27" s="707">
        <f t="shared" ca="1" si="3"/>
        <v>55736.427138218802</v>
      </c>
      <c r="H27" s="707">
        <f t="shared" si="3"/>
        <v>67177.787870793167</v>
      </c>
      <c r="I27" s="707">
        <f t="shared" si="3"/>
        <v>13841.976397595492</v>
      </c>
      <c r="J27" s="707">
        <f t="shared" si="3"/>
        <v>0</v>
      </c>
      <c r="K27" s="707">
        <f t="shared" si="3"/>
        <v>4702.1221361253856</v>
      </c>
      <c r="L27" s="707">
        <f t="shared" si="3"/>
        <v>0</v>
      </c>
      <c r="M27" s="707">
        <f t="shared" ca="1" si="3"/>
        <v>0</v>
      </c>
      <c r="N27" s="707">
        <f t="shared" si="3"/>
        <v>2530.7605076091922</v>
      </c>
      <c r="O27" s="707">
        <f t="shared" ca="1" si="3"/>
        <v>21105.10978087594</v>
      </c>
      <c r="P27" s="707">
        <f t="shared" si="3"/>
        <v>300.16000000000003</v>
      </c>
      <c r="Q27" s="707">
        <f t="shared" si="3"/>
        <v>476.66666666666669</v>
      </c>
      <c r="R27" s="707">
        <f t="shared" ca="1" si="3"/>
        <v>276213.59404531703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2360.0141697284389</v>
      </c>
      <c r="D40" s="1012">
        <f ca="1">tertiair!C20</f>
        <v>0</v>
      </c>
      <c r="E40" s="1012">
        <f ca="1">tertiair!D20</f>
        <v>1655.0445067614905</v>
      </c>
      <c r="F40" s="1012">
        <f>tertiair!E20</f>
        <v>49.423690032414569</v>
      </c>
      <c r="G40" s="1012">
        <f ca="1">tertiair!F20</f>
        <v>674.65410003167312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4739.1364665540168</v>
      </c>
    </row>
    <row r="41" spans="1:18">
      <c r="A41" s="822" t="s">
        <v>225</v>
      </c>
      <c r="B41" s="829"/>
      <c r="C41" s="1012">
        <f ca="1">huishoudens!B12</f>
        <v>6624.1007196080136</v>
      </c>
      <c r="D41" s="1012">
        <f ca="1">huishoudens!C12</f>
        <v>0</v>
      </c>
      <c r="E41" s="1012">
        <f>huishoudens!D12</f>
        <v>8993.029253073184</v>
      </c>
      <c r="F41" s="1012">
        <f>huishoudens!E12</f>
        <v>1134.7838693244641</v>
      </c>
      <c r="G41" s="1012">
        <f>huishoudens!F12</f>
        <v>12790.730944863519</v>
      </c>
      <c r="H41" s="1012">
        <f>huishoudens!G12</f>
        <v>0</v>
      </c>
      <c r="I41" s="1012">
        <f>huishoudens!H12</f>
        <v>0</v>
      </c>
      <c r="J41" s="1012">
        <f>huishoudens!I12</f>
        <v>0</v>
      </c>
      <c r="K41" s="1012">
        <f>huishoudens!J12</f>
        <v>1599.856518969741</v>
      </c>
      <c r="L41" s="1012">
        <f>huishoudens!K12</f>
        <v>0</v>
      </c>
      <c r="M41" s="1012">
        <f>huishoudens!L12</f>
        <v>0</v>
      </c>
      <c r="N41" s="1012">
        <f>huishoudens!M12</f>
        <v>0</v>
      </c>
      <c r="O41" s="1012">
        <f>huishoudens!N12</f>
        <v>0</v>
      </c>
      <c r="P41" s="1012">
        <f>huishoudens!O12</f>
        <v>0</v>
      </c>
      <c r="Q41" s="774">
        <f>huishoudens!P12</f>
        <v>0</v>
      </c>
      <c r="R41" s="850">
        <f t="shared" ca="1" si="4"/>
        <v>31142.501305838923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533.67281041424633</v>
      </c>
      <c r="D43" s="1012">
        <f ca="1">industrie!C22</f>
        <v>0</v>
      </c>
      <c r="E43" s="1012">
        <f>industrie!D22</f>
        <v>335.07410232384706</v>
      </c>
      <c r="F43" s="1012">
        <f>industrie!E22</f>
        <v>63.598823086968629</v>
      </c>
      <c r="G43" s="1012">
        <f>industrie!F22</f>
        <v>280.64498389299644</v>
      </c>
      <c r="H43" s="1012">
        <f>industrie!G22</f>
        <v>0</v>
      </c>
      <c r="I43" s="1012">
        <f>industrie!H22</f>
        <v>0</v>
      </c>
      <c r="J43" s="1012">
        <f>industrie!I22</f>
        <v>0</v>
      </c>
      <c r="K43" s="1012">
        <f>industrie!J22</f>
        <v>5.394349849692639</v>
      </c>
      <c r="L43" s="1012">
        <f>industrie!K22</f>
        <v>0</v>
      </c>
      <c r="M43" s="1012">
        <f>industrie!L22</f>
        <v>0</v>
      </c>
      <c r="N43" s="1012">
        <f>industrie!M22</f>
        <v>0</v>
      </c>
      <c r="O43" s="1012">
        <f>industrie!N22</f>
        <v>0</v>
      </c>
      <c r="P43" s="1012">
        <f>industrie!O22</f>
        <v>0</v>
      </c>
      <c r="Q43" s="774">
        <f>industrie!P22</f>
        <v>0</v>
      </c>
      <c r="R43" s="849">
        <f t="shared" ca="1" si="4"/>
        <v>1218.3850695677511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9517.7876997506974</v>
      </c>
      <c r="D46" s="732">
        <f t="shared" ref="D46:Q46" ca="1" si="5">SUM(D39:D45)</f>
        <v>0</v>
      </c>
      <c r="E46" s="732">
        <f t="shared" ca="1" si="5"/>
        <v>10983.147862158523</v>
      </c>
      <c r="F46" s="732">
        <f t="shared" si="5"/>
        <v>1247.8063824438473</v>
      </c>
      <c r="G46" s="732">
        <f t="shared" ca="1" si="5"/>
        <v>13746.030028788189</v>
      </c>
      <c r="H46" s="732">
        <f t="shared" si="5"/>
        <v>0</v>
      </c>
      <c r="I46" s="732">
        <f t="shared" si="5"/>
        <v>0</v>
      </c>
      <c r="J46" s="732">
        <f t="shared" si="5"/>
        <v>0</v>
      </c>
      <c r="K46" s="732">
        <f t="shared" si="5"/>
        <v>1605.2508688194337</v>
      </c>
      <c r="L46" s="732">
        <f t="shared" si="5"/>
        <v>0</v>
      </c>
      <c r="M46" s="732">
        <f t="shared" ca="1" si="5"/>
        <v>0</v>
      </c>
      <c r="N46" s="732">
        <f t="shared" si="5"/>
        <v>0</v>
      </c>
      <c r="O46" s="732">
        <f t="shared" ca="1" si="5"/>
        <v>0</v>
      </c>
      <c r="P46" s="732">
        <f t="shared" si="5"/>
        <v>0</v>
      </c>
      <c r="Q46" s="732">
        <f t="shared" si="5"/>
        <v>0</v>
      </c>
      <c r="R46" s="732">
        <f ca="1">SUM(R39:R45)</f>
        <v>37100.022841960694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235.035485221914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235.035485221914</v>
      </c>
    </row>
    <row r="50" spans="1:18">
      <c r="A50" s="825" t="s">
        <v>307</v>
      </c>
      <c r="B50" s="835"/>
      <c r="C50" s="703">
        <f ca="1">transport!B18</f>
        <v>4.2231231218844529</v>
      </c>
      <c r="D50" s="703">
        <f>transport!C18</f>
        <v>0</v>
      </c>
      <c r="E50" s="703">
        <f>transport!D18</f>
        <v>10.471507908876596</v>
      </c>
      <c r="F50" s="703">
        <f>transport!E18</f>
        <v>44.681577106074478</v>
      </c>
      <c r="G50" s="703">
        <f>transport!F18</f>
        <v>0</v>
      </c>
      <c r="H50" s="703">
        <f>transport!G18</f>
        <v>17701.433876279862</v>
      </c>
      <c r="I50" s="703">
        <f>transport!H18</f>
        <v>3446.6521230012777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21207.462207417975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4.2231231218844529</v>
      </c>
      <c r="D52" s="732">
        <f t="shared" ref="D52:Q52" ca="1" si="6">SUM(D48:D51)</f>
        <v>0</v>
      </c>
      <c r="E52" s="732">
        <f t="shared" si="6"/>
        <v>10.471507908876596</v>
      </c>
      <c r="F52" s="732">
        <f t="shared" si="6"/>
        <v>44.681577106074478</v>
      </c>
      <c r="G52" s="732">
        <f t="shared" si="6"/>
        <v>0</v>
      </c>
      <c r="H52" s="732">
        <f t="shared" si="6"/>
        <v>17936.469361501775</v>
      </c>
      <c r="I52" s="732">
        <f t="shared" si="6"/>
        <v>3446.6521230012777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21442.497692639889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236.47705342683366</v>
      </c>
      <c r="D54" s="703">
        <f ca="1">+landbouw!C12</f>
        <v>0</v>
      </c>
      <c r="E54" s="703">
        <f>+landbouw!D12</f>
        <v>33.81499098121148</v>
      </c>
      <c r="F54" s="703">
        <f>+landbouw!E12</f>
        <v>6.8110666134263553</v>
      </c>
      <c r="G54" s="703">
        <f>+landbouw!F12</f>
        <v>1135.596017116233</v>
      </c>
      <c r="H54" s="703">
        <f>+landbouw!G12</f>
        <v>0</v>
      </c>
      <c r="I54" s="703">
        <f>+landbouw!H12</f>
        <v>0</v>
      </c>
      <c r="J54" s="703">
        <f>+landbouw!I12</f>
        <v>0</v>
      </c>
      <c r="K54" s="703">
        <f>+landbouw!J12</f>
        <v>59.300367368952855</v>
      </c>
      <c r="L54" s="703">
        <f>+landbouw!K12</f>
        <v>0</v>
      </c>
      <c r="M54" s="703">
        <f>+landbouw!L12</f>
        <v>0</v>
      </c>
      <c r="N54" s="703">
        <f>+landbouw!M12</f>
        <v>0</v>
      </c>
      <c r="O54" s="703">
        <f>+landbouw!N12</f>
        <v>0</v>
      </c>
      <c r="P54" s="703">
        <f>+landbouw!O12</f>
        <v>0</v>
      </c>
      <c r="Q54" s="704">
        <f>+landbouw!P12</f>
        <v>0</v>
      </c>
      <c r="R54" s="731">
        <f ca="1">SUM(C54:Q54)</f>
        <v>1471.9994955066575</v>
      </c>
    </row>
    <row r="55" spans="1:18" ht="15" thickBot="1">
      <c r="A55" s="825" t="s">
        <v>848</v>
      </c>
      <c r="B55" s="835"/>
      <c r="C55" s="703">
        <f ca="1">C25*'EF ele_warmte'!B12</f>
        <v>141.72995337744922</v>
      </c>
      <c r="D55" s="703"/>
      <c r="E55" s="703">
        <f>E25*EF_CO2_aardgas</f>
        <v>240.0398698548</v>
      </c>
      <c r="F55" s="703"/>
      <c r="G55" s="703"/>
      <c r="H55" s="703"/>
      <c r="I55" s="703"/>
      <c r="J55" s="703"/>
      <c r="K55" s="703"/>
      <c r="L55" s="703"/>
      <c r="M55" s="703"/>
      <c r="N55" s="703"/>
      <c r="O55" s="703"/>
      <c r="P55" s="703"/>
      <c r="Q55" s="704"/>
      <c r="R55" s="731">
        <f ca="1">SUM(C55:Q55)</f>
        <v>381.76982323224922</v>
      </c>
    </row>
    <row r="56" spans="1:18" ht="15.75" thickBot="1">
      <c r="A56" s="823" t="s">
        <v>849</v>
      </c>
      <c r="B56" s="836"/>
      <c r="C56" s="732">
        <f ca="1">SUM(C54:C55)</f>
        <v>378.20700680428286</v>
      </c>
      <c r="D56" s="732">
        <f t="shared" ref="D56:Q56" ca="1" si="7">SUM(D54:D55)</f>
        <v>0</v>
      </c>
      <c r="E56" s="732">
        <f t="shared" si="7"/>
        <v>273.85486083601148</v>
      </c>
      <c r="F56" s="732">
        <f t="shared" si="7"/>
        <v>6.8110666134263553</v>
      </c>
      <c r="G56" s="732">
        <f t="shared" si="7"/>
        <v>1135.596017116233</v>
      </c>
      <c r="H56" s="732">
        <f t="shared" si="7"/>
        <v>0</v>
      </c>
      <c r="I56" s="732">
        <f t="shared" si="7"/>
        <v>0</v>
      </c>
      <c r="J56" s="732">
        <f t="shared" si="7"/>
        <v>0</v>
      </c>
      <c r="K56" s="732">
        <f t="shared" si="7"/>
        <v>59.300367368952855</v>
      </c>
      <c r="L56" s="732">
        <f t="shared" si="7"/>
        <v>0</v>
      </c>
      <c r="M56" s="732">
        <f t="shared" si="7"/>
        <v>0</v>
      </c>
      <c r="N56" s="732">
        <f t="shared" si="7"/>
        <v>0</v>
      </c>
      <c r="O56" s="732">
        <f t="shared" si="7"/>
        <v>0</v>
      </c>
      <c r="P56" s="732">
        <f t="shared" si="7"/>
        <v>0</v>
      </c>
      <c r="Q56" s="733">
        <f t="shared" si="7"/>
        <v>0</v>
      </c>
      <c r="R56" s="734">
        <f ca="1">SUM(R54:R55)</f>
        <v>1853.7693187389068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9900.2178296768652</v>
      </c>
      <c r="D61" s="740">
        <f t="shared" ref="D61:Q61" ca="1" si="8">D46+D52+D56</f>
        <v>0</v>
      </c>
      <c r="E61" s="740">
        <f t="shared" ca="1" si="8"/>
        <v>11267.47423090341</v>
      </c>
      <c r="F61" s="740">
        <f t="shared" si="8"/>
        <v>1299.2990261633481</v>
      </c>
      <c r="G61" s="740">
        <f t="shared" ca="1" si="8"/>
        <v>14881.626045904422</v>
      </c>
      <c r="H61" s="740">
        <f t="shared" si="8"/>
        <v>17936.469361501775</v>
      </c>
      <c r="I61" s="740">
        <f t="shared" si="8"/>
        <v>3446.6521230012777</v>
      </c>
      <c r="J61" s="740">
        <f t="shared" si="8"/>
        <v>0</v>
      </c>
      <c r="K61" s="740">
        <f t="shared" si="8"/>
        <v>1664.5512361883866</v>
      </c>
      <c r="L61" s="740">
        <f t="shared" si="8"/>
        <v>0</v>
      </c>
      <c r="M61" s="740">
        <f t="shared" ca="1" si="8"/>
        <v>0</v>
      </c>
      <c r="N61" s="740">
        <f t="shared" si="8"/>
        <v>0</v>
      </c>
      <c r="O61" s="740">
        <f t="shared" ca="1" si="8"/>
        <v>0</v>
      </c>
      <c r="P61" s="740">
        <f t="shared" si="8"/>
        <v>0</v>
      </c>
      <c r="Q61" s="740">
        <f t="shared" si="8"/>
        <v>0</v>
      </c>
      <c r="R61" s="740">
        <f ca="1">R46+R52+R56</f>
        <v>60396.289853339491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0.20322934398717191</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3829.8438598357807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87.299999999999983</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102.70588235294116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3917.1438598357809</v>
      </c>
      <c r="C78" s="755">
        <f>SUM(C72:C77)</f>
        <v>0</v>
      </c>
      <c r="D78" s="756">
        <f t="shared" ref="D78:H78" si="10">SUM(D76:D77)</f>
        <v>0</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124.71428571428569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0</v>
      </c>
      <c r="D90" s="755">
        <f t="shared" ref="D90:H90" si="12">SUM(D87:D89)</f>
        <v>0</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3829.8438598357807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87.299999999999983</v>
      </c>
      <c r="C8" s="570">
        <f>B101</f>
        <v>0</v>
      </c>
      <c r="D8" s="1043"/>
      <c r="E8" s="1043">
        <f>E101</f>
        <v>0</v>
      </c>
      <c r="F8" s="1044"/>
      <c r="G8" s="571"/>
      <c r="H8" s="1043">
        <f>I101</f>
        <v>0</v>
      </c>
      <c r="I8" s="1043">
        <f>G101+F101</f>
        <v>0</v>
      </c>
      <c r="J8" s="1043">
        <f>H101+D101+C101</f>
        <v>102.70588235294116</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3917.1438598357809</v>
      </c>
      <c r="C10" s="583">
        <f t="shared" ref="C10:L10" si="0">SUM(C8:C9)</f>
        <v>0</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124.71428571428569</v>
      </c>
      <c r="C17" s="595">
        <f>B102</f>
        <v>0</v>
      </c>
      <c r="D17" s="596"/>
      <c r="E17" s="596">
        <f>E102</f>
        <v>0</v>
      </c>
      <c r="F17" s="1049"/>
      <c r="G17" s="597"/>
      <c r="H17" s="595">
        <f>I102</f>
        <v>0</v>
      </c>
      <c r="I17" s="596">
        <f>G102+F102</f>
        <v>0</v>
      </c>
      <c r="J17" s="596">
        <f>H102+D102+C102</f>
        <v>146.72268907563023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124.71428571428569</v>
      </c>
      <c r="C20" s="582">
        <f>SUM(C17:C19)</f>
        <v>0</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41027</v>
      </c>
      <c r="C28" s="796">
        <v>9550</v>
      </c>
      <c r="D28" s="653" t="s">
        <v>890</v>
      </c>
      <c r="E28" s="652" t="s">
        <v>891</v>
      </c>
      <c r="F28" s="652" t="s">
        <v>892</v>
      </c>
      <c r="G28" s="652" t="s">
        <v>893</v>
      </c>
      <c r="H28" s="652" t="s">
        <v>894</v>
      </c>
      <c r="I28" s="652" t="s">
        <v>891</v>
      </c>
      <c r="J28" s="795">
        <v>40920</v>
      </c>
      <c r="K28" s="795">
        <v>41030</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63.75">
      <c r="A29" s="605"/>
      <c r="B29" s="796">
        <v>41027</v>
      </c>
      <c r="C29" s="796">
        <v>9552</v>
      </c>
      <c r="D29" s="653" t="s">
        <v>896</v>
      </c>
      <c r="E29" s="652" t="s">
        <v>897</v>
      </c>
      <c r="F29" s="652" t="s">
        <v>898</v>
      </c>
      <c r="G29" s="652" t="s">
        <v>893</v>
      </c>
      <c r="H29" s="652" t="s">
        <v>894</v>
      </c>
      <c r="I29" s="652" t="s">
        <v>899</v>
      </c>
      <c r="J29" s="795">
        <v>41379</v>
      </c>
      <c r="K29" s="795">
        <v>41379</v>
      </c>
      <c r="L29" s="652" t="s">
        <v>895</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19.399999999999999</v>
      </c>
      <c r="N58" s="610">
        <f>SUM(N28:N57)</f>
        <v>87.299999999999983</v>
      </c>
      <c r="O58" s="610">
        <f t="shared" ref="O58:W58" si="2">SUM(O28:O57)</f>
        <v>124.71428571428569</v>
      </c>
      <c r="P58" s="610">
        <f t="shared" si="2"/>
        <v>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32594.213953798593</v>
      </c>
      <c r="C4" s="477">
        <f>huishoudens!C8</f>
        <v>0</v>
      </c>
      <c r="D4" s="477">
        <f>huishoudens!D8</f>
        <v>44519.946797391996</v>
      </c>
      <c r="E4" s="477">
        <f>huishoudens!E8</f>
        <v>4999.0478824866259</v>
      </c>
      <c r="F4" s="477">
        <f>huishoudens!F8</f>
        <v>47905.359344058117</v>
      </c>
      <c r="G4" s="477">
        <f>huishoudens!G8</f>
        <v>0</v>
      </c>
      <c r="H4" s="477">
        <f>huishoudens!H8</f>
        <v>0</v>
      </c>
      <c r="I4" s="477">
        <f>huishoudens!I8</f>
        <v>0</v>
      </c>
      <c r="J4" s="477">
        <f>huishoudens!J8</f>
        <v>4519.368697654636</v>
      </c>
      <c r="K4" s="477">
        <f>huishoudens!K8</f>
        <v>0</v>
      </c>
      <c r="L4" s="477">
        <f>huishoudens!L8</f>
        <v>0</v>
      </c>
      <c r="M4" s="477">
        <f>huishoudens!M8</f>
        <v>0</v>
      </c>
      <c r="N4" s="477">
        <f>huishoudens!N8</f>
        <v>19820.447794633015</v>
      </c>
      <c r="O4" s="477">
        <f>huishoudens!O8</f>
        <v>298.59666666666669</v>
      </c>
      <c r="P4" s="478">
        <f>huishoudens!P8</f>
        <v>457.6</v>
      </c>
      <c r="Q4" s="479">
        <f>SUM(B4:P4)</f>
        <v>155114.58113668967</v>
      </c>
    </row>
    <row r="5" spans="1:17">
      <c r="A5" s="476" t="s">
        <v>156</v>
      </c>
      <c r="B5" s="477">
        <f ca="1">tertiair!B16</f>
        <v>10198.38999774</v>
      </c>
      <c r="C5" s="477">
        <f ca="1">tertiair!C16</f>
        <v>62.357142857142847</v>
      </c>
      <c r="D5" s="477">
        <f ca="1">tertiair!D16</f>
        <v>8193.2896374331212</v>
      </c>
      <c r="E5" s="477">
        <f>tertiair!E16</f>
        <v>217.72550675072497</v>
      </c>
      <c r="F5" s="477">
        <f ca="1">tertiair!F16</f>
        <v>2526.7943821410977</v>
      </c>
      <c r="G5" s="477">
        <f>tertiair!G16</f>
        <v>0</v>
      </c>
      <c r="H5" s="477">
        <f>tertiair!H16</f>
        <v>0</v>
      </c>
      <c r="I5" s="477">
        <f>tertiair!I16</f>
        <v>0</v>
      </c>
      <c r="J5" s="477">
        <f>tertiair!J16</f>
        <v>0</v>
      </c>
      <c r="K5" s="477">
        <f>tertiair!K16</f>
        <v>0</v>
      </c>
      <c r="L5" s="477">
        <f ca="1">tertiair!L16</f>
        <v>0</v>
      </c>
      <c r="M5" s="477">
        <f>tertiair!M16</f>
        <v>0</v>
      </c>
      <c r="N5" s="477">
        <f ca="1">tertiair!N16</f>
        <v>545.59783679053794</v>
      </c>
      <c r="O5" s="477">
        <f>tertiair!O16</f>
        <v>1.5633333333333335</v>
      </c>
      <c r="P5" s="478">
        <f>tertiair!P16</f>
        <v>19.066666666666666</v>
      </c>
      <c r="Q5" s="476">
        <f t="shared" ref="Q5:Q14" ca="1" si="0">SUM(B5:P5)</f>
        <v>21764.784503712621</v>
      </c>
    </row>
    <row r="6" spans="1:17">
      <c r="A6" s="476" t="s">
        <v>194</v>
      </c>
      <c r="B6" s="477">
        <f>'openbare verlichting'!B8</f>
        <v>1414.1759999999999</v>
      </c>
      <c r="C6" s="477"/>
      <c r="D6" s="477"/>
      <c r="E6" s="477"/>
      <c r="F6" s="477"/>
      <c r="G6" s="477"/>
      <c r="H6" s="477"/>
      <c r="I6" s="477"/>
      <c r="J6" s="477"/>
      <c r="K6" s="477"/>
      <c r="L6" s="477"/>
      <c r="M6" s="477"/>
      <c r="N6" s="477"/>
      <c r="O6" s="477"/>
      <c r="P6" s="478"/>
      <c r="Q6" s="476">
        <f t="shared" si="0"/>
        <v>1414.1759999999999</v>
      </c>
    </row>
    <row r="7" spans="1:17">
      <c r="A7" s="476" t="s">
        <v>112</v>
      </c>
      <c r="B7" s="477">
        <f>landbouw!B8</f>
        <v>1163.5969923799998</v>
      </c>
      <c r="C7" s="477">
        <f>landbouw!C8</f>
        <v>62.357142857142847</v>
      </c>
      <c r="D7" s="477">
        <f>landbouw!D8</f>
        <v>167.40094545154199</v>
      </c>
      <c r="E7" s="477">
        <f>landbouw!E8</f>
        <v>30.004698737561036</v>
      </c>
      <c r="F7" s="477">
        <f>landbouw!F8</f>
        <v>4253.1686034315844</v>
      </c>
      <c r="G7" s="477">
        <f>landbouw!G8</f>
        <v>0</v>
      </c>
      <c r="H7" s="477">
        <f>landbouw!H8</f>
        <v>0</v>
      </c>
      <c r="I7" s="477">
        <f>landbouw!I8</f>
        <v>0</v>
      </c>
      <c r="J7" s="477">
        <f>landbouw!J8</f>
        <v>167.51516205918887</v>
      </c>
      <c r="K7" s="477">
        <f>landbouw!K8</f>
        <v>0</v>
      </c>
      <c r="L7" s="477">
        <f>landbouw!L8</f>
        <v>0</v>
      </c>
      <c r="M7" s="477">
        <f>landbouw!M8</f>
        <v>0</v>
      </c>
      <c r="N7" s="477">
        <f>landbouw!N8</f>
        <v>0</v>
      </c>
      <c r="O7" s="477">
        <f>landbouw!O8</f>
        <v>0</v>
      </c>
      <c r="P7" s="478">
        <f>landbouw!P8</f>
        <v>0</v>
      </c>
      <c r="Q7" s="476">
        <f t="shared" si="0"/>
        <v>5844.0435449170191</v>
      </c>
    </row>
    <row r="8" spans="1:17">
      <c r="A8" s="476" t="s">
        <v>638</v>
      </c>
      <c r="B8" s="477">
        <f>industrie!B18</f>
        <v>2625.963357181</v>
      </c>
      <c r="C8" s="477">
        <f>industrie!C18</f>
        <v>0</v>
      </c>
      <c r="D8" s="477">
        <f>industrie!D18</f>
        <v>1658.7826847715201</v>
      </c>
      <c r="E8" s="477">
        <f>industrie!E18</f>
        <v>280.17102681483976</v>
      </c>
      <c r="F8" s="477">
        <f>industrie!F18</f>
        <v>1051.1048085880016</v>
      </c>
      <c r="G8" s="477">
        <f>industrie!G18</f>
        <v>0</v>
      </c>
      <c r="H8" s="477">
        <f>industrie!H18</f>
        <v>0</v>
      </c>
      <c r="I8" s="477">
        <f>industrie!I18</f>
        <v>0</v>
      </c>
      <c r="J8" s="477">
        <f>industrie!J18</f>
        <v>15.238276411561127</v>
      </c>
      <c r="K8" s="477">
        <f>industrie!K18</f>
        <v>0</v>
      </c>
      <c r="L8" s="477">
        <f>industrie!L18</f>
        <v>0</v>
      </c>
      <c r="M8" s="477">
        <f>industrie!M18</f>
        <v>0</v>
      </c>
      <c r="N8" s="477">
        <f>industrie!N18</f>
        <v>739.06414945238726</v>
      </c>
      <c r="O8" s="477">
        <f>industrie!O18</f>
        <v>0</v>
      </c>
      <c r="P8" s="478">
        <f>industrie!P18</f>
        <v>0</v>
      </c>
      <c r="Q8" s="476">
        <f t="shared" si="0"/>
        <v>6370.3243032193086</v>
      </c>
    </row>
    <row r="9" spans="1:17" s="482" customFormat="1">
      <c r="A9" s="480" t="s">
        <v>564</v>
      </c>
      <c r="B9" s="481">
        <f>transport!B14</f>
        <v>20.780085390380542</v>
      </c>
      <c r="C9" s="481">
        <f>transport!C14</f>
        <v>0</v>
      </c>
      <c r="D9" s="481">
        <f>transport!D14</f>
        <v>51.839148063745519</v>
      </c>
      <c r="E9" s="481">
        <f>transport!E14</f>
        <v>196.83514143645144</v>
      </c>
      <c r="F9" s="481">
        <f>transport!F14</f>
        <v>0</v>
      </c>
      <c r="G9" s="481">
        <f>transport!G14</f>
        <v>66297.505154606217</v>
      </c>
      <c r="H9" s="481">
        <f>transport!H14</f>
        <v>13841.976397595492</v>
      </c>
      <c r="I9" s="481">
        <f>transport!I14</f>
        <v>0</v>
      </c>
      <c r="J9" s="481">
        <f>transport!J14</f>
        <v>0</v>
      </c>
      <c r="K9" s="481">
        <f>transport!K14</f>
        <v>0</v>
      </c>
      <c r="L9" s="481">
        <f>transport!L14</f>
        <v>0</v>
      </c>
      <c r="M9" s="481">
        <f>transport!M14</f>
        <v>2503.4561071057983</v>
      </c>
      <c r="N9" s="481">
        <f>transport!N14</f>
        <v>0</v>
      </c>
      <c r="O9" s="481">
        <f>transport!O14</f>
        <v>0</v>
      </c>
      <c r="P9" s="481">
        <f>transport!P14</f>
        <v>0</v>
      </c>
      <c r="Q9" s="480">
        <f>SUM(B9:P9)</f>
        <v>82912.39203419807</v>
      </c>
    </row>
    <row r="10" spans="1:17">
      <c r="A10" s="476" t="s">
        <v>554</v>
      </c>
      <c r="B10" s="477">
        <f>transport!B54</f>
        <v>0</v>
      </c>
      <c r="C10" s="477">
        <f>transport!C54</f>
        <v>0</v>
      </c>
      <c r="D10" s="477">
        <f>transport!D54</f>
        <v>0</v>
      </c>
      <c r="E10" s="477">
        <f>transport!E54</f>
        <v>0</v>
      </c>
      <c r="F10" s="477">
        <f>transport!F54</f>
        <v>0</v>
      </c>
      <c r="G10" s="477">
        <f>transport!G54</f>
        <v>880.28271618694373</v>
      </c>
      <c r="H10" s="477">
        <f>transport!H54</f>
        <v>0</v>
      </c>
      <c r="I10" s="477">
        <f>transport!I54</f>
        <v>0</v>
      </c>
      <c r="J10" s="477">
        <f>transport!J54</f>
        <v>0</v>
      </c>
      <c r="K10" s="477">
        <f>transport!K54</f>
        <v>0</v>
      </c>
      <c r="L10" s="477">
        <f>transport!L54</f>
        <v>0</v>
      </c>
      <c r="M10" s="477">
        <f>transport!M54</f>
        <v>27.30440050339385</v>
      </c>
      <c r="N10" s="477">
        <f>transport!N54</f>
        <v>0</v>
      </c>
      <c r="O10" s="477">
        <f>transport!O54</f>
        <v>0</v>
      </c>
      <c r="P10" s="478">
        <f>transport!P54</f>
        <v>0</v>
      </c>
      <c r="Q10" s="476">
        <f t="shared" si="0"/>
        <v>907.58711669033755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697.38921848999996</v>
      </c>
      <c r="C14" s="484"/>
      <c r="D14" s="484">
        <f>'SEAP template'!E25</f>
        <v>1188.3161874</v>
      </c>
      <c r="E14" s="484"/>
      <c r="F14" s="484"/>
      <c r="G14" s="484"/>
      <c r="H14" s="484"/>
      <c r="I14" s="484"/>
      <c r="J14" s="484"/>
      <c r="K14" s="484"/>
      <c r="L14" s="484"/>
      <c r="M14" s="484"/>
      <c r="N14" s="484"/>
      <c r="O14" s="484"/>
      <c r="P14" s="485"/>
      <c r="Q14" s="476">
        <f t="shared" si="0"/>
        <v>1885.7054058899998</v>
      </c>
    </row>
    <row r="15" spans="1:17" s="486" customFormat="1">
      <c r="A15" s="1038" t="s">
        <v>558</v>
      </c>
      <c r="B15" s="978">
        <f ca="1">SUM(B4:B14)</f>
        <v>48714.509604979976</v>
      </c>
      <c r="C15" s="978">
        <f t="shared" ref="C15:Q15" ca="1" si="1">SUM(C4:C14)</f>
        <v>124.71428571428569</v>
      </c>
      <c r="D15" s="978">
        <f t="shared" ca="1" si="1"/>
        <v>55779.575400511916</v>
      </c>
      <c r="E15" s="978">
        <f t="shared" si="1"/>
        <v>5723.7842562262031</v>
      </c>
      <c r="F15" s="978">
        <f t="shared" ca="1" si="1"/>
        <v>55736.427138218802</v>
      </c>
      <c r="G15" s="978">
        <f t="shared" si="1"/>
        <v>67177.787870793167</v>
      </c>
      <c r="H15" s="978">
        <f t="shared" si="1"/>
        <v>13841.976397595492</v>
      </c>
      <c r="I15" s="978">
        <f t="shared" si="1"/>
        <v>0</v>
      </c>
      <c r="J15" s="978">
        <f t="shared" si="1"/>
        <v>4702.1221361253856</v>
      </c>
      <c r="K15" s="978">
        <f t="shared" si="1"/>
        <v>0</v>
      </c>
      <c r="L15" s="978">
        <f t="shared" ca="1" si="1"/>
        <v>0</v>
      </c>
      <c r="M15" s="978">
        <f t="shared" si="1"/>
        <v>2530.7605076091922</v>
      </c>
      <c r="N15" s="978">
        <f t="shared" ca="1" si="1"/>
        <v>21105.10978087594</v>
      </c>
      <c r="O15" s="978">
        <f t="shared" si="1"/>
        <v>300.16000000000003</v>
      </c>
      <c r="P15" s="978">
        <f t="shared" si="1"/>
        <v>476.66666666666669</v>
      </c>
      <c r="Q15" s="978">
        <f t="shared" ca="1" si="1"/>
        <v>276213.59404531703</v>
      </c>
    </row>
    <row r="17" spans="1:17">
      <c r="A17" s="487" t="s">
        <v>559</v>
      </c>
      <c r="B17" s="786">
        <f ca="1">huishoudens!B10</f>
        <v>0.20322934398717193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6624.1007196080136</v>
      </c>
      <c r="C22" s="477">
        <f t="shared" ref="C22:C32" ca="1" si="3">C4*$C$17</f>
        <v>0</v>
      </c>
      <c r="D22" s="477">
        <f t="shared" ref="D22:D32" si="4">D4*$D$17</f>
        <v>8993.029253073184</v>
      </c>
      <c r="E22" s="477">
        <f t="shared" ref="E22:E32" si="5">E4*$E$17</f>
        <v>1134.7838693244641</v>
      </c>
      <c r="F22" s="477">
        <f t="shared" ref="F22:F32" si="6">F4*$F$17</f>
        <v>12790.730944863519</v>
      </c>
      <c r="G22" s="477">
        <f t="shared" ref="G22:G32" si="7">G4*$G$17</f>
        <v>0</v>
      </c>
      <c r="H22" s="477">
        <f t="shared" ref="H22:H32" si="8">H4*$H$17</f>
        <v>0</v>
      </c>
      <c r="I22" s="477">
        <f t="shared" ref="I22:I32" si="9">I4*$I$17</f>
        <v>0</v>
      </c>
      <c r="J22" s="477">
        <f t="shared" ref="J22:J32" si="10">J4*$J$17</f>
        <v>1599.856518969741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31142.501305838923</v>
      </c>
    </row>
    <row r="23" spans="1:17">
      <c r="A23" s="476" t="s">
        <v>156</v>
      </c>
      <c r="B23" s="477">
        <f t="shared" ca="1" si="2"/>
        <v>2072.612108966036</v>
      </c>
      <c r="C23" s="477">
        <f t="shared" ca="1" si="3"/>
        <v>0</v>
      </c>
      <c r="D23" s="477">
        <f t="shared" ca="1" si="4"/>
        <v>1655.0445067614905</v>
      </c>
      <c r="E23" s="477">
        <f t="shared" si="5"/>
        <v>49.423690032414569</v>
      </c>
      <c r="F23" s="477">
        <f t="shared" ca="1" si="6"/>
        <v>674.65410003167312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4451.7344057916143</v>
      </c>
    </row>
    <row r="24" spans="1:17">
      <c r="A24" s="476" t="s">
        <v>194</v>
      </c>
      <c r="B24" s="477">
        <f t="shared" ca="1" si="2"/>
        <v>287.40206076240287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287.40206076240287</v>
      </c>
    </row>
    <row r="25" spans="1:17">
      <c r="A25" s="476" t="s">
        <v>112</v>
      </c>
      <c r="B25" s="477">
        <f t="shared" ca="1" si="2"/>
        <v>236.47705342683366</v>
      </c>
      <c r="C25" s="477">
        <f t="shared" ca="1" si="3"/>
        <v>0</v>
      </c>
      <c r="D25" s="477">
        <f t="shared" si="4"/>
        <v>33.81499098121148</v>
      </c>
      <c r="E25" s="477">
        <f t="shared" si="5"/>
        <v>6.8110666134263553</v>
      </c>
      <c r="F25" s="477">
        <f t="shared" si="6"/>
        <v>1135.596017116233</v>
      </c>
      <c r="G25" s="477">
        <f t="shared" si="7"/>
        <v>0</v>
      </c>
      <c r="H25" s="477">
        <f t="shared" si="8"/>
        <v>0</v>
      </c>
      <c r="I25" s="477">
        <f t="shared" si="9"/>
        <v>0</v>
      </c>
      <c r="J25" s="477">
        <f t="shared" si="10"/>
        <v>59.300367368952855</v>
      </c>
      <c r="K25" s="477">
        <f t="shared" si="11"/>
        <v>0</v>
      </c>
      <c r="L25" s="477">
        <f t="shared" si="12"/>
        <v>0</v>
      </c>
      <c r="M25" s="477">
        <f t="shared" si="13"/>
        <v>0</v>
      </c>
      <c r="N25" s="477">
        <f t="shared" si="14"/>
        <v>0</v>
      </c>
      <c r="O25" s="477">
        <f t="shared" si="15"/>
        <v>0</v>
      </c>
      <c r="P25" s="478">
        <f t="shared" si="16"/>
        <v>0</v>
      </c>
      <c r="Q25" s="476">
        <f t="shared" ca="1" si="17"/>
        <v>1471.9994955066575</v>
      </c>
    </row>
    <row r="26" spans="1:17">
      <c r="A26" s="476" t="s">
        <v>638</v>
      </c>
      <c r="B26" s="477">
        <f t="shared" ca="1" si="2"/>
        <v>533.67281041424633</v>
      </c>
      <c r="C26" s="477">
        <f t="shared" ca="1" si="3"/>
        <v>0</v>
      </c>
      <c r="D26" s="477">
        <f t="shared" si="4"/>
        <v>335.07410232384706</v>
      </c>
      <c r="E26" s="477">
        <f t="shared" si="5"/>
        <v>63.598823086968629</v>
      </c>
      <c r="F26" s="477">
        <f t="shared" si="6"/>
        <v>280.64498389299644</v>
      </c>
      <c r="G26" s="477">
        <f t="shared" si="7"/>
        <v>0</v>
      </c>
      <c r="H26" s="477">
        <f t="shared" si="8"/>
        <v>0</v>
      </c>
      <c r="I26" s="477">
        <f t="shared" si="9"/>
        <v>0</v>
      </c>
      <c r="J26" s="477">
        <f t="shared" si="10"/>
        <v>5.394349849692639</v>
      </c>
      <c r="K26" s="477">
        <f t="shared" si="11"/>
        <v>0</v>
      </c>
      <c r="L26" s="477">
        <f t="shared" si="12"/>
        <v>0</v>
      </c>
      <c r="M26" s="477">
        <f t="shared" si="13"/>
        <v>0</v>
      </c>
      <c r="N26" s="477">
        <f t="shared" si="14"/>
        <v>0</v>
      </c>
      <c r="O26" s="477">
        <f t="shared" si="15"/>
        <v>0</v>
      </c>
      <c r="P26" s="478">
        <f t="shared" si="16"/>
        <v>0</v>
      </c>
      <c r="Q26" s="476">
        <f t="shared" ca="1" si="17"/>
        <v>1218.3850695677511</v>
      </c>
    </row>
    <row r="27" spans="1:17" s="482" customFormat="1">
      <c r="A27" s="480" t="s">
        <v>564</v>
      </c>
      <c r="B27" s="780">
        <f t="shared" ca="1" si="2"/>
        <v>4.2231231218844529</v>
      </c>
      <c r="C27" s="481">
        <f t="shared" ca="1" si="3"/>
        <v>0</v>
      </c>
      <c r="D27" s="481">
        <f t="shared" si="4"/>
        <v>10.471507908876596</v>
      </c>
      <c r="E27" s="481">
        <f t="shared" si="5"/>
        <v>44.681577106074478</v>
      </c>
      <c r="F27" s="481">
        <f t="shared" si="6"/>
        <v>0</v>
      </c>
      <c r="G27" s="481">
        <f t="shared" si="7"/>
        <v>17701.433876279862</v>
      </c>
      <c r="H27" s="481">
        <f t="shared" si="8"/>
        <v>3446.6521230012777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21207.462207417975</v>
      </c>
    </row>
    <row r="28" spans="1:17">
      <c r="A28" s="476" t="s">
        <v>554</v>
      </c>
      <c r="B28" s="477">
        <f t="shared" ca="1" si="2"/>
        <v>0</v>
      </c>
      <c r="C28" s="477">
        <f t="shared" ca="1" si="3"/>
        <v>0</v>
      </c>
      <c r="D28" s="477">
        <f t="shared" si="4"/>
        <v>0</v>
      </c>
      <c r="E28" s="477">
        <f t="shared" si="5"/>
        <v>0</v>
      </c>
      <c r="F28" s="477">
        <f t="shared" si="6"/>
        <v>0</v>
      </c>
      <c r="G28" s="477">
        <f t="shared" si="7"/>
        <v>235.035485221914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235.035485221914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141.72995337744922</v>
      </c>
      <c r="C32" s="477">
        <f t="shared" ca="1" si="3"/>
        <v>0</v>
      </c>
      <c r="D32" s="477">
        <f t="shared" si="4"/>
        <v>240.0398698548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381.76982323224922</v>
      </c>
    </row>
    <row r="33" spans="1:17" s="486" customFormat="1">
      <c r="A33" s="1038" t="s">
        <v>558</v>
      </c>
      <c r="B33" s="978">
        <f ca="1">SUM(B22:B32)</f>
        <v>9900.2178296768652</v>
      </c>
      <c r="C33" s="978">
        <f t="shared" ref="C33:Q33" ca="1" si="18">SUM(C22:C32)</f>
        <v>0</v>
      </c>
      <c r="D33" s="978">
        <f t="shared" ca="1" si="18"/>
        <v>11267.47423090341</v>
      </c>
      <c r="E33" s="978">
        <f t="shared" si="18"/>
        <v>1299.2990261633481</v>
      </c>
      <c r="F33" s="978">
        <f t="shared" ca="1" si="18"/>
        <v>14881.626045904422</v>
      </c>
      <c r="G33" s="978">
        <f t="shared" si="18"/>
        <v>17936.469361501775</v>
      </c>
      <c r="H33" s="978">
        <f t="shared" si="18"/>
        <v>3446.6521230012777</v>
      </c>
      <c r="I33" s="978">
        <f t="shared" si="18"/>
        <v>0</v>
      </c>
      <c r="J33" s="978">
        <f t="shared" si="18"/>
        <v>1664.5512361883866</v>
      </c>
      <c r="K33" s="978">
        <f t="shared" si="18"/>
        <v>0</v>
      </c>
      <c r="L33" s="978">
        <f t="shared" ca="1" si="18"/>
        <v>0</v>
      </c>
      <c r="M33" s="978">
        <f t="shared" si="18"/>
        <v>0</v>
      </c>
      <c r="N33" s="978">
        <f t="shared" ca="1" si="18"/>
        <v>0</v>
      </c>
      <c r="O33" s="978">
        <f t="shared" si="18"/>
        <v>0</v>
      </c>
      <c r="P33" s="978">
        <f t="shared" si="18"/>
        <v>0</v>
      </c>
      <c r="Q33" s="978">
        <f t="shared" ca="1" si="18"/>
        <v>60396.289853339498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3829.8438598357807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87.299999999999983</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102.70588235294116</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3917.1438598357809</v>
      </c>
      <c r="C10" s="1059">
        <f>SUM(C4:C9)</f>
        <v>0</v>
      </c>
      <c r="D10" s="1059">
        <f t="shared" ref="D10:H10" si="0">SUM(D8:D9)</f>
        <v>0</v>
      </c>
      <c r="E10" s="1059">
        <f t="shared" si="0"/>
        <v>0</v>
      </c>
      <c r="F10" s="1059">
        <f t="shared" si="0"/>
        <v>0</v>
      </c>
      <c r="G10" s="1059">
        <f t="shared" si="0"/>
        <v>0</v>
      </c>
      <c r="H10" s="1059">
        <f t="shared" si="0"/>
        <v>0</v>
      </c>
      <c r="I10" s="1059">
        <f>SUM(I8:I9)</f>
        <v>0</v>
      </c>
      <c r="J10" s="1059">
        <f>SUM(J8:J9)</f>
        <v>102.70588235294116</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0.20322934398717193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124.71428571428569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146.72268907563023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124.71428571428569</v>
      </c>
      <c r="C20" s="1059">
        <f>SUM(C17:C19)</f>
        <v>0</v>
      </c>
      <c r="D20" s="1059">
        <f t="shared" ref="D20:H20" si="2">SUM(D17:D19)</f>
        <v>0</v>
      </c>
      <c r="E20" s="1059">
        <f t="shared" si="2"/>
        <v>0</v>
      </c>
      <c r="F20" s="1059">
        <f t="shared" si="2"/>
        <v>0</v>
      </c>
      <c r="G20" s="1059">
        <f t="shared" si="2"/>
        <v>0</v>
      </c>
      <c r="H20" s="1059">
        <f t="shared" si="2"/>
        <v>0</v>
      </c>
      <c r="I20" s="1059">
        <f>SUM(I17:I19)</f>
        <v>0</v>
      </c>
      <c r="J20" s="1059">
        <f>SUM(J17:J19)</f>
        <v>146.72268907563023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0.20322934398717193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2019-08-12T08:25:07Z</dcterms:modified>
</cp:coreProperties>
</file>