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<sst xmlns="http://schemas.openxmlformats.org/spreadsheetml/2006/main" count="2410" uniqueCount="900">
  <si>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</si>
  <si>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</si>
  <si>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</si>
  <si>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</si>
  <si>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</si>
  <si>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</si>
  <si>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</si>
  <si>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</si>
  <si>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</si>
  <si>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</si>
  <si>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</si>
  <si>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</si>
  <si>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</si>
  <si>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</si>
  <si>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</si>
  <si>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</si>
  <si>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</si>
  <si>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</si>
  <si>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</si>
  <si>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</si>
  <si>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</si>
  <si>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</si>
  <si>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</si>
  <si>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</si>
  <si>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</si>
  <si>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</si>
  <si>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</si>
  <si>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</si>
  <si>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</si>
  <si>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</si>
  <si>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</si>
  <si>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</si>
  <si>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</si>
  <si>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</si>
  <si>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</si>
  <si>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</si>
  <si>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</si>
  <si>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</si>
  <si>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</si>
  <si>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</si>
  <si>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</si>
  <si>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</si>
  <si>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</si>
  <si>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</si>
  <si>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</si>
  <si>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</si>
  <si>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</si>
  <si>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</si>
  <si>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</si>
  <si>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</si>
  <si>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</si>
  <si>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</si>
  <si>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</si>
  <si>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</si>
  <si>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</si>
  <si>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</si>
  <si>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</si>
  <si>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</si>
  <si>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</si>
  <si>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</si>
  <si>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</si>
  <si>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</si>
  <si>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</si>
  <si>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</si>
  <si>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</si>
  <si>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</si>
  <si>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</si>
  <si>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</si>
  <si>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</si>
  <si>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</si>
  <si>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</si>
  <si>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</si>
  <si>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</si>
  <si>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</si>
  <si>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</si>
  <si>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</si>
  <si>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</si>
  <si>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</si>
  <si>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</si>
  <si>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</si>
  <si>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</si>
  <si>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</si>
  <si>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</si>
  <si>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</si>
  <si>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</si>
  <si>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</si>
  <si>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</si>
  <si>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</si>
  <si>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</si>
  <si>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</si>
  <si>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</si>
  <si>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</si>
  <si>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</si>
  <si>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</si>
  <si>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</si>
  <si>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</si>
  <si>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</si>
  <si>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</si>
  <si>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</si>
  <si>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</si>
  <si>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</si>
  <si>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</si>
  <si>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</si>
  <si>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</si>
  <si>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</si>
  <si>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</si>
  <si>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</si>
  <si>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</si>
  <si>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</si>
  <si>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</si>
  <si>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</si>
  <si>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</si>
  <si>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</si>
  <si>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</si>
  <si>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</si>
  <si>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</si>
  <si>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</si>
  <si>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</si>
  <si>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</si>
  <si>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</si>
  <si>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</si>
  <si>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</si>
  <si>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</si>
  <si>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</si>
  <si>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</si>
  <si>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</si>
  <si>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</si>
  <si>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</si>
  <si>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</si>
  <si>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</si>
  <si>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</si>
  <si>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</si>
  <si>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</si>
  <si>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</si>
  <si>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</si>
  <si>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</si>
  <si>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</si>
  <si>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</si>
  <si>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</si>
  <si>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</si>
  <si>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</si>
  <si>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</si>
  <si>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</si>
  <si>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</si>
  <si>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</si>
  <si>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</si>
  <si>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</si>
  <si>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</si>
  <si>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</si>
  <si>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</si>
  <si>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</si>
  <si>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</si>
  <si>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</si>
  <si>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</si>
  <si>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</si>
  <si>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</si>
  <si>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</si>
  <si>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</si>
  <si>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</si>
  <si>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</si>
  <si>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</si>
  <si>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</si>
  <si>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</si>
  <si>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</si>
  <si>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</si>
  <si>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</si>
  <si>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</si>
  <si>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</si>
  <si>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</si>
  <si>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</si>
  <si>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</si>
  <si>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</si>
  <si>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</si>
  <si>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</si>
  <si>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</si>
  <si>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</si>
  <si>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</si>
  <si>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</si>
  <si>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</si>
  <si>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</si>
  <si>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</si>
  <si>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</si>
  <si>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</si>
  <si>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</si>
  <si>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</si>
  <si>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</si>
  <si>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</si>
  <si>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</si>
  <si>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</si>
  <si>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</si>
  <si>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</si>
  <si>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</si>
  <si>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</si>
  <si>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</si>
  <si>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</si>
  <si>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</si>
  <si>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</si>
  <si>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</si>
  <si>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</si>
  <si>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</si>
  <si>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</si>
  <si>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</si>
  <si>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</si>
  <si>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</si>
  <si>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</si>
  <si>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</si>
  <si>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</si>
  <si>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</si>
  <si>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</si>
  <si>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</si>
  <si>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</si>
  <si>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</si>
  <si>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</si>
  <si>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</si>
  <si>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</si>
  <si>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</si>
  <si>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</si>
  <si>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</si>
  <si>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</si>
  <si>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</si>
  <si>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</si>
  <si>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</si>
  <si>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</si>
  <si>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</si>
  <si>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</si>
  <si>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</si>
  <si>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</si>
  <si>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</si>
  <si>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</si>
  <si>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</si>
  <si>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</si>
  <si>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</si>
  <si>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</si>
  <si>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</si>
  <si>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</si>
  <si>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</si>
  <si>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</si>
  <si>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</si>
  <si>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</si>
  <si>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</si>
  <si>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</si>
  <si>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</si>
  <si>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</si>
  <si>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</si>
  <si>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</si>
  <si>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</si>
  <si>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</si>
  <si>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</si>
  <si>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</si>
  <si>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</si>
  <si>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</si>
  <si>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</si>
  <si>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</si>
  <si>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</si>
  <si>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</si>
  <si>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</si>
  <si>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</si>
  <si>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</si>
  <si>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</si>
  <si>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</si>
  <si>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</si>
  <si>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</si>
  <si>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</si>
  <si>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</si>
  <si>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</si>
  <si>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</si>
  <si>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</si>
  <si>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</si>
  <si>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</si>
  <si>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</si>
  <si>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</si>
  <si>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</si>
  <si>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</si>
  <si>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</si>
  <si>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</si>
  <si>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</si>
  <si>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</si>
  <si>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</si>
  <si>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</si>
  <si>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</si>
  <si>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</si>
  <si>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</si>
  <si>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</si>
  <si>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</si>
  <si>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</si>
  <si>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</si>
  <si>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</si>
  <si>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</si>
  <si>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</si>
  <si>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</si>
  <si>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</si>
  <si>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</si>
  <si>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</si>
  <si>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</si>
  <si>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</si>
  <si>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</si>
  <si>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</si>
  <si>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</si>
  <si>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</si>
  <si>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</si>
  <si>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</si>
  <si>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</si>
  <si>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</si>
  <si>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</si>
  <si>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</si>
  <si>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</si>
  <si>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</si>
  <si>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</si>
  <si>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</si>
  <si>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</si>
  <si>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</si>
  <si>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</si>
  <si>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</si>
  <si>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</si>
  <si>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</si>
  <si>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</si>
  <si>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</si>
  <si>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</si>
  <si>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</si>
  <si>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</si>
  <si>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</si>
  <si>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</si>
  <si>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</si>
  <si>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</si>
  <si>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</si>
  <si>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</si>
  <si>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</si>
  <si>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</si>
  <si>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</si>
  <si>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</si>
  <si>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</si>
  <si>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</si>
  <si>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</si>
  <si>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</si>
  <si>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</si>
  <si>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</si>
  <si>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</si>
  <si>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</si>
  <si>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</si>
  <si>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</si>
  <si>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</si>
  <si>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</si>
  <si>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</si>
  <si>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</si>
  <si>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</si>
  <si>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</si>
  <si>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</si>
  <si>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</si>
  <si>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</si>
  <si>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</si>
  <si>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</si>
  <si>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</si>
  <si>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</si>
  <si>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</si>
  <si>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</si>
  <si>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</si>
  <si>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</si>
  <si>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</si>
  <si>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</si>
  <si>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</si>
  <si>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</si>
  <si>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</si>
  <si>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</si>
  <si>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</si>
  <si>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</si>
  <si>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</si>
  <si>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</si>
  <si>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</si>
  <si>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</si>
  <si>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</si>
  <si>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</si>
  <si>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</si>
  <si>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</si>
  <si>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</si>
  <si>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</si>
  <si>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</si>
  <si>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</si>
  <si>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</si>
  <si>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</si>
  <si>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</si>
  <si>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</si>
  <si>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</si>
  <si>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</si>
  <si>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</si>
  <si>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</si>
  <si>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</si>
  <si>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</si>
  <si>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</si>
  <si>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</si>
  <si>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</si>
  <si>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</si>
  <si>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</si>
  <si>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</si>
  <si>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</si>
  <si>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</si>
  <si>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</si>
  <si>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</si>
  <si>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</si>
  <si>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</si>
  <si>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</si>
  <si>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</si>
  <si>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</si>
  <si>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</si>
  <si>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</si>
  <si>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</si>
  <si>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</si>
  <si>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</si>
  <si>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</si>
  <si>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</si>
  <si>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</si>
  <si>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</si>
  <si>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</si>
  <si>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</si>
  <si>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</si>
  <si>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</si>
  <si>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</si>
  <si>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</si>
  <si>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</si>
  <si>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</si>
  <si>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</si>
  <si>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</si>
  <si>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</si>
  <si>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</si>
  <si>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</si>
  <si>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</si>
  <si>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</si>
  <si>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</si>
  <si>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</si>
  <si>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</si>
  <si>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</si>
  <si>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</si>
  <si>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</si>
  <si>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</si>
  <si>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</si>
  <si>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</si>
  <si>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</si>
  <si>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</si>
  <si>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</si>
  <si>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</si>
  <si>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</si>
  <si>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</si>
  <si>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</si>
  <si>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</si>
  <si>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</si>
  <si>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</si>
  <si>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</si>
  <si>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</si>
  <si>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</si>
  <si>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</si>
  <si>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</si>
  <si>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</si>
  <si>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</si>
  <si>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</si>
  <si>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</si>
  <si>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</si>
  <si>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</si>
  <si>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</si>
  <si>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</si>
  <si>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</si>
  <si>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</si>
  <si>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</si>
  <si>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</si>
  <si>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</si>
  <si>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</si>
  <si>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</si>
  <si>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</si>
  <si>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</si>
  <si>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</si>
  <si>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</si>
  <si>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</si>
  <si>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</si>
  <si>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</si>
  <si>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</si>
  <si>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</si>
  <si>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</si>
  <si>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</si>
  <si>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</si>
  <si>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</si>
  <si>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</si>
  <si>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</si>
  <si>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</si>
  <si>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</si>
  <si>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</si>
  <si>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</si>
  <si>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</si>
  <si>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</si>
  <si>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</si>
  <si>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</si>
  <si>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</si>
  <si>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</si>
  <si>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</si>
  <si>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</si>
  <si>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</si>
  <si>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</si>
  <si>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</si>
  <si>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</si>
  <si>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</si>
  <si>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</si>
  <si>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</si>
  <si>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</si>
  <si>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</si>
  <si>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</si>
  <si>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</si>
  <si>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</si>
  <si>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</si>
  <si>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</si>
  <si>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</si>
  <si>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</si>
  <si>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</si>
  <si>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</si>
  <si>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</si>
  <si>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</si>
  <si>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</si>
  <si>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</si>
  <si>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</si>
  <si>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</si>
  <si>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</si>
  <si>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</si>
  <si>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</si>
  <si>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</si>
  <si>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</si>
  <si>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</si>
  <si>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</si>
  <si>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</si>
  <si>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</si>
  <si>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</si>
  <si>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</si>
  <si>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</si>
  <si>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</si>
  <si>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</si>
  <si>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</si>
  <si>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</si>
  <si>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</si>
  <si>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</si>
  <si>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</si>
  <si>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</si>
  <si>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</si>
  <si>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</si>
  <si>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</si>
  <si>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</si>
  <si>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</si>
  <si>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</si>
  <si>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</si>
  <si>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</si>
  <si>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</si>
  <si>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</si>
  <si>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</si>
  <si>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</si>
  <si>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</si>
  <si>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</si>
  <si>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</si>
  <si>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</si>
  <si>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</si>
  <si>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</si>
  <si>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</si>
  <si>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</si>
  <si>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</si>
  <si>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</si>
  <si>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</si>
  <si>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</si>
  <si>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</si>
  <si>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</si>
  <si>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</si>
  <si>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</si>
  <si>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</si>
  <si>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</si>
  <si>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</si>
  <si>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</si>
  <si>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</si>
  <si>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</si>
  <si>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</si>
  <si>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</si>
  <si>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</si>
  <si>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</si>
  <si>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</si>
  <si>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</si>
  <si>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</si>
  <si>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</si>
  <si>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</si>
  <si>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</si>
  <si>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</si>
  <si>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</si>
  <si>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</si>
  <si>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</si>
  <si>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</si>
  <si>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</si>
  <si>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</si>
  <si>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</si>
  <si>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</si>
  <si>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</si>
  <si>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</si>
  <si>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</si>
  <si>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</si>
  <si>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</si>
  <si>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</si>
  <si>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</si>
  <si>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</si>
  <si>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</si>
  <si>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</si>
  <si>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</si>
  <si>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</si>
  <si>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</si>
  <si>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</si>
  <si>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</si>
  <si>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</si>
  <si>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</si>
  <si>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</si>
  <si>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</si>
  <si>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</si>
  <si>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</si>
  <si>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</si>
  <si>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</si>
  <si>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</si>
  <si>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</si>
  <si>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</si>
  <si>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</si>
  <si>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</si>
  <si>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</si>
  <si>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</si>
  <si>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</si>
  <si>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</si>
  <si>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</si>
  <si>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</si>
  <si>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</si>
  <si>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</si>
  <si>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</si>
  <si>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</si>
  <si>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</si>
  <si>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</si>
  <si>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</si>
  <si>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</si>
  <si>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</si>
  <si>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</si>
  <si>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</si>
  <si>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</si>
  <si>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</si>
  <si>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</si>
  <si>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</si>
  <si>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</si>
  <si>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</si>
  <si>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</si>
  <si>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</si>
  <si>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</si>
  <si>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</si>
  <si>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</si>
  <si>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</si>
  <si>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</si>
  <si>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</si>
  <si>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</si>
  <si>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</si>
  <si>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</si>
  <si>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</si>
  <si>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</si>
  <si>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</si>
  <si>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</si>
  <si>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</si>
  <si>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</si>
  <si>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</si>
  <si>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</si>
  <si>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</si>
  <si>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</si>
  <si>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</si>
  <si>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</si>
  <si>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</si>
  <si>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</si>
  <si>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</si>
  <si>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</si>
  <si>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</si>
  <si>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</si>
  <si>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</si>
  <si>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</si>
  <si>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</si>
  <si>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</si>
  <si>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</si>
  <si>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</si>
  <si>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</si>
  <si>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</si>
  <si>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</si>
  <si>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</si>
  <si>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</si>
  <si>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</si>
  <si>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</si>
  <si>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</si>
  <si>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</si>
  <si>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</si>
  <si>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</si>
  <si>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</si>
  <si>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</si>
  <si>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</si>
  <si>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</si>
  <si>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</si>
  <si>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</si>
  <si>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</si>
  <si>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</si>
  <si>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</si>
  <si>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</si>
  <si>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</si>
  <si>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</si>
  <si>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</si>
  <si>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</si>
  <si>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</si>
  <si>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</si>
  <si>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</si>
  <si>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</si>
  <si>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</si>
  <si>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</si>
  <si>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</si>
  <si>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</si>
  <si>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</si>
  <si>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</si>
  <si>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</si>
  <si>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</si>
  <si>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</si>
  <si>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</si>
  <si>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</si>
  <si>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</si>
  <si>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</si>
  <si>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</si>
  <si>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</si>
  <si>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</si>
  <si>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</si>
  <si>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</si>
  <si>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</si>
  <si>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</si>
  <si>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</si>
  <si>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</si>
  <si>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</si>
  <si>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</si>
  <si>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</si>
  <si>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</si>
  <si>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</si>
  <si>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</si>
  <si>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</si>
  <si>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</si>
  <si>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</si>
  <si>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</si>
  <si>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</si>
  <si>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</si>
  <si>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</si>
  <si>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</si>
  <si>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</si>
  <si>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</si>
  <si>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</si>
  <si>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</si>
  <si>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</si>
  <si>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</si>
  <si>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</si>
  <si>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</si>
  <si>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</si>
  <si>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</si>
  <si>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</si>
  <si>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</si>
  <si>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</si>
  <si>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</si>
  <si>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</si>
  <si>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</si>
  <si>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</si>
  <si>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</si>
  <si>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</si>
  <si>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</si>
  <si>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</si>
  <si>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</si>
  <si>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</si>
  <si>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</si>
  <si>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</si>
  <si>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</si>
  <si>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</si>
  <si>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</si>
  <si>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</si>
  <si>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</si>
  <si>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</si>
  <si>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</si>
  <si>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</si>
  <si>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</si>
  <si>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</si>
  <si>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</si>
  <si>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</si>
  <si>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</si>
  <si>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</si>
  <si>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</si>
  <si>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</si>
  <si>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</si>
  <si>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</si>
  <si>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</si>
  <si>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</si>
  <si>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</si>
  <si>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</si>
  <si>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</si>
  <si>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</si>
  <si>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</si>
  <si>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</si>
  <si>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</si>
  <si>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</si>
  <si>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</si>
  <si>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</si>
  <si>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</si>
  <si>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</si>
  <si>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</si>
  <si>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</si>
  <si>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</si>
  <si>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</si>
  <si>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</si>
  <si>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</si>
  <si>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</si>
  <si>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</si>
  <si>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</si>
  <si>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</si>
  <si>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</si>
  <si>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</si>
  <si>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</si>
  <si>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</si>
  <si>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</si>
  <si>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</si>
  <si>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</si>
  <si>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</si>
  <si>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</si>
  <si>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</si>
  <si>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</si>
  <si>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</si>
  <si>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</si>
  <si>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</si>
  <si>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</si>
  <si>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</si>
  <si>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</si>
  <si>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</si>
  <si>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</si>
  <si>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</si>
  <si>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</si>
  <si>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</si>
  <si>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</si>
  <si>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</si>
  <si>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</si>
  <si>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</si>
  <si>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</si>
  <si>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</si>
  <si>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</si>
  <si>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</si>
  <si>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</si>
  <si>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</si>
  <si>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</si>
  <si>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</si>
  <si>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</si>
  <si>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</si>
  <si>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</si>
  <si>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</si>
  <si>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</si>
  <si>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</si>
  <si>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</si>
  <si>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</si>
  <si>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</si>
  <si>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</si>
  <si>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</si>
  <si>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</si>
  <si>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</si>
  <si>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</si>
  <si>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</si>
  <si>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</si>
  <si>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</si>
  <si>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</si>
  <si>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</si>
  <si>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</si>
  <si>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</si>
  <si>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</si>
  <si>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</si>
  <si>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</si>
  <si>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</si>
  <si>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</si>
  <si>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</si>
  <si>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</si>
  <si>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</si>
  <si>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</si>
  <si>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</si>
  <si>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</si>
  <si>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</si>
  <si>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</si>
  <si>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</si>
  <si>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</si>
  <si>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</si>
  <si>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</si>
  <si>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</si>
  <si>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</si>
  <si>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</si>
  <si>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38025</t>
  </si>
  <si>
    <t>VEURNE</t>
  </si>
  <si>
    <t>Paarden&amp;pony's 200 - 600 kg</t>
  </si>
  <si>
    <t>Paarden&amp;pony's &lt; 200 kg</t>
  </si>
  <si>
    <t>referentietaak LNE (2017); Jaarverslag De Lijn (2015)</t>
  </si>
  <si>
    <t>op basis van VEA (maart 2018) en Inventaris Hernieuwbare Energiebronnen (juni 2018)</t>
  </si>
  <si>
    <t>VEA (januari 2017)</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</si>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</sst>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84891.117139096634</c:v>
                </c:pt>
                <c:pt idx="1">
                  <c:v>62585.368516672912</c:v>
                </c:pt>
                <c:pt idx="2">
                  <c:v>913.15499999999997</c:v>
                </c:pt>
                <c:pt idx="3">
                  <c:v>26741.411375727464</c:v>
                </c:pt>
                <c:pt idx="4">
                  <c:v>246074.63632519139</c:v>
                </c:pt>
                <c:pt idx="5">
                  <c:v>196683.22368004976</c:v>
                </c:pt>
                <c:pt idx="6">
                  <c:v>1190.7128265305259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743424"/>
        <c:axId val="182744960"/>
      </c:barChart>
      <c:catAx>
        <c:axId val="182743424"/>
        <c:scaling>
          <c:orientation val="minMax"/>
        </c:scaling>
        <c:axPos val="b"/>
        <c:numFmt formatCode="General" sourceLinked="0"/>
        <c:tickLblPos val="nextTo"/>
        <c:crossAx val="182744960"/>
        <c:crosses val="autoZero"/>
        <c:auto val="1"/>
        <c:lblAlgn val="ctr"/>
        <c:lblOffset val="100"/>
      </c:catAx>
      <c:valAx>
        <c:axId val="182744960"/>
        <c:scaling>
          <c:orientation val="minMax"/>
        </c:scaling>
        <c:axPos val="l"/>
        <c:majorGridlines/>
        <c:numFmt formatCode="#,##0" sourceLinked="1"/>
        <c:tickLblPos val="nextTo"/>
        <c:crossAx val="1827434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84891.117139096634</c:v>
                </c:pt>
                <c:pt idx="1">
                  <c:v>62585.368516672912</c:v>
                </c:pt>
                <c:pt idx="2">
                  <c:v>913.15499999999997</c:v>
                </c:pt>
                <c:pt idx="3">
                  <c:v>26741.411375727464</c:v>
                </c:pt>
                <c:pt idx="4">
                  <c:v>246074.63632519139</c:v>
                </c:pt>
                <c:pt idx="5">
                  <c:v>196683.22368004976</c:v>
                </c:pt>
                <c:pt idx="6">
                  <c:v>1190.7128265305259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14715.478916307224</c:v>
                </c:pt>
                <c:pt idx="2">
                  <c:v>12705.814651086082</c:v>
                </c:pt>
                <c:pt idx="3">
                  <c:v>180.89916319847271</c:v>
                </c:pt>
                <c:pt idx="4">
                  <c:v>6809.3067318877074</c:v>
                </c:pt>
                <c:pt idx="5">
                  <c:v>47678.795274372867</c:v>
                </c:pt>
                <c:pt idx="6">
                  <c:v>50505.243290513172</c:v>
                </c:pt>
                <c:pt idx="7">
                  <c:v>308.35581708576086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06560"/>
        <c:axId val="183132928"/>
      </c:barChart>
      <c:catAx>
        <c:axId val="183106560"/>
        <c:scaling>
          <c:orientation val="minMax"/>
        </c:scaling>
        <c:axPos val="b"/>
        <c:numFmt formatCode="General" sourceLinked="0"/>
        <c:tickLblPos val="nextTo"/>
        <c:crossAx val="183132928"/>
        <c:crosses val="autoZero"/>
        <c:auto val="1"/>
        <c:lblAlgn val="ctr"/>
        <c:lblOffset val="100"/>
      </c:catAx>
      <c:valAx>
        <c:axId val="183132928"/>
        <c:scaling>
          <c:orientation val="minMax"/>
        </c:scaling>
        <c:axPos val="l"/>
        <c:majorGridlines/>
        <c:numFmt formatCode="#,##0" sourceLinked="1"/>
        <c:tickLblPos val="nextTo"/>
        <c:crossAx val="1831065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14715.478916307224</c:v>
                </c:pt>
                <c:pt idx="2">
                  <c:v>12705.814651086082</c:v>
                </c:pt>
                <c:pt idx="3">
                  <c:v>180.89916319847271</c:v>
                </c:pt>
                <c:pt idx="4">
                  <c:v>6809.3067318877074</c:v>
                </c:pt>
                <c:pt idx="5">
                  <c:v>47678.795274372867</c:v>
                </c:pt>
                <c:pt idx="6">
                  <c:v>50505.243290513172</c:v>
                </c:pt>
                <c:pt idx="7">
                  <c:v>308.35581708576086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38025</v>
      </c>
      <c r="B6" s="415"/>
      <c r="C6" s="416"/>
    </row>
    <row r="7" spans="1:7" s="413" customFormat="1" ht="15.75" customHeight="1">
      <c r="A7" s="417" t="str">
        <f>txtMunicipality</f>
        <v>VEURNE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0.19810345800928947</v>
      </c>
      <c r="C17" s="524">
        <f ca="1">'EF ele_warmte'!B22</f>
        <v>0.22998102466793169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0.19810345800928947</v>
      </c>
      <c r="C29" s="525">
        <f ca="1">'EF ele_warmte'!B22</f>
        <v>0.22998102466793169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38025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4989</v>
      </c>
      <c r="C9" s="342">
        <v>4863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8099.38</v>
      </c>
    </row>
    <row r="15" spans="1:6">
      <c r="A15" s="348" t="s">
        <v>184</v>
      </c>
      <c r="B15" s="334">
        <v>1069</v>
      </c>
    </row>
    <row r="16" spans="1:6">
      <c r="A16" s="348" t="s">
        <v>6</v>
      </c>
      <c r="B16" s="334">
        <v>2294</v>
      </c>
    </row>
    <row r="17" spans="1:6">
      <c r="A17" s="348" t="s">
        <v>7</v>
      </c>
      <c r="B17" s="334">
        <v>2041</v>
      </c>
    </row>
    <row r="18" spans="1:6">
      <c r="A18" s="348" t="s">
        <v>8</v>
      </c>
      <c r="B18" s="334">
        <v>3014</v>
      </c>
    </row>
    <row r="19" spans="1:6">
      <c r="A19" s="348" t="s">
        <v>9</v>
      </c>
      <c r="B19" s="334">
        <v>2798</v>
      </c>
    </row>
    <row r="20" spans="1:6">
      <c r="A20" s="348" t="s">
        <v>10</v>
      </c>
      <c r="B20" s="334">
        <v>1319</v>
      </c>
    </row>
    <row r="21" spans="1:6">
      <c r="A21" s="348" t="s">
        <v>11</v>
      </c>
      <c r="B21" s="334">
        <v>21842</v>
      </c>
    </row>
    <row r="22" spans="1:6">
      <c r="A22" s="348" t="s">
        <v>12</v>
      </c>
      <c r="B22" s="334">
        <v>46307</v>
      </c>
    </row>
    <row r="23" spans="1:6">
      <c r="A23" s="348" t="s">
        <v>13</v>
      </c>
      <c r="B23" s="334">
        <v>789</v>
      </c>
    </row>
    <row r="24" spans="1:6">
      <c r="A24" s="348" t="s">
        <v>14</v>
      </c>
      <c r="B24" s="334">
        <v>58</v>
      </c>
    </row>
    <row r="25" spans="1:6">
      <c r="A25" s="348" t="s">
        <v>15</v>
      </c>
      <c r="B25" s="334">
        <v>5818</v>
      </c>
    </row>
    <row r="26" spans="1:6">
      <c r="A26" s="348" t="s">
        <v>16</v>
      </c>
      <c r="B26" s="334">
        <v>535</v>
      </c>
    </row>
    <row r="27" spans="1:6">
      <c r="A27" s="348" t="s">
        <v>17</v>
      </c>
      <c r="B27" s="334">
        <v>11</v>
      </c>
    </row>
    <row r="28" spans="1:6" s="356" customFormat="1">
      <c r="A28" s="355" t="s">
        <v>18</v>
      </c>
      <c r="B28" s="355">
        <v>782748</v>
      </c>
    </row>
    <row r="29" spans="1:6">
      <c r="A29" s="355" t="s">
        <v>884</v>
      </c>
      <c r="B29" s="355">
        <v>112</v>
      </c>
      <c r="C29" s="356"/>
      <c r="D29" s="356"/>
      <c r="E29" s="356"/>
      <c r="F29" s="356"/>
    </row>
    <row r="30" spans="1:6">
      <c r="A30" s="355" t="s">
        <v>885</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173943.02775000001</v>
      </c>
    </row>
    <row r="37" spans="1:6">
      <c r="A37" s="348" t="s">
        <v>25</v>
      </c>
      <c r="B37" s="348" t="s">
        <v>28</v>
      </c>
      <c r="C37" s="334">
        <v>0</v>
      </c>
      <c r="D37" s="334">
        <v>0</v>
      </c>
      <c r="E37" s="334">
        <v>0</v>
      </c>
      <c r="F37" s="334">
        <v>0</v>
      </c>
    </row>
    <row r="38" spans="1:6">
      <c r="A38" s="348" t="s">
        <v>25</v>
      </c>
      <c r="B38" s="348" t="s">
        <v>29</v>
      </c>
      <c r="C38" s="334">
        <v>4</v>
      </c>
      <c r="D38" s="334">
        <v>420515.12569999998</v>
      </c>
      <c r="E38" s="334">
        <v>1</v>
      </c>
      <c r="F38" s="334">
        <v>11810</v>
      </c>
    </row>
    <row r="39" spans="1:6">
      <c r="A39" s="348" t="s">
        <v>30</v>
      </c>
      <c r="B39" s="348" t="s">
        <v>31</v>
      </c>
      <c r="C39" s="334">
        <v>3691</v>
      </c>
      <c r="D39" s="334">
        <v>51015608.263999999</v>
      </c>
      <c r="E39" s="334">
        <v>4849</v>
      </c>
      <c r="F39" s="334">
        <v>16785898.274999999</v>
      </c>
    </row>
    <row r="40" spans="1:6">
      <c r="A40" s="348" t="s">
        <v>30</v>
      </c>
      <c r="B40" s="348" t="s">
        <v>29</v>
      </c>
      <c r="C40" s="334">
        <v>0</v>
      </c>
      <c r="D40" s="334">
        <v>0</v>
      </c>
      <c r="E40" s="334">
        <v>0</v>
      </c>
      <c r="F40" s="334">
        <v>0</v>
      </c>
    </row>
    <row r="41" spans="1:6">
      <c r="A41" s="348" t="s">
        <v>32</v>
      </c>
      <c r="B41" s="348" t="s">
        <v>33</v>
      </c>
      <c r="C41" s="334">
        <v>66</v>
      </c>
      <c r="D41" s="334">
        <v>1647915.9654999999</v>
      </c>
      <c r="E41" s="334">
        <v>144</v>
      </c>
      <c r="F41" s="334">
        <v>7730902.7339000003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222386.05656</v>
      </c>
      <c r="E44" s="334">
        <v>21</v>
      </c>
      <c r="F44" s="334">
        <v>730721.42120999994</v>
      </c>
    </row>
    <row r="45" spans="1:6">
      <c r="A45" s="348" t="s">
        <v>32</v>
      </c>
      <c r="B45" s="348" t="s">
        <v>37</v>
      </c>
      <c r="C45" s="334">
        <v>0</v>
      </c>
      <c r="D45" s="334">
        <v>0</v>
      </c>
      <c r="E45" s="334">
        <v>3</v>
      </c>
      <c r="F45" s="334">
        <v>77746.558122000002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43</v>
      </c>
      <c r="D48" s="334">
        <v>169232339.08000001</v>
      </c>
      <c r="E48" s="334">
        <v>38</v>
      </c>
      <c r="F48" s="334">
        <v>24748050.374000002</v>
      </c>
    </row>
    <row r="49" spans="1:6">
      <c r="A49" s="348" t="s">
        <v>32</v>
      </c>
      <c r="B49" s="348" t="s">
        <v>40</v>
      </c>
      <c r="C49" s="334">
        <v>0</v>
      </c>
      <c r="D49" s="334">
        <v>0</v>
      </c>
      <c r="E49" s="334">
        <v>3</v>
      </c>
      <c r="F49" s="334">
        <v>17678.528867000001</v>
      </c>
    </row>
    <row r="50" spans="1:6">
      <c r="A50" s="348" t="s">
        <v>32</v>
      </c>
      <c r="B50" s="348" t="s">
        <v>41</v>
      </c>
      <c r="C50" s="334">
        <v>14</v>
      </c>
      <c r="D50" s="334">
        <v>2001415.4820999999</v>
      </c>
      <c r="E50" s="334">
        <v>34</v>
      </c>
      <c r="F50" s="334">
        <v>20448870.480999999</v>
      </c>
    </row>
    <row r="51" spans="1:6">
      <c r="A51" s="348" t="s">
        <v>42</v>
      </c>
      <c r="B51" s="348" t="s">
        <v>43</v>
      </c>
      <c r="C51" s="334">
        <v>10</v>
      </c>
      <c r="D51" s="334">
        <v>148582.32707999999</v>
      </c>
      <c r="E51" s="334">
        <v>205</v>
      </c>
      <c r="F51" s="334">
        <v>5410564.5286999997</v>
      </c>
    </row>
    <row r="52" spans="1:6">
      <c r="A52" s="348" t="s">
        <v>42</v>
      </c>
      <c r="B52" s="348" t="s">
        <v>29</v>
      </c>
      <c r="C52" s="334">
        <v>4</v>
      </c>
      <c r="D52" s="334">
        <v>79735.456707999998</v>
      </c>
      <c r="E52" s="334">
        <v>7</v>
      </c>
      <c r="F52" s="334">
        <v>76159.163094000003</v>
      </c>
    </row>
    <row r="53" spans="1:6">
      <c r="A53" s="348" t="s">
        <v>44</v>
      </c>
      <c r="B53" s="348" t="s">
        <v>45</v>
      </c>
      <c r="C53" s="334">
        <v>174</v>
      </c>
      <c r="D53" s="334">
        <v>2810429.8468999998</v>
      </c>
      <c r="E53" s="334">
        <v>283</v>
      </c>
      <c r="F53" s="334">
        <v>1680460.0294999999</v>
      </c>
    </row>
    <row r="54" spans="1:6">
      <c r="A54" s="348" t="s">
        <v>46</v>
      </c>
      <c r="B54" s="348" t="s">
        <v>47</v>
      </c>
      <c r="C54" s="334">
        <v>0</v>
      </c>
      <c r="D54" s="334">
        <v>0</v>
      </c>
      <c r="E54" s="334">
        <v>1</v>
      </c>
      <c r="F54" s="334">
        <v>913155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1351570.1295</v>
      </c>
      <c r="E57" s="334">
        <v>86</v>
      </c>
      <c r="F57" s="334">
        <v>1049266.5214</v>
      </c>
    </row>
    <row r="58" spans="1:6">
      <c r="A58" s="348" t="s">
        <v>49</v>
      </c>
      <c r="B58" s="348" t="s">
        <v>51</v>
      </c>
      <c r="C58" s="334">
        <v>26</v>
      </c>
      <c r="D58" s="334">
        <v>1017224.0414</v>
      </c>
      <c r="E58" s="334">
        <v>27</v>
      </c>
      <c r="F58" s="334">
        <v>968416.17724999995</v>
      </c>
    </row>
    <row r="59" spans="1:6">
      <c r="A59" s="348" t="s">
        <v>49</v>
      </c>
      <c r="B59" s="348" t="s">
        <v>52</v>
      </c>
      <c r="C59" s="334">
        <v>148</v>
      </c>
      <c r="D59" s="334">
        <v>5703203.9184999997</v>
      </c>
      <c r="E59" s="334">
        <v>244</v>
      </c>
      <c r="F59" s="334">
        <v>8617795.0529999994</v>
      </c>
    </row>
    <row r="60" spans="1:6">
      <c r="A60" s="348" t="s">
        <v>49</v>
      </c>
      <c r="B60" s="348" t="s">
        <v>53</v>
      </c>
      <c r="C60" s="334">
        <v>74</v>
      </c>
      <c r="D60" s="334">
        <v>3084264.5098999999</v>
      </c>
      <c r="E60" s="334">
        <v>91</v>
      </c>
      <c r="F60" s="334">
        <v>2128482.4128</v>
      </c>
    </row>
    <row r="61" spans="1:6">
      <c r="A61" s="348" t="s">
        <v>49</v>
      </c>
      <c r="B61" s="348" t="s">
        <v>54</v>
      </c>
      <c r="C61" s="334">
        <v>127</v>
      </c>
      <c r="D61" s="334">
        <v>7503475.8044999996</v>
      </c>
      <c r="E61" s="334">
        <v>374</v>
      </c>
      <c r="F61" s="334">
        <v>4409727.4309999999</v>
      </c>
    </row>
    <row r="62" spans="1:6">
      <c r="A62" s="348" t="s">
        <v>49</v>
      </c>
      <c r="B62" s="348" t="s">
        <v>55</v>
      </c>
      <c r="C62" s="334">
        <v>20</v>
      </c>
      <c r="D62" s="334">
        <v>2196838.0707</v>
      </c>
      <c r="E62" s="334">
        <v>15</v>
      </c>
      <c r="F62" s="334">
        <v>686012.06212000002</v>
      </c>
    </row>
    <row r="63" spans="1:6">
      <c r="A63" s="348" t="s">
        <v>49</v>
      </c>
      <c r="B63" s="348" t="s">
        <v>29</v>
      </c>
      <c r="C63" s="334">
        <v>85</v>
      </c>
      <c r="D63" s="334">
        <v>11903216.404999999</v>
      </c>
      <c r="E63" s="334">
        <v>75</v>
      </c>
      <c r="F63" s="334">
        <v>7299214.7986000003</v>
      </c>
    </row>
    <row r="64" spans="1:6">
      <c r="A64" s="348" t="s">
        <v>56</v>
      </c>
      <c r="B64" s="348" t="s">
        <v>57</v>
      </c>
      <c r="C64" s="334">
        <v>0</v>
      </c>
      <c r="D64" s="334">
        <v>0</v>
      </c>
      <c r="E64" s="334">
        <v>0</v>
      </c>
      <c r="F64" s="334">
        <v>0</v>
      </c>
    </row>
    <row r="65" spans="1:6">
      <c r="A65" s="348" t="s">
        <v>56</v>
      </c>
      <c r="B65" s="348" t="s">
        <v>29</v>
      </c>
      <c r="C65" s="334">
        <v>4</v>
      </c>
      <c r="D65" s="334">
        <v>624296.71695999999</v>
      </c>
      <c r="E65" s="334">
        <v>4</v>
      </c>
      <c r="F65" s="334">
        <v>243658.97336</v>
      </c>
    </row>
    <row r="66" spans="1:6">
      <c r="A66" s="348" t="s">
        <v>56</v>
      </c>
      <c r="B66" s="348" t="s">
        <v>58</v>
      </c>
      <c r="C66" s="334">
        <v>0</v>
      </c>
      <c r="D66" s="334">
        <v>0</v>
      </c>
      <c r="E66" s="334">
        <v>20</v>
      </c>
      <c r="F66" s="334">
        <v>580901.64971999999</v>
      </c>
    </row>
    <row r="67" spans="1:6">
      <c r="A67" s="355" t="s">
        <v>56</v>
      </c>
      <c r="B67" s="355" t="s">
        <v>59</v>
      </c>
      <c r="C67" s="334">
        <v>0</v>
      </c>
      <c r="D67" s="334">
        <v>0</v>
      </c>
      <c r="E67" s="334">
        <v>0</v>
      </c>
      <c r="F67" s="334">
        <v>0</v>
      </c>
    </row>
    <row r="68" spans="1:6">
      <c r="A68" s="341" t="s">
        <v>56</v>
      </c>
      <c r="B68" s="341" t="s">
        <v>60</v>
      </c>
      <c r="C68" s="334">
        <v>0</v>
      </c>
      <c r="D68" s="334">
        <v>0</v>
      </c>
      <c r="E68" s="334">
        <v>6</v>
      </c>
      <c r="F68" s="334">
        <v>74796.351152000003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73341221</v>
      </c>
      <c r="E73" s="475">
        <v>73220889.765082404</v>
      </c>
    </row>
    <row r="74" spans="1:6">
      <c r="A74" s="348" t="s">
        <v>64</v>
      </c>
      <c r="B74" s="348" t="s">
        <v>667</v>
      </c>
      <c r="C74" s="1294" t="s">
        <v>669</v>
      </c>
      <c r="D74" s="475">
        <v>7213980.3839432783</v>
      </c>
      <c r="E74" s="475">
        <v>7330380.7005077014</v>
      </c>
    </row>
    <row r="75" spans="1:6">
      <c r="A75" s="348" t="s">
        <v>65</v>
      </c>
      <c r="B75" s="348" t="s">
        <v>666</v>
      </c>
      <c r="C75" s="1294" t="s">
        <v>670</v>
      </c>
      <c r="D75" s="475">
        <v>17562397</v>
      </c>
      <c r="E75" s="475">
        <v>16954827.123776481</v>
      </c>
    </row>
    <row r="76" spans="1:6">
      <c r="A76" s="348" t="s">
        <v>65</v>
      </c>
      <c r="B76" s="348" t="s">
        <v>667</v>
      </c>
      <c r="C76" s="1294" t="s">
        <v>671</v>
      </c>
      <c r="D76" s="475">
        <v>2128138.3839432783</v>
      </c>
      <c r="E76" s="475">
        <v>2095326.5470971304</v>
      </c>
    </row>
    <row r="77" spans="1:6">
      <c r="A77" s="348" t="s">
        <v>66</v>
      </c>
      <c r="B77" s="348" t="s">
        <v>666</v>
      </c>
      <c r="C77" s="1294" t="s">
        <v>672</v>
      </c>
      <c r="D77" s="475">
        <v>65071057</v>
      </c>
      <c r="E77" s="475">
        <v>69248230.138133615</v>
      </c>
    </row>
    <row r="78" spans="1:6">
      <c r="A78" s="341" t="s">
        <v>66</v>
      </c>
      <c r="B78" s="341" t="s">
        <v>667</v>
      </c>
      <c r="C78" s="341" t="s">
        <v>673</v>
      </c>
      <c r="D78" s="1295">
        <v>25575549</v>
      </c>
      <c r="E78" s="1295">
        <v>27069968.470664743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319809.23211344297</v>
      </c>
      <c r="C83" s="475">
        <v>319809.23211344297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2685.8521758777406</v>
      </c>
    </row>
    <row r="92" spans="1:6">
      <c r="A92" s="341" t="s">
        <v>69</v>
      </c>
      <c r="B92" s="342">
        <v>8538.8189265624442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2583</v>
      </c>
    </row>
    <row r="98" spans="1:6">
      <c r="A98" s="348" t="s">
        <v>72</v>
      </c>
      <c r="B98" s="334">
        <v>0</v>
      </c>
    </row>
    <row r="99" spans="1:6">
      <c r="A99" s="348" t="s">
        <v>73</v>
      </c>
      <c r="B99" s="334">
        <v>141</v>
      </c>
    </row>
    <row r="100" spans="1:6">
      <c r="A100" s="348" t="s">
        <v>74</v>
      </c>
      <c r="B100" s="334">
        <v>366</v>
      </c>
    </row>
    <row r="101" spans="1:6">
      <c r="A101" s="348" t="s">
        <v>75</v>
      </c>
      <c r="B101" s="334">
        <v>85</v>
      </c>
    </row>
    <row r="102" spans="1:6">
      <c r="A102" s="348" t="s">
        <v>76</v>
      </c>
      <c r="B102" s="334">
        <v>65</v>
      </c>
    </row>
    <row r="103" spans="1:6">
      <c r="A103" s="348" t="s">
        <v>77</v>
      </c>
      <c r="B103" s="334">
        <v>106</v>
      </c>
    </row>
    <row r="104" spans="1:6">
      <c r="A104" s="348" t="s">
        <v>78</v>
      </c>
      <c r="B104" s="334">
        <v>1077</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13</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6</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107811.02408876305</v>
      </c>
      <c r="C3" s="43" t="s">
        <v>170</v>
      </c>
      <c r="D3" s="43"/>
      <c r="E3" s="154"/>
      <c r="F3" s="43"/>
      <c r="G3" s="43"/>
      <c r="H3" s="43"/>
      <c r="I3" s="43"/>
      <c r="J3" s="43"/>
      <c r="K3" s="96"/>
    </row>
    <row r="4" spans="1:11">
      <c r="A4" s="383" t="s">
        <v>171</v>
      </c>
      <c r="B4" s="49">
        <f>IF(ISERROR('SEAP template'!B78+'SEAP template'!C78),0,'SEAP template'!B78+'SEAP template'!C78)</f>
        <v>12577.821102440184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311.19882352941175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0.19810345800928947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444.56974789915967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1933.0714285714287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0.22998102466793169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913.15499999999997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913.15499999999997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0.19810345800928947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180.89916319847271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16785.898275</v>
      </c>
      <c r="C5" s="17">
        <f>IF(ISERROR('Eigen informatie GS &amp; warmtenet'!B57),0,'Eigen informatie GS &amp; warmtenet'!B57)</f>
        <v>0</v>
      </c>
      <c r="D5" s="30">
        <f>(SUM(HH_hh_gas_kWh,HH_rest_gas_kWh)/1000)*0.902</f>
        <v>46016.078654127996</v>
      </c>
      <c r="E5" s="17">
        <f>B46*B57</f>
        <v>6884.6252438790525</v>
      </c>
      <c r="F5" s="17">
        <f>B51*B62</f>
        <v>0</v>
      </c>
      <c r="G5" s="18"/>
      <c r="H5" s="17"/>
      <c r="I5" s="17"/>
      <c r="J5" s="17">
        <f>B50*B61+C50*C61</f>
        <v>0</v>
      </c>
      <c r="K5" s="17"/>
      <c r="L5" s="17"/>
      <c r="M5" s="17"/>
      <c r="N5" s="17">
        <f>B48*B59+C48*C59</f>
        <v>11787.142790211859</v>
      </c>
      <c r="O5" s="17">
        <f>B69*B70*B71</f>
        <v>350.18666666666672</v>
      </c>
      <c r="P5" s="17">
        <f>B77*B78*B79/1000-B77*B78*B79/1000/B80</f>
        <v>381.33333333333337</v>
      </c>
    </row>
    <row r="6" spans="1:16">
      <c r="A6" s="16" t="s">
        <v>624</v>
      </c>
      <c r="B6" s="788">
        <f>kWh_PV_kleiner_dan_10kW</f>
        <v>2685.8521758777406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19471.750450877742</v>
      </c>
      <c r="C8" s="21">
        <f>C5</f>
        <v>0</v>
      </c>
      <c r="D8" s="21">
        <f>D5</f>
        <v>46016.078654127996</v>
      </c>
      <c r="E8" s="21">
        <f>E5</f>
        <v>6884.6252438790525</v>
      </c>
      <c r="F8" s="21">
        <f>F5</f>
        <v>0</v>
      </c>
      <c r="G8" s="21"/>
      <c r="H8" s="21"/>
      <c r="I8" s="21"/>
      <c r="J8" s="21">
        <f>J5</f>
        <v>0</v>
      </c>
      <c r="K8" s="21"/>
      <c r="L8" s="21">
        <f>L5</f>
        <v>0</v>
      </c>
      <c r="M8" s="21">
        <f>M5</f>
        <v>0</v>
      </c>
      <c r="N8" s="21">
        <f>N5</f>
        <v>11787.142790211859</v>
      </c>
      <c r="O8" s="21">
        <f>O5</f>
        <v>350.18666666666672</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0.19810345800928947</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3857.4210978128222</v>
      </c>
      <c r="C12" s="23">
        <f ca="1">C10*C8</f>
        <v>0</v>
      </c>
      <c r="D12" s="23">
        <f>D8*D10</f>
        <v>9295.2478881338557</v>
      </c>
      <c r="E12" s="23">
        <f>E10*E8</f>
        <v>1562.809930360545</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2583</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23.817567567567568</v>
      </c>
      <c r="D20" s="229"/>
      <c r="E20" s="15"/>
    </row>
    <row r="21" spans="1:7">
      <c r="A21" s="171" t="s">
        <v>74</v>
      </c>
      <c r="B21" s="37">
        <f>aantalw2001_elektriciteit</f>
        <v>366</v>
      </c>
      <c r="C21" s="167">
        <f>IF(ISERROR(B21/SUM($B$20,$B$21,$B$22)*100),0,B21/SUM($B$20,$B$21,$B$22)*100)</f>
        <v>61.824324324324323</v>
      </c>
      <c r="D21" s="229"/>
      <c r="E21" s="15"/>
    </row>
    <row r="22" spans="1:7">
      <c r="A22" s="171" t="s">
        <v>75</v>
      </c>
      <c r="B22" s="37">
        <f>aantalw2001_hout</f>
        <v>85</v>
      </c>
      <c r="C22" s="167">
        <f>IF(ISERROR(B22/SUM($B$20,$B$21,$B$22)*100),0,B22/SUM($B$20,$B$21,$B$22)*100)</f>
        <v>14.358108108108109</v>
      </c>
      <c r="D22" s="229"/>
      <c r="E22" s="15"/>
    </row>
    <row r="23" spans="1:7">
      <c r="A23" s="171" t="s">
        <v>76</v>
      </c>
      <c r="B23" s="37">
        <f>aantalw2001_niet_gespec</f>
        <v>65</v>
      </c>
      <c r="C23" s="166" t="s">
        <v>111</v>
      </c>
      <c r="D23" s="228"/>
      <c r="E23" s="15"/>
    </row>
    <row r="24" spans="1:7">
      <c r="A24" s="171" t="s">
        <v>77</v>
      </c>
      <c r="B24" s="37">
        <f>aantalw2001_steenkool</f>
        <v>106</v>
      </c>
      <c r="C24" s="166" t="s">
        <v>111</v>
      </c>
      <c r="D24" s="229"/>
      <c r="E24" s="15"/>
    </row>
    <row r="25" spans="1:7">
      <c r="A25" s="171" t="s">
        <v>78</v>
      </c>
      <c r="B25" s="37">
        <f>aantalw2001_stookolie</f>
        <v>1077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4989</v>
      </c>
      <c r="C28" s="36"/>
      <c r="D28" s="228"/>
    </row>
    <row r="29" spans="1:7" s="15" customFormat="1">
      <c r="A29" s="230" t="s">
        <v>699</v>
      </c>
      <c r="B29" s="37">
        <f>SUM(HH_hh_gas_aantal,HH_rest_gas_aantal)</f>
        <v>3691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3691</v>
      </c>
      <c r="C32" s="167">
        <f>IF(ISERROR(B32/SUM($B$32,$B$34,$B$35,$B$36,$B$38,$B$39)*100),0,B32/SUM($B$32,$B$34,$B$35,$B$36,$B$38,$B$39)*100)</f>
        <v>74.280539343932389</v>
      </c>
      <c r="D32" s="233"/>
      <c r="G32" s="15"/>
    </row>
    <row r="33" spans="1:7">
      <c r="A33" s="171" t="s">
        <v>72</v>
      </c>
      <c r="B33" s="34" t="s">
        <v>111</v>
      </c>
      <c r="C33" s="167"/>
      <c r="D33" s="233"/>
      <c r="G33" s="15"/>
    </row>
    <row r="34" spans="1:7">
      <c r="A34" s="171" t="s">
        <v>73</v>
      </c>
      <c r="B34" s="33">
        <f>IF((($B$28-$B$32-$B$39-$B$77-$B$38)*C20/100)&lt;0,0,($B$28-$B$32-$B$39-$B$77-$B$38)*C20/100)</f>
        <v>304.38851351351354</v>
      </c>
      <c r="C34" s="167">
        <f>IF(ISERROR(B34/SUM($B$32,$B$34,$B$35,$B$36,$B$38,$B$39)*100),0,B34/SUM($B$32,$B$34,$B$35,$B$36,$B$38,$B$39)*100)</f>
        <v>6.1257499197728622</v>
      </c>
      <c r="D34" s="233"/>
      <c r="G34" s="15"/>
    </row>
    <row r="35" spans="1:7">
      <c r="A35" s="171" t="s">
        <v>74</v>
      </c>
      <c r="B35" s="33">
        <f>IF((($B$28-$B$32-$B$39-$B$77-$B$38)*C21/100)&lt;0,0,($B$28-$B$32-$B$39-$B$77-$B$38)*C21/100)</f>
        <v>790.11486486486478</v>
      </c>
      <c r="C35" s="167">
        <f>IF(ISERROR(B35/SUM($B$32,$B$34,$B$35,$B$36,$B$38,$B$39)*100),0,B35/SUM($B$32,$B$34,$B$35,$B$36,$B$38,$B$39)*100)</f>
        <v>15.900882770474237</v>
      </c>
      <c r="D35" s="233"/>
      <c r="G35" s="15"/>
    </row>
    <row r="36" spans="1:7">
      <c r="A36" s="171" t="s">
        <v>75</v>
      </c>
      <c r="B36" s="33">
        <f>IF((($B$28-$B$32-$B$39-$B$77-$B$38)*C22/100)&lt;0,0,($B$28-$B$32-$B$39-$B$77-$B$38)*C22/100)</f>
        <v>183.49662162162164</v>
      </c>
      <c r="C36" s="167">
        <f>IF(ISERROR(B36/SUM($B$32,$B$34,$B$35,$B$36,$B$38,$B$39)*100),0,B36/SUM($B$32,$B$34,$B$35,$B$36,$B$38,$B$39)*100)</f>
        <v>3.6928279658205199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3691</v>
      </c>
      <c r="C44" s="34" t="s">
        <v>111</v>
      </c>
      <c r="D44" s="174"/>
    </row>
    <row r="45" spans="1:7">
      <c r="A45" s="171" t="s">
        <v>72</v>
      </c>
      <c r="B45" s="33" t="str">
        <f t="shared" si="0"/>
        <v>-</v>
      </c>
      <c r="C45" s="34" t="s">
        <v>111</v>
      </c>
      <c r="D45" s="174"/>
    </row>
    <row r="46" spans="1:7">
      <c r="A46" s="171" t="s">
        <v>73</v>
      </c>
      <c r="B46" s="33">
        <f t="shared" si="0"/>
        <v>304.38851351351354</v>
      </c>
      <c r="C46" s="34" t="s">
        <v>111</v>
      </c>
      <c r="D46" s="174"/>
    </row>
    <row r="47" spans="1:7">
      <c r="A47" s="171" t="s">
        <v>74</v>
      </c>
      <c r="B47" s="33">
        <f t="shared" si="0"/>
        <v>790.11486486486478</v>
      </c>
      <c r="C47" s="34" t="s">
        <v>111</v>
      </c>
      <c r="D47" s="174"/>
    </row>
    <row r="48" spans="1:7">
      <c r="A48" s="171" t="s">
        <v>75</v>
      </c>
      <c r="B48" s="33">
        <f t="shared" si="0"/>
        <v>183.49662162162164</v>
      </c>
      <c r="C48" s="33">
        <f>B48*10</f>
        <v>1834.9662162162165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25158.914456170001</v>
      </c>
      <c r="C5" s="17">
        <f>IF(ISERROR('Eigen informatie GS &amp; warmtenet'!B58),0,'Eigen informatie GS &amp; warmtenet'!B58)</f>
        <v>0</v>
      </c>
      <c r="D5" s="30">
        <f>SUM(D6:D12)</f>
        <v>29549.333177309003</v>
      </c>
      <c r="E5" s="17">
        <f>SUM(E6:E12)</f>
        <v>531.5830347865508</v>
      </c>
      <c r="F5" s="17">
        <f>SUM(F6:F12)</f>
        <v>6360.432028920738</v>
      </c>
      <c r="G5" s="18"/>
      <c r="H5" s="17"/>
      <c r="I5" s="17"/>
      <c r="J5" s="17">
        <f>SUM(J6:J12)</f>
        <v>0</v>
      </c>
      <c r="K5" s="17"/>
      <c r="L5" s="17"/>
      <c r="M5" s="17"/>
      <c r="N5" s="17">
        <f>SUM(N6:N12)</f>
        <v>1498.8067718675761</v>
      </c>
      <c r="O5" s="17">
        <f>B38*B39*B40</f>
        <v>9.3800000000000008</v>
      </c>
      <c r="P5" s="17">
        <f>B46*B47*B48/1000-B46*B47*B48/1000/B49</f>
        <v>38.133333333333333</v>
      </c>
      <c r="R5" s="32"/>
    </row>
    <row r="6" spans="1:18">
      <c r="A6" s="32" t="s">
        <v>54</v>
      </c>
      <c r="B6" s="37">
        <f>B26</f>
        <v>4409.7274310000003</v>
      </c>
      <c r="C6" s="33"/>
      <c r="D6" s="37">
        <f>IF(ISERROR(TER_kantoor_gas_kWh/1000),0,TER_kantoor_gas_kWh/1000)*0.902</f>
        <v>6768.1351756590002</v>
      </c>
      <c r="E6" s="33">
        <f>$C$26*'E Balans VL '!I12/100/3.6*1000000</f>
        <v>57.728764068323649</v>
      </c>
      <c r="F6" s="33">
        <f>$C$26*('E Balans VL '!L12+'E Balans VL '!N12)/100/3.6*1000000</f>
        <v>1124.4349264839323</v>
      </c>
      <c r="G6" s="34"/>
      <c r="H6" s="33"/>
      <c r="I6" s="33"/>
      <c r="J6" s="33">
        <f>$C$26*('E Balans VL '!D12+'E Balans VL '!E12)/100/3.6*1000000</f>
        <v>0</v>
      </c>
      <c r="K6" s="33"/>
      <c r="L6" s="33"/>
      <c r="M6" s="33"/>
      <c r="N6" s="33">
        <f>$C$26*'E Balans VL '!Y12/100/3.6*1000000</f>
        <v>4.424576951926503</v>
      </c>
      <c r="O6" s="33"/>
      <c r="P6" s="33"/>
      <c r="R6" s="32"/>
    </row>
    <row r="7" spans="1:18">
      <c r="A7" s="32" t="s">
        <v>53</v>
      </c>
      <c r="B7" s="37">
        <f t="shared" ref="B7:B12" si="0">B27</f>
        <v>2128.4824128</v>
      </c>
      <c r="C7" s="33"/>
      <c r="D7" s="37">
        <f>IF(ISERROR(TER_horeca_gas_kWh/1000),0,TER_horeca_gas_kWh/1000)*0.902</f>
        <v>2782.0065879298004</v>
      </c>
      <c r="E7" s="33">
        <f>$C$27*'E Balans VL '!I9/100/3.6*1000000</f>
        <v>70.439820739486393</v>
      </c>
      <c r="F7" s="33">
        <f>$C$27*('E Balans VL '!L9+'E Balans VL '!N9)/100/3.6*1000000</f>
        <v>915.23928017131072</v>
      </c>
      <c r="G7" s="34"/>
      <c r="H7" s="33"/>
      <c r="I7" s="33"/>
      <c r="J7" s="33">
        <f>$C$27*('E Balans VL '!D9+'E Balans VL '!E9)/100/3.6*1000000</f>
        <v>0</v>
      </c>
      <c r="K7" s="33"/>
      <c r="L7" s="33"/>
      <c r="M7" s="33"/>
      <c r="N7" s="33">
        <f>$C$27*'E Balans VL '!Y9/100/3.6*1000000</f>
        <v>0.5123566257175699</v>
      </c>
      <c r="O7" s="33"/>
      <c r="P7" s="33"/>
      <c r="R7" s="32"/>
    </row>
    <row r="8" spans="1:18">
      <c r="A8" s="6" t="s">
        <v>52</v>
      </c>
      <c r="B8" s="37">
        <f t="shared" si="0"/>
        <v>8617.7950529999998</v>
      </c>
      <c r="C8" s="33"/>
      <c r="D8" s="37">
        <f>IF(ISERROR(TER_handel_gas_kWh/1000),0,TER_handel_gas_kWh/1000)*0.902</f>
        <v>5144.2899344869993</v>
      </c>
      <c r="E8" s="33">
        <f>$C$28*'E Balans VL '!I13/100/3.6*1000000</f>
        <v>271.9907794715665</v>
      </c>
      <c r="F8" s="33">
        <f>$C$28*('E Balans VL '!L13+'E Balans VL '!N13)/100/3.6*1000000</f>
        <v>1690.101359842711</v>
      </c>
      <c r="G8" s="34"/>
      <c r="H8" s="33"/>
      <c r="I8" s="33"/>
      <c r="J8" s="33">
        <f>$C$28*('E Balans VL '!D13+'E Balans VL '!E13)/100/3.6*1000000</f>
        <v>0</v>
      </c>
      <c r="K8" s="33"/>
      <c r="L8" s="33"/>
      <c r="M8" s="33"/>
      <c r="N8" s="33">
        <f>$C$28*'E Balans VL '!Y13/100/3.6*1000000</f>
        <v>10.227649603541515</v>
      </c>
      <c r="O8" s="33"/>
      <c r="P8" s="33"/>
      <c r="R8" s="32"/>
    </row>
    <row r="9" spans="1:18">
      <c r="A9" s="32" t="s">
        <v>51</v>
      </c>
      <c r="B9" s="37">
        <f t="shared" si="0"/>
        <v>968.41617724999992</v>
      </c>
      <c r="C9" s="33"/>
      <c r="D9" s="37">
        <f>IF(ISERROR(TER_gezond_gas_kWh/1000),0,TER_gezond_gas_kWh/1000)*0.902</f>
        <v>917.53608534280011</v>
      </c>
      <c r="E9" s="33">
        <f>$C$29*'E Balans VL '!I10/100/3.6*1000000</f>
        <v>0.1239856010746673</v>
      </c>
      <c r="F9" s="33">
        <f>$C$29*('E Balans VL '!L10+'E Balans VL '!N10)/100/3.6*1000000</f>
        <v>201.76167976297225</v>
      </c>
      <c r="G9" s="34"/>
      <c r="H9" s="33"/>
      <c r="I9" s="33"/>
      <c r="J9" s="33">
        <f>$C$29*('E Balans VL '!D10+'E Balans VL '!E10)/100/3.6*1000000</f>
        <v>0</v>
      </c>
      <c r="K9" s="33"/>
      <c r="L9" s="33"/>
      <c r="M9" s="33"/>
      <c r="N9" s="33">
        <f>$C$29*'E Balans VL '!Y10/100/3.6*1000000</f>
        <v>11.374505735462952</v>
      </c>
      <c r="O9" s="33"/>
      <c r="P9" s="33"/>
      <c r="R9" s="32"/>
    </row>
    <row r="10" spans="1:18">
      <c r="A10" s="32" t="s">
        <v>50</v>
      </c>
      <c r="B10" s="37">
        <f t="shared" si="0"/>
        <v>1049.2665213999999</v>
      </c>
      <c r="C10" s="33"/>
      <c r="D10" s="37">
        <f>IF(ISERROR(TER_ander_gas_kWh/1000),0,TER_ander_gas_kWh/1000)*0.902</f>
        <v>1219.1162568090001</v>
      </c>
      <c r="E10" s="33">
        <f>$C$30*'E Balans VL '!I14/100/3.6*1000000</f>
        <v>1.5778500968072096</v>
      </c>
      <c r="F10" s="33">
        <f>$C$30*('E Balans VL '!L14+'E Balans VL '!N14)/100/3.6*1000000</f>
        <v>231.64422524167014</v>
      </c>
      <c r="G10" s="34"/>
      <c r="H10" s="33"/>
      <c r="I10" s="33"/>
      <c r="J10" s="33">
        <f>$C$30*('E Balans VL '!D14+'E Balans VL '!E14)/100/3.6*1000000</f>
        <v>0</v>
      </c>
      <c r="K10" s="33"/>
      <c r="L10" s="33"/>
      <c r="M10" s="33"/>
      <c r="N10" s="33">
        <f>$C$30*'E Balans VL '!Y14/100/3.6*1000000</f>
        <v>826.89263183771607</v>
      </c>
      <c r="O10" s="33"/>
      <c r="P10" s="33"/>
      <c r="R10" s="32"/>
    </row>
    <row r="11" spans="1:18">
      <c r="A11" s="32" t="s">
        <v>55</v>
      </c>
      <c r="B11" s="37">
        <f t="shared" si="0"/>
        <v>686.01206212</v>
      </c>
      <c r="C11" s="33"/>
      <c r="D11" s="37">
        <f>IF(ISERROR(TER_onderwijs_gas_kWh/1000),0,TER_onderwijs_gas_kWh/1000)*0.902</f>
        <v>1981.5479397714003</v>
      </c>
      <c r="E11" s="33">
        <f>$C$31*'E Balans VL '!I11/100/3.6*1000000</f>
        <v>1.2081247290054118</v>
      </c>
      <c r="F11" s="33">
        <f>$C$31*('E Balans VL '!L11+'E Balans VL '!N11)/100/3.6*1000000</f>
        <v>316.74418244853729</v>
      </c>
      <c r="G11" s="34"/>
      <c r="H11" s="33"/>
      <c r="I11" s="33"/>
      <c r="J11" s="33">
        <f>$C$31*('E Balans VL '!D11+'E Balans VL '!E11)/100/3.6*1000000</f>
        <v>0</v>
      </c>
      <c r="K11" s="33"/>
      <c r="L11" s="33"/>
      <c r="M11" s="33"/>
      <c r="N11" s="33">
        <f>$C$31*'E Balans VL '!Y11/100/3.6*1000000</f>
        <v>1.2780499584385603</v>
      </c>
      <c r="O11" s="33"/>
      <c r="P11" s="33"/>
      <c r="R11" s="32"/>
    </row>
    <row r="12" spans="1:18">
      <c r="A12" s="32" t="s">
        <v>260</v>
      </c>
      <c r="B12" s="37">
        <f t="shared" si="0"/>
        <v>7299.2147986</v>
      </c>
      <c r="C12" s="33"/>
      <c r="D12" s="37">
        <f>IF(ISERROR(TER_rest_gas_kWh/1000),0,TER_rest_gas_kWh/1000)*0.902</f>
        <v>10736.70119731</v>
      </c>
      <c r="E12" s="33">
        <f>$C$32*'E Balans VL '!I8/100/3.6*1000000</f>
        <v>128.51371008028696</v>
      </c>
      <c r="F12" s="33">
        <f>$C$32*('E Balans VL '!L8+'E Balans VL '!N8)/100/3.6*1000000</f>
        <v>1880.5063749696039</v>
      </c>
      <c r="G12" s="34"/>
      <c r="H12" s="33"/>
      <c r="I12" s="33"/>
      <c r="J12" s="33">
        <f>$C$32*('E Balans VL '!D8+'E Balans VL '!E8)/100/3.6*1000000</f>
        <v>0</v>
      </c>
      <c r="K12" s="33"/>
      <c r="L12" s="33"/>
      <c r="M12" s="33"/>
      <c r="N12" s="33">
        <f>$C$32*'E Balans VL '!Y8/100/3.6*1000000</f>
        <v>644.0970011547729</v>
      </c>
      <c r="O12" s="33"/>
      <c r="P12" s="33"/>
      <c r="R12" s="32"/>
    </row>
    <row r="13" spans="1:18">
      <c r="A13" s="16" t="s">
        <v>491</v>
      </c>
      <c r="B13" s="247">
        <f ca="1">'lokale energieproductie'!N91+'lokale energieproductie'!N60</f>
        <v>1309.5</v>
      </c>
      <c r="C13" s="247">
        <f ca="1">'lokale energieproductie'!O91+'lokale energieproductie'!O60</f>
        <v>1870.7142857142858</v>
      </c>
      <c r="D13" s="310">
        <f ca="1">('lokale energieproductie'!P60+'lokale energieproductie'!P91)*(-1)</f>
        <v>-3741.4285714285716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26468.414456170001</v>
      </c>
      <c r="C16" s="21">
        <f t="shared" ca="1" si="1"/>
        <v>1870.7142857142858</v>
      </c>
      <c r="D16" s="21">
        <f t="shared" ca="1" si="1"/>
        <v>25807.904605880431</v>
      </c>
      <c r="E16" s="21">
        <f t="shared" si="1"/>
        <v>531.5830347865508</v>
      </c>
      <c r="F16" s="21">
        <f t="shared" ca="1" si="1"/>
        <v>6360.432028920738</v>
      </c>
      <c r="G16" s="21">
        <f t="shared" si="1"/>
        <v>0</v>
      </c>
      <c r="H16" s="21">
        <f t="shared" si="1"/>
        <v>0</v>
      </c>
      <c r="I16" s="21">
        <f t="shared" si="1"/>
        <v>0</v>
      </c>
      <c r="J16" s="21">
        <f t="shared" si="1"/>
        <v>0</v>
      </c>
      <c r="K16" s="21">
        <f t="shared" si="1"/>
        <v>0</v>
      </c>
      <c r="L16" s="21">
        <f t="shared" ca="1" si="1"/>
        <v>0</v>
      </c>
      <c r="M16" s="21">
        <f t="shared" si="1"/>
        <v>0</v>
      </c>
      <c r="N16" s="21">
        <f t="shared" ca="1" si="1"/>
        <v>1498.8067718675761</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0.19810345800928947</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5243.4844317903444</v>
      </c>
      <c r="C20" s="23">
        <f t="shared" ref="C20:P20" ca="1" si="2">C16*C18</f>
        <v>430.22878828950934</v>
      </c>
      <c r="D20" s="23">
        <f t="shared" ca="1" si="2"/>
        <v>5213.1967303878473</v>
      </c>
      <c r="E20" s="23">
        <f t="shared" si="2"/>
        <v>120.66934889654704</v>
      </c>
      <c r="F20" s="23">
        <f t="shared" ca="1" si="2"/>
        <v>1698.2353517218371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4409.7274310000003</v>
      </c>
      <c r="C26" s="39">
        <f>IF(ISERROR(B26*3.6/1000000/'E Balans VL '!Z12*100),0,B26*3.6/1000000/'E Balans VL '!Z12*100)</f>
        <v>9.4459787355862745E-2</v>
      </c>
      <c r="D26" s="237" t="s">
        <v>660</v>
      </c>
      <c r="F26" s="6"/>
    </row>
    <row r="27" spans="1:18">
      <c r="A27" s="231" t="s">
        <v>53</v>
      </c>
      <c r="B27" s="33">
        <f>IF(ISERROR(TER_horeca_ele_kWh/1000),0,TER_horeca_ele_kWh/1000)</f>
        <v>2128.4824128</v>
      </c>
      <c r="C27" s="39">
        <f>IF(ISERROR(B27*3.6/1000000/'E Balans VL '!Z9*100),0,B27*3.6/1000000/'E Balans VL '!Z9*100)</f>
        <v>0.17080331509785113</v>
      </c>
      <c r="D27" s="237" t="s">
        <v>660</v>
      </c>
      <c r="F27" s="6"/>
    </row>
    <row r="28" spans="1:18">
      <c r="A28" s="171" t="s">
        <v>52</v>
      </c>
      <c r="B28" s="33">
        <f>IF(ISERROR(TER_handel_ele_kWh/1000),0,TER_handel_ele_kWh/1000)</f>
        <v>8617.7950529999998</v>
      </c>
      <c r="C28" s="39">
        <f>IF(ISERROR(B28*3.6/1000000/'E Balans VL '!Z13*100),0,B28*3.6/1000000/'E Balans VL '!Z13*100)</f>
        <v>0.2541755243626666</v>
      </c>
      <c r="D28" s="237" t="s">
        <v>660</v>
      </c>
      <c r="F28" s="6"/>
    </row>
    <row r="29" spans="1:18">
      <c r="A29" s="231" t="s">
        <v>51</v>
      </c>
      <c r="B29" s="33">
        <f>IF(ISERROR(TER_gezond_ele_kWh/1000),0,TER_gezond_ele_kWh/1000)</f>
        <v>968.41617724999992</v>
      </c>
      <c r="C29" s="39">
        <f>IF(ISERROR(B29*3.6/1000000/'E Balans VL '!Z10*100),0,B29*3.6/1000000/'E Balans VL '!Z10*100)</f>
        <v>0.10340088351893802</v>
      </c>
      <c r="D29" s="237" t="s">
        <v>660</v>
      </c>
      <c r="F29" s="6"/>
    </row>
    <row r="30" spans="1:18">
      <c r="A30" s="231" t="s">
        <v>50</v>
      </c>
      <c r="B30" s="33">
        <f>IF(ISERROR(TER_ander_ele_kWh/1000),0,TER_ander_ele_kWh/1000)</f>
        <v>1049.2665213999999</v>
      </c>
      <c r="C30" s="39">
        <f>IF(ISERROR(B30*3.6/1000000/'E Balans VL '!Z14*100),0,B30*3.6/1000000/'E Balans VL '!Z14*100)</f>
        <v>7.9255220664772197E-2</v>
      </c>
      <c r="D30" s="237" t="s">
        <v>660</v>
      </c>
      <c r="F30" s="6"/>
    </row>
    <row r="31" spans="1:18">
      <c r="A31" s="231" t="s">
        <v>55</v>
      </c>
      <c r="B31" s="33">
        <f>IF(ISERROR(TER_onderwijs_ele_kWh/1000),0,TER_onderwijs_ele_kWh/1000)</f>
        <v>686.01206212</v>
      </c>
      <c r="C31" s="39">
        <f>IF(ISERROR(B31*3.6/1000000/'E Balans VL '!Z11*100),0,B31*3.6/1000000/'E Balans VL '!Z11*100)</f>
        <v>0.13852873619384884</v>
      </c>
      <c r="D31" s="237" t="s">
        <v>660</v>
      </c>
    </row>
    <row r="32" spans="1:18">
      <c r="A32" s="231" t="s">
        <v>260</v>
      </c>
      <c r="B32" s="33">
        <f>IF(ISERROR(TER_rest_ele_kWh/1000),0,TER_rest_ele_kWh/1000)</f>
        <v>7299.2147986</v>
      </c>
      <c r="C32" s="39">
        <f>IF(ISERROR(B32*3.6/1000000/'E Balans VL '!Z8*100),0,B32*3.6/1000000/'E Balans VL '!Z8*100)</f>
        <v>6.0520654763676129E-2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53753.970097099002</v>
      </c>
      <c r="C5" s="17">
        <f>IF(ISERROR('Eigen informatie GS &amp; warmtenet'!B59),0,'Eigen informatie GS &amp; warmtenet'!B59)</f>
        <v>0</v>
      </c>
      <c r="D5" s="30">
        <f>SUM(D6:D15)</f>
        <v>156139.85903891234</v>
      </c>
      <c r="E5" s="17">
        <f>SUM(E6:E15)</f>
        <v>3863.7320612554354</v>
      </c>
      <c r="F5" s="17">
        <f>SUM(F6:F15)</f>
        <v>17009.633891332796</v>
      </c>
      <c r="G5" s="18"/>
      <c r="H5" s="17"/>
      <c r="I5" s="17"/>
      <c r="J5" s="17">
        <f>SUM(J6:J15)</f>
        <v>200.72588604088671</v>
      </c>
      <c r="K5" s="17"/>
      <c r="L5" s="17"/>
      <c r="M5" s="17"/>
      <c r="N5" s="17">
        <f>SUM(N6:N15)</f>
        <v>15106.715350550918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730.7214212099999</v>
      </c>
      <c r="C8" s="33"/>
      <c r="D8" s="37">
        <f>IF( ISERROR(IND_metaal_Gas_kWH/1000),0,IND_metaal_Gas_kWH/1000)*0.902</f>
        <v>200.59222301712001</v>
      </c>
      <c r="E8" s="33">
        <f>C30*'E Balans VL '!I18/100/3.6*1000000</f>
        <v>26.293567317285913</v>
      </c>
      <c r="F8" s="33">
        <f>C30*'E Balans VL '!L18/100/3.6*1000000+C30*'E Balans VL '!N18/100/3.6*1000000</f>
        <v>319.08235720245995</v>
      </c>
      <c r="G8" s="34"/>
      <c r="H8" s="33"/>
      <c r="I8" s="33"/>
      <c r="J8" s="40">
        <f>C30*'E Balans VL '!D18/100/3.6*1000000+C30*'E Balans VL '!E18/100/3.6*1000000</f>
        <v>0</v>
      </c>
      <c r="K8" s="33"/>
      <c r="L8" s="33"/>
      <c r="M8" s="33"/>
      <c r="N8" s="33">
        <f>C30*'E Balans VL '!Y18/100/3.6*1000000</f>
        <v>36.623261053222301</v>
      </c>
      <c r="O8" s="33"/>
      <c r="P8" s="33"/>
      <c r="R8" s="32"/>
    </row>
    <row r="9" spans="1:18">
      <c r="A9" s="6" t="s">
        <v>33</v>
      </c>
      <c r="B9" s="37">
        <f t="shared" si="0"/>
        <v>7730.9027339000004</v>
      </c>
      <c r="C9" s="33"/>
      <c r="D9" s="37">
        <f>IF( ISERROR(IND_andere_gas_kWh/1000),0,IND_andere_gas_kWh/1000)*0.902</f>
        <v>1486.4202008809998</v>
      </c>
      <c r="E9" s="33">
        <f>C31*'E Balans VL '!I19/100/3.6*1000000</f>
        <v>1972.7514611176944</v>
      </c>
      <c r="F9" s="33">
        <f>C31*'E Balans VL '!L19/100/3.6*1000000+C31*'E Balans VL '!N19/100/3.6*1000000</f>
        <v>6655.7261766480779</v>
      </c>
      <c r="G9" s="34"/>
      <c r="H9" s="33"/>
      <c r="I9" s="33"/>
      <c r="J9" s="40">
        <f>C31*'E Balans VL '!D19/100/3.6*1000000+C31*'E Balans VL '!E19/100/3.6*1000000</f>
        <v>0</v>
      </c>
      <c r="K9" s="33"/>
      <c r="L9" s="33"/>
      <c r="M9" s="33"/>
      <c r="N9" s="33">
        <f>C31*'E Balans VL '!Y19/100/3.6*1000000</f>
        <v>2417.7180406583971</v>
      </c>
      <c r="O9" s="33"/>
      <c r="P9" s="33"/>
      <c r="R9" s="32"/>
    </row>
    <row r="10" spans="1:18">
      <c r="A10" s="6" t="s">
        <v>41</v>
      </c>
      <c r="B10" s="37">
        <f t="shared" si="0"/>
        <v>20448.870480999998</v>
      </c>
      <c r="C10" s="33"/>
      <c r="D10" s="37">
        <f>IF( ISERROR(IND_voed_gas_kWh/1000),0,IND_voed_gas_kWh/1000)*0.902</f>
        <v>1805.2767648542001</v>
      </c>
      <c r="E10" s="33">
        <f>C32*'E Balans VL '!I20/100/3.6*1000000</f>
        <v>519.83836622718422</v>
      </c>
      <c r="F10" s="33">
        <f>C32*'E Balans VL '!L20/100/3.6*1000000+C32*'E Balans VL '!N20/100/3.6*1000000</f>
        <v>4627.2724258317858</v>
      </c>
      <c r="G10" s="34"/>
      <c r="H10" s="33"/>
      <c r="I10" s="33"/>
      <c r="J10" s="40">
        <f>C32*'E Balans VL '!D20/100/3.6*1000000+C32*'E Balans VL '!E20/100/3.6*1000000</f>
        <v>0</v>
      </c>
      <c r="K10" s="33"/>
      <c r="L10" s="33"/>
      <c r="M10" s="33"/>
      <c r="N10" s="33">
        <f>C32*'E Balans VL '!Y20/100/3.6*1000000</f>
        <v>7668.8807188115798</v>
      </c>
      <c r="O10" s="33"/>
      <c r="P10" s="33"/>
      <c r="R10" s="32"/>
    </row>
    <row r="11" spans="1:18">
      <c r="A11" s="6" t="s">
        <v>40</v>
      </c>
      <c r="B11" s="37">
        <f t="shared" si="0"/>
        <v>17.678528867000001</v>
      </c>
      <c r="C11" s="33"/>
      <c r="D11" s="37">
        <f>IF( ISERROR(IND_textiel_gas_kWh/1000),0,IND_textiel_gas_kWh/1000)*0.902</f>
        <v>0</v>
      </c>
      <c r="E11" s="33">
        <f>C33*'E Balans VL '!I21/100/3.6*1000000</f>
        <v>4.8532315900285006E-2</v>
      </c>
      <c r="F11" s="33">
        <f>C33*'E Balans VL '!L21/100/3.6*1000000+C33*'E Balans VL '!N21/100/3.6*1000000</f>
        <v>0.9372419246051179</v>
      </c>
      <c r="G11" s="34"/>
      <c r="H11" s="33"/>
      <c r="I11" s="33"/>
      <c r="J11" s="40">
        <f>C33*'E Balans VL '!D21/100/3.6*1000000+C33*'E Balans VL '!E21/100/3.6*1000000</f>
        <v>0</v>
      </c>
      <c r="K11" s="33"/>
      <c r="L11" s="33"/>
      <c r="M11" s="33"/>
      <c r="N11" s="33">
        <f>C33*'E Balans VL '!Y21/100/3.6*1000000</f>
        <v>3.5530917533638302E-2</v>
      </c>
      <c r="O11" s="33"/>
      <c r="P11" s="33"/>
      <c r="R11" s="32"/>
    </row>
    <row r="12" spans="1:18">
      <c r="A12" s="6" t="s">
        <v>37</v>
      </c>
      <c r="B12" s="37">
        <f t="shared" si="0"/>
        <v>77.746558121999996</v>
      </c>
      <c r="C12" s="33"/>
      <c r="D12" s="37">
        <f>IF( ISERROR(IND_min_gas_kWh/1000),0,IND_min_gas_kWh/1000)*0.902</f>
        <v>0</v>
      </c>
      <c r="E12" s="33">
        <f>C34*'E Balans VL '!I22/100/3.6*1000000</f>
        <v>1.6519195099413966</v>
      </c>
      <c r="F12" s="33">
        <f>C34*'E Balans VL '!L22/100/3.6*1000000+C34*'E Balans VL '!N22/100/3.6*1000000</f>
        <v>12.685013521439634</v>
      </c>
      <c r="G12" s="34"/>
      <c r="H12" s="33"/>
      <c r="I12" s="33"/>
      <c r="J12" s="40">
        <f>C34*'E Balans VL '!D22/100/3.6*1000000+C34*'E Balans VL '!E22/100/3.6*1000000</f>
        <v>9.0581995560736317E-2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24748.050374000002</v>
      </c>
      <c r="C15" s="33"/>
      <c r="D15" s="37">
        <f>IF( ISERROR(IND_rest_gas_kWh/1000),0,IND_rest_gas_kWh/1000)*0.902</f>
        <v>152647.56985016001</v>
      </c>
      <c r="E15" s="33">
        <f>C37*'E Balans VL '!I15/100/3.6*1000000</f>
        <v>1343.1482147674292</v>
      </c>
      <c r="F15" s="33">
        <f>C37*'E Balans VL '!L15/100/3.6*1000000+C37*'E Balans VL '!N15/100/3.6*1000000</f>
        <v>5393.9306762044289</v>
      </c>
      <c r="G15" s="34"/>
      <c r="H15" s="33"/>
      <c r="I15" s="33"/>
      <c r="J15" s="40">
        <f>C37*'E Balans VL '!D15/100/3.6*1000000+C37*'E Balans VL '!E15/100/3.6*1000000</f>
        <v>200.63530404532597</v>
      </c>
      <c r="K15" s="33"/>
      <c r="L15" s="33"/>
      <c r="M15" s="33"/>
      <c r="N15" s="33">
        <f>C37*'E Balans VL '!Y15/100/3.6*1000000</f>
        <v>4983.4577991101851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53753.970097099002</v>
      </c>
      <c r="C18" s="21">
        <f>C5+C16</f>
        <v>0</v>
      </c>
      <c r="D18" s="21">
        <f>MAX((D5+D16),0)</f>
        <v>156139.85903891234</v>
      </c>
      <c r="E18" s="21">
        <f>MAX((E5+E16),0)</f>
        <v>3863.7320612554354</v>
      </c>
      <c r="F18" s="21">
        <f>MAX((F5+F16),0)</f>
        <v>17009.633891332796</v>
      </c>
      <c r="G18" s="21"/>
      <c r="H18" s="21"/>
      <c r="I18" s="21"/>
      <c r="J18" s="21">
        <f>MAX((J5+J16),0)</f>
        <v>200.72588604088671</v>
      </c>
      <c r="K18" s="21"/>
      <c r="L18" s="21">
        <f>MAX((L5+L16),0)</f>
        <v>0</v>
      </c>
      <c r="M18" s="21"/>
      <c r="N18" s="21">
        <f>MAX((N5+N16),0)</f>
        <v>15106.715350550918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0.19810345800928947</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10648.847357963254</v>
      </c>
      <c r="C22" s="23">
        <f ca="1">C18*C20</f>
        <v>0</v>
      </c>
      <c r="D22" s="23">
        <f>D18*D20</f>
        <v>31540.251525860294</v>
      </c>
      <c r="E22" s="23">
        <f>E18*E20</f>
        <v>877.06717790498385</v>
      </c>
      <c r="F22" s="23">
        <f>F18*F20</f>
        <v>4541.5722489858572</v>
      </c>
      <c r="G22" s="23"/>
      <c r="H22" s="23"/>
      <c r="I22" s="23"/>
      <c r="J22" s="23">
        <f>J18*J20</f>
        <v>71.05696365847389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730.7214212099999</v>
      </c>
      <c r="C30" s="39">
        <f>IF(ISERROR(B30*3.6/1000000/'E Balans VL '!Z18*100),0,B30*3.6/1000000/'E Balans VL '!Z18*100)</f>
        <v>0.15482420290002089</v>
      </c>
      <c r="D30" s="237" t="s">
        <v>660</v>
      </c>
    </row>
    <row r="31" spans="1:18">
      <c r="A31" s="6" t="s">
        <v>33</v>
      </c>
      <c r="B31" s="37">
        <f>IF( ISERROR(IND_ander_ele_kWh/1000),0,IND_ander_ele_kWh/1000)</f>
        <v>7730.9027339000004</v>
      </c>
      <c r="C31" s="39">
        <f>IF(ISERROR(B31*3.6/1000000/'E Balans VL '!Z19*100),0,B31*3.6/1000000/'E Balans VL '!Z19*100)</f>
        <v>0.3254112503611602</v>
      </c>
      <c r="D31" s="237" t="s">
        <v>660</v>
      </c>
    </row>
    <row r="32" spans="1:18">
      <c r="A32" s="171" t="s">
        <v>41</v>
      </c>
      <c r="B32" s="37">
        <f>IF( ISERROR(IND_voed_ele_kWh/1000),0,IND_voed_ele_kWh/1000)</f>
        <v>20448.870480999998</v>
      </c>
      <c r="C32" s="39">
        <f>IF(ISERROR(B32*3.6/1000000/'E Balans VL '!Z20*100),0,B32*3.6/1000000/'E Balans VL '!Z20*100)</f>
        <v>3.4162151769081612</v>
      </c>
      <c r="D32" s="237" t="s">
        <v>660</v>
      </c>
    </row>
    <row r="33" spans="1:5">
      <c r="A33" s="171" t="s">
        <v>40</v>
      </c>
      <c r="B33" s="37">
        <f>IF( ISERROR(IND_textiel_ele_kWh/1000),0,IND_textiel_ele_kWh/1000)</f>
        <v>17.678528867000001</v>
      </c>
      <c r="C33" s="39">
        <f>IF(ISERROR(B33*3.6/1000000/'E Balans VL '!Z21*100),0,B33*3.6/1000000/'E Balans VL '!Z21*100)</f>
        <v>1.0321254185515847E-3</v>
      </c>
      <c r="D33" s="237" t="s">
        <v>660</v>
      </c>
    </row>
    <row r="34" spans="1:5">
      <c r="A34" s="171" t="s">
        <v>37</v>
      </c>
      <c r="B34" s="37">
        <f>IF( ISERROR(IND_min_ele_kWh/1000),0,IND_min_ele_kWh/1000)</f>
        <v>77.746558121999996</v>
      </c>
      <c r="C34" s="39">
        <f>IF(ISERROR(B34*3.6/1000000/'E Balans VL '!Z22*100),0,B34*3.6/1000000/'E Balans VL '!Z22*100)</f>
        <v>9.8547955279131051E-3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24748.050374000002</v>
      </c>
      <c r="C37" s="39">
        <f>IF(ISERROR(B37*3.6/1000000/'E Balans VL '!Z15*100),0,B37*3.6/1000000/'E Balans VL '!Z15*100)</f>
        <v>0.19980059355362631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5486.7236917939999</v>
      </c>
      <c r="C5" s="17">
        <f>'Eigen informatie GS &amp; warmtenet'!B60</f>
        <v>0</v>
      </c>
      <c r="D5" s="30">
        <f>IF(ISERROR(SUM(LB_lb_gas_kWh,LB_rest_gas_kWh)/1000),0,SUM(LB_lb_gas_kWh,LB_rest_gas_kWh)/1000)*0.902</f>
        <v>205.942640976776</v>
      </c>
      <c r="E5" s="17">
        <f>B17*'E Balans VL '!I25/3.6*1000000/100</f>
        <v>141.48153742799869</v>
      </c>
      <c r="F5" s="17">
        <f>B17*('E Balans VL '!L25/3.6*1000000+'E Balans VL '!N25/3.6*1000000)/100</f>
        <v>20055.019989276123</v>
      </c>
      <c r="G5" s="18"/>
      <c r="H5" s="17"/>
      <c r="I5" s="17"/>
      <c r="J5" s="17">
        <f>('E Balans VL '!D25+'E Balans VL '!E25)/3.6*1000000*landbouw!B17/100</f>
        <v>789.88637339542561</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5486.7236917939999</v>
      </c>
      <c r="C8" s="21">
        <f>C5+C6</f>
        <v>62.357142857142847</v>
      </c>
      <c r="D8" s="21">
        <f>MAX((D5+D6),0)</f>
        <v>205.942640976776</v>
      </c>
      <c r="E8" s="21">
        <f>MAX((E5+E6),0)</f>
        <v>141.48153742799869</v>
      </c>
      <c r="F8" s="21">
        <f>MAX((F5+F6),0)</f>
        <v>20055.019989276123</v>
      </c>
      <c r="G8" s="21"/>
      <c r="H8" s="21"/>
      <c r="I8" s="21"/>
      <c r="J8" s="21">
        <f>MAX((J5+J6),0)</f>
        <v>789.88637339542561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0.19810345800928947</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1086.9389364858864</v>
      </c>
      <c r="C12" s="23">
        <f ca="1">C8*C10</f>
        <v>14.340959609650309</v>
      </c>
      <c r="D12" s="23">
        <f>D8*D10</f>
        <v>41.600413477308756</v>
      </c>
      <c r="E12" s="23">
        <f>E8*E10</f>
        <v>32.116308996155702</v>
      </c>
      <c r="F12" s="23">
        <f>F8*F10</f>
        <v>5354.6903371367252</v>
      </c>
      <c r="G12" s="23"/>
      <c r="H12" s="23"/>
      <c r="I12" s="23"/>
      <c r="J12" s="23">
        <f>J8*J10</f>
        <v>279.61977618198063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0.77366438378576852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950.45364291600504</v>
      </c>
      <c r="C26" s="247">
        <f>B26*'GWP N2O_CH4'!B5</f>
        <v>19959.526501236105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472.06820547738937</v>
      </c>
      <c r="C27" s="247">
        <f>B27*'GWP N2O_CH4'!B5</f>
        <v>9913.4323150251766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14.369535762796133</v>
      </c>
      <c r="C28" s="247">
        <f>B28*'GWP N2O_CH4'!B4</f>
        <v>4454.5560864668014</v>
      </c>
      <c r="D28" s="50"/>
    </row>
    <row r="29" spans="1:4">
      <c r="A29" s="41" t="s">
        <v>277</v>
      </c>
      <c r="B29" s="247">
        <f>B34*'ha_N2O bodem landbouw'!B4</f>
        <v>53.43226279855498</v>
      </c>
      <c r="C29" s="247">
        <f>B29*'GWP N2O_CH4'!B4</f>
        <v>16564.001467552043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1.2025162723299126E-2</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1.3158130796026864E-4</v>
      </c>
      <c r="C5" s="463" t="s">
        <v>211</v>
      </c>
      <c r="D5" s="448">
        <f>SUM(D6:D11)</f>
        <v>2.8925063481205726E-4</v>
      </c>
      <c r="E5" s="448">
        <f>SUM(E6:E11)</f>
        <v>1.2334576159485407E-3</v>
      </c>
      <c r="F5" s="461" t="s">
        <v>211</v>
      </c>
      <c r="G5" s="448">
        <f>SUM(G6:G11)</f>
        <v>0.60566295024194483</v>
      </c>
      <c r="H5" s="448">
        <f>SUM(H6:H11)</f>
        <v>7.928665828144367E-2</v>
      </c>
      <c r="I5" s="463" t="s">
        <v>211</v>
      </c>
      <c r="J5" s="463" t="s">
        <v>211</v>
      </c>
      <c r="K5" s="463" t="s">
        <v>211</v>
      </c>
      <c r="L5" s="463" t="s">
        <v>211</v>
      </c>
      <c r="M5" s="448">
        <f>SUM(M6:M11)</f>
        <v>2.1455707166069867E-2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6.1871158164510492E-5</v>
      </c>
      <c r="C6" s="449"/>
      <c r="D6" s="892">
        <f>vkm_2011_GW_PW*SUMIFS(TableVerdeelsleutelVkm[CNG],TableVerdeelsleutelVkm[Voertuigtype],"Lichte voertuigen")*SUMIFS(TableECFTransport[EnergieConsumptieFactor (PJ per km)],TableECFTransport[Index],CONCATENATE($A6,"_CNG_CNG"))</f>
        <v>1.229390750411565E-4</v>
      </c>
      <c r="E6" s="892">
        <f>vkm_2011_GW_PW*SUMIFS(TableVerdeelsleutelVkm[LPG],TableVerdeelsleutelVkm[Voertuigtype],"Lichte voertuigen")*SUMIFS(TableECFTransport[EnergieConsumptieFactor (PJ per km)],TableECFTransport[Index],CONCATENATE($A6,"_LPG_LPG"))</f>
        <v>4.8380933064164251E-4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0.11503325836044694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3.3283306153946743E-2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4.6216811077866519E-3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6.9125786131875672E-2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2.2330581525399762E-5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2.1780477533045088E-3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1.4815758828652781E-5</v>
      </c>
      <c r="C8" s="449"/>
      <c r="D8" s="451">
        <f>vkm_2011_NGW_PW*SUMIFS(TableVerdeelsleutelVkm[CNG],TableVerdeelsleutelVkm[Voertuigtype],"Lichte voertuigen")*SUMIFS(TableECFTransport[EnergieConsumptieFactor (PJ per km)],TableECFTransport[Index],CONCATENATE($A8,"_CNG_CNG"))</f>
        <v>5.2126035042169384E-5</v>
      </c>
      <c r="E8" s="451">
        <f>vkm_2011_NGW_PW*SUMIFS(TableVerdeelsleutelVkm[LPG],TableVerdeelsleutelVkm[Voertuigtype],"Lichte voertuigen")*SUMIFS(TableECFTransport[EnergieConsumptieFactor (PJ per km)],TableECFTransport[Index],CONCATENATE($A8,"_LPG_LPG"))</f>
        <v>1.8971329608371992E-4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4.2121684765502529E-2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1.3683847497358891E-2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1.7372044434632126E-3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2.6028713188533281E-2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7.9519925792982222E-6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8.201112379445962E-4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5.4894390967105363E-5</v>
      </c>
      <c r="C10" s="449"/>
      <c r="D10" s="451">
        <f>vkm_2011_SW_PW*SUMIFS(TableVerdeelsleutelVkm[CNG],TableVerdeelsleutelVkm[Voertuigtype],"Lichte voertuigen")*SUMIFS(TableECFTransport[EnergieConsumptieFactor (PJ per km)],TableECFTransport[Index],CONCATENATE($A10,"_CNG_CNG"))</f>
        <v>1.1418552472873138E-4</v>
      </c>
      <c r="E10" s="451">
        <f>vkm_2011_SW_PW*SUMIFS(TableVerdeelsleutelVkm[LPG],TableVerdeelsleutelVkm[Voertuigtype],"Lichte voertuigen")*SUMIFS(TableECFTransport[EnergieConsumptieFactor (PJ per km)],TableECFTransport[Index],CONCATENATE($A10,"_LPG_LPG"))</f>
        <v>5.5993498922317841E-4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0.11925972374167143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3.2207743727043957E-2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4.7225500278653808E-3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0.23409378405391493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8.1478328989389572E-5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7.3761125957055159E-3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36.550363322296846</v>
      </c>
      <c r="C14" s="21"/>
      <c r="D14" s="21">
        <f t="shared" ref="D14:M14" si="0">((D5)*10^9/3600)+D12</f>
        <v>80.347398558904786</v>
      </c>
      <c r="E14" s="21">
        <f t="shared" si="0"/>
        <v>342.62711554126128</v>
      </c>
      <c r="F14" s="21"/>
      <c r="G14" s="21">
        <f t="shared" si="0"/>
        <v>168239.70840054023</v>
      </c>
      <c r="H14" s="21">
        <f t="shared" si="0"/>
        <v>22024.071744845463</v>
      </c>
      <c r="I14" s="21"/>
      <c r="J14" s="21"/>
      <c r="K14" s="21"/>
      <c r="L14" s="21"/>
      <c r="M14" s="21">
        <f t="shared" si="0"/>
        <v>5959.9186572416302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0.19810345800928947</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7.2407533656429068</v>
      </c>
      <c r="C18" s="23"/>
      <c r="D18" s="23">
        <f t="shared" ref="D18:M18" si="1">D14*D16</f>
        <v>16.230174508898767</v>
      </c>
      <c r="E18" s="23">
        <f t="shared" si="1"/>
        <v>77.776355227866318</v>
      </c>
      <c r="F18" s="23"/>
      <c r="G18" s="23">
        <f t="shared" si="1"/>
        <v>44920.002142944242</v>
      </c>
      <c r="H18" s="23">
        <f t="shared" si="1"/>
        <v>5483.9938644665208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4.1576065225046406E-3</v>
      </c>
      <c r="H50" s="321">
        <f t="shared" si="2"/>
        <v>0</v>
      </c>
      <c r="I50" s="321">
        <f t="shared" si="2"/>
        <v>0</v>
      </c>
      <c r="J50" s="321">
        <f t="shared" si="2"/>
        <v>0</v>
      </c>
      <c r="K50" s="321">
        <f t="shared" si="2"/>
        <v>0</v>
      </c>
      <c r="L50" s="321">
        <f t="shared" si="2"/>
        <v>0</v>
      </c>
      <c r="M50" s="321">
        <f t="shared" si="2"/>
        <v>1.289596530052523E-4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4.1576065225046406E-3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1.289596530052523E-4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1154.8907006957336</v>
      </c>
      <c r="H54" s="21">
        <f t="shared" si="3"/>
        <v>0</v>
      </c>
      <c r="I54" s="21">
        <f t="shared" si="3"/>
        <v>0</v>
      </c>
      <c r="J54" s="21">
        <f t="shared" si="3"/>
        <v>0</v>
      </c>
      <c r="K54" s="21">
        <f t="shared" si="3"/>
        <v>0</v>
      </c>
      <c r="L54" s="21">
        <f t="shared" si="3"/>
        <v>0</v>
      </c>
      <c r="M54" s="21">
        <f t="shared" si="3"/>
        <v>35.822125834792303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0.19810345800928947</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308.35581708576086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27381.56945617</v>
      </c>
      <c r="D10" s="1012">
        <f ca="1">tertiair!C16</f>
        <v>1870.7142857142858</v>
      </c>
      <c r="E10" s="1012">
        <f ca="1">tertiair!D16</f>
        <v>25807.904605880431</v>
      </c>
      <c r="F10" s="1012">
        <f>tertiair!E16</f>
        <v>531.5830347865508</v>
      </c>
      <c r="G10" s="1012">
        <f ca="1">tertiair!F16</f>
        <v>6360.432028920738</v>
      </c>
      <c r="H10" s="1012">
        <f>tertiair!G16</f>
        <v>0</v>
      </c>
      <c r="I10" s="1012">
        <f>tertiair!H16</f>
        <v>0</v>
      </c>
      <c r="J10" s="1012">
        <f>tertiair!I16</f>
        <v>0</v>
      </c>
      <c r="K10" s="1012">
        <f>tertiair!J16</f>
        <v>0</v>
      </c>
      <c r="L10" s="1012">
        <f>tertiair!K16</f>
        <v>0</v>
      </c>
      <c r="M10" s="1012">
        <f ca="1">tertiair!L16</f>
        <v>0</v>
      </c>
      <c r="N10" s="1012">
        <f>tertiair!M16</f>
        <v>0</v>
      </c>
      <c r="O10" s="1012">
        <f ca="1">tertiair!N16</f>
        <v>1498.8067718675761</v>
      </c>
      <c r="P10" s="1012">
        <f>tertiair!O16</f>
        <v>9.3800000000000008</v>
      </c>
      <c r="Q10" s="1013">
        <f>tertiair!P16</f>
        <v>38.133333333333333</v>
      </c>
      <c r="R10" s="700">
        <f ca="1">SUM(C10:Q10)</f>
        <v>63498.523516672911</v>
      </c>
      <c r="S10" s="67"/>
    </row>
    <row r="11" spans="1:19" s="473" customFormat="1">
      <c r="A11" s="809" t="s">
        <v>225</v>
      </c>
      <c r="B11" s="814"/>
      <c r="C11" s="1012">
        <f>huishoudens!B8</f>
        <v>19471.750450877742</v>
      </c>
      <c r="D11" s="1012">
        <f>huishoudens!C8</f>
        <v>0</v>
      </c>
      <c r="E11" s="1012">
        <f>huishoudens!D8</f>
        <v>46016.078654127996</v>
      </c>
      <c r="F11" s="1012">
        <f>huishoudens!E8</f>
        <v>6884.6252438790525</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11787.142790211859</v>
      </c>
      <c r="P11" s="1012">
        <f>huishoudens!O8</f>
        <v>350.18666666666672</v>
      </c>
      <c r="Q11" s="1013">
        <f>huishoudens!P8</f>
        <v>381.33333333333337</v>
      </c>
      <c r="R11" s="700">
        <f>SUM(C11:Q11)</f>
        <v>84891.117139096634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53753.970097099002</v>
      </c>
      <c r="D13" s="1012">
        <f>industrie!C18</f>
        <v>0</v>
      </c>
      <c r="E13" s="1012">
        <f>industrie!D18</f>
        <v>156139.85903891234</v>
      </c>
      <c r="F13" s="1012">
        <f>industrie!E18</f>
        <v>3863.7320612554354</v>
      </c>
      <c r="G13" s="1012">
        <f>industrie!F18</f>
        <v>17009.633891332796</v>
      </c>
      <c r="H13" s="1012">
        <f>industrie!G18</f>
        <v>0</v>
      </c>
      <c r="I13" s="1012">
        <f>industrie!H18</f>
        <v>0</v>
      </c>
      <c r="J13" s="1012">
        <f>industrie!I18</f>
        <v>0</v>
      </c>
      <c r="K13" s="1012">
        <f>industrie!J18</f>
        <v>200.72588604088671</v>
      </c>
      <c r="L13" s="1012">
        <f>industrie!K18</f>
        <v>0</v>
      </c>
      <c r="M13" s="1012">
        <f>industrie!L18</f>
        <v>0</v>
      </c>
      <c r="N13" s="1012">
        <f>industrie!M18</f>
        <v>0</v>
      </c>
      <c r="O13" s="1012">
        <f>industrie!N18</f>
        <v>15106.715350550918</v>
      </c>
      <c r="P13" s="1012">
        <f>industrie!O18</f>
        <v>0</v>
      </c>
      <c r="Q13" s="1013">
        <f>industrie!P18</f>
        <v>0</v>
      </c>
      <c r="R13" s="700">
        <f>SUM(C13:Q13)</f>
        <v>246074.63632519139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100607.29000414675</v>
      </c>
      <c r="D16" s="732">
        <f t="shared" ref="D16:R16" ca="1" si="0">SUM(D9:D15)</f>
        <v>1870.7142857142858</v>
      </c>
      <c r="E16" s="732">
        <f t="shared" ca="1" si="0"/>
        <v>227963.84229892076</v>
      </c>
      <c r="F16" s="732">
        <f t="shared" si="0"/>
        <v>11279.940339921039</v>
      </c>
      <c r="G16" s="732">
        <f t="shared" ca="1" si="0"/>
        <v>23370.065920253535</v>
      </c>
      <c r="H16" s="732">
        <f t="shared" si="0"/>
        <v>0</v>
      </c>
      <c r="I16" s="732">
        <f t="shared" si="0"/>
        <v>0</v>
      </c>
      <c r="J16" s="732">
        <f t="shared" si="0"/>
        <v>0</v>
      </c>
      <c r="K16" s="732">
        <f t="shared" si="0"/>
        <v>200.72588604088671</v>
      </c>
      <c r="L16" s="732">
        <f t="shared" si="0"/>
        <v>0</v>
      </c>
      <c r="M16" s="732">
        <f t="shared" ca="1" si="0"/>
        <v>0</v>
      </c>
      <c r="N16" s="732">
        <f t="shared" si="0"/>
        <v>0</v>
      </c>
      <c r="O16" s="732">
        <f t="shared" ca="1" si="0"/>
        <v>28392.664912630353</v>
      </c>
      <c r="P16" s="732">
        <f t="shared" si="0"/>
        <v>359.56666666666672</v>
      </c>
      <c r="Q16" s="732">
        <f t="shared" si="0"/>
        <v>419.4666666666667</v>
      </c>
      <c r="R16" s="732">
        <f t="shared" ca="1" si="0"/>
        <v>394464.27698096097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1154.8907006957336</v>
      </c>
      <c r="I19" s="1012">
        <f>transport!H54</f>
        <v>0</v>
      </c>
      <c r="J19" s="1012">
        <f>transport!I54</f>
        <v>0</v>
      </c>
      <c r="K19" s="1012">
        <f>transport!J54</f>
        <v>0</v>
      </c>
      <c r="L19" s="1012">
        <f>transport!K54</f>
        <v>0</v>
      </c>
      <c r="M19" s="1012">
        <f>transport!L54</f>
        <v>0</v>
      </c>
      <c r="N19" s="1012">
        <f>transport!M54</f>
        <v>35.822125834792303</v>
      </c>
      <c r="O19" s="1012">
        <f>transport!N54</f>
        <v>0</v>
      </c>
      <c r="P19" s="1012">
        <f>transport!O54</f>
        <v>0</v>
      </c>
      <c r="Q19" s="1013">
        <f>transport!P54</f>
        <v>0</v>
      </c>
      <c r="R19" s="700">
        <f>SUM(C19:Q19)</f>
        <v>1190.7128265305259</v>
      </c>
      <c r="S19" s="67"/>
    </row>
    <row r="20" spans="1:19" s="473" customFormat="1">
      <c r="A20" s="809" t="s">
        <v>307</v>
      </c>
      <c r="B20" s="814"/>
      <c r="C20" s="1012">
        <f>transport!B14</f>
        <v>36.550363322296846</v>
      </c>
      <c r="D20" s="1012">
        <f>transport!C14</f>
        <v>0</v>
      </c>
      <c r="E20" s="1012">
        <f>transport!D14</f>
        <v>80.347398558904786</v>
      </c>
      <c r="F20" s="1012">
        <f>transport!E14</f>
        <v>342.62711554126128</v>
      </c>
      <c r="G20" s="1012">
        <f>transport!F14</f>
        <v>0</v>
      </c>
      <c r="H20" s="1012">
        <f>transport!G14</f>
        <v>168239.70840054023</v>
      </c>
      <c r="I20" s="1012">
        <f>transport!H14</f>
        <v>22024.071744845463</v>
      </c>
      <c r="J20" s="1012">
        <f>transport!I14</f>
        <v>0</v>
      </c>
      <c r="K20" s="1012">
        <f>transport!J14</f>
        <v>0</v>
      </c>
      <c r="L20" s="1012">
        <f>transport!K14</f>
        <v>0</v>
      </c>
      <c r="M20" s="1012">
        <f>transport!L14</f>
        <v>0</v>
      </c>
      <c r="N20" s="1012">
        <f>transport!M14</f>
        <v>5959.9186572416302</v>
      </c>
      <c r="O20" s="1012">
        <f>transport!N14</f>
        <v>0</v>
      </c>
      <c r="P20" s="1012">
        <f>transport!O14</f>
        <v>0</v>
      </c>
      <c r="Q20" s="1013">
        <f>transport!P14</f>
        <v>0</v>
      </c>
      <c r="R20" s="700">
        <f>SUM(C20:Q20)</f>
        <v>196683.22368004976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36.550363322296846</v>
      </c>
      <c r="D22" s="812">
        <f t="shared" ref="D22:R22" si="1">SUM(D18:D21)</f>
        <v>0</v>
      </c>
      <c r="E22" s="812">
        <f t="shared" si="1"/>
        <v>80.347398558904786</v>
      </c>
      <c r="F22" s="812">
        <f t="shared" si="1"/>
        <v>342.62711554126128</v>
      </c>
      <c r="G22" s="812">
        <f t="shared" si="1"/>
        <v>0</v>
      </c>
      <c r="H22" s="812">
        <f t="shared" si="1"/>
        <v>169394.59910123597</v>
      </c>
      <c r="I22" s="812">
        <f t="shared" si="1"/>
        <v>22024.071744845463</v>
      </c>
      <c r="J22" s="812">
        <f t="shared" si="1"/>
        <v>0</v>
      </c>
      <c r="K22" s="812">
        <f t="shared" si="1"/>
        <v>0</v>
      </c>
      <c r="L22" s="812">
        <f t="shared" si="1"/>
        <v>0</v>
      </c>
      <c r="M22" s="812">
        <f t="shared" si="1"/>
        <v>0</v>
      </c>
      <c r="N22" s="812">
        <f t="shared" si="1"/>
        <v>5995.7407830764223</v>
      </c>
      <c r="O22" s="812">
        <f t="shared" si="1"/>
        <v>0</v>
      </c>
      <c r="P22" s="812">
        <f t="shared" si="1"/>
        <v>0</v>
      </c>
      <c r="Q22" s="812">
        <f t="shared" si="1"/>
        <v>0</v>
      </c>
      <c r="R22" s="812">
        <f t="shared" si="1"/>
        <v>197873.9365065803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5486.7236917939999</v>
      </c>
      <c r="D24" s="1012">
        <f>+landbouw!C8</f>
        <v>62.357142857142847</v>
      </c>
      <c r="E24" s="1012">
        <f>+landbouw!D8</f>
        <v>205.942640976776</v>
      </c>
      <c r="F24" s="1012">
        <f>+landbouw!E8</f>
        <v>141.48153742799869</v>
      </c>
      <c r="G24" s="1012">
        <f>+landbouw!F8</f>
        <v>20055.019989276123</v>
      </c>
      <c r="H24" s="1012">
        <f>+landbouw!G8</f>
        <v>0</v>
      </c>
      <c r="I24" s="1012">
        <f>+landbouw!H8</f>
        <v>0</v>
      </c>
      <c r="J24" s="1012">
        <f>+landbouw!I8</f>
        <v>0</v>
      </c>
      <c r="K24" s="1012">
        <f>+landbouw!J8</f>
        <v>789.88637339542561</v>
      </c>
      <c r="L24" s="1012">
        <f>+landbouw!K8</f>
        <v>0</v>
      </c>
      <c r="M24" s="1012">
        <f>+landbouw!L8</f>
        <v>0</v>
      </c>
      <c r="N24" s="1012">
        <f>+landbouw!M8</f>
        <v>0</v>
      </c>
      <c r="O24" s="1012">
        <f>+landbouw!N8</f>
        <v>0</v>
      </c>
      <c r="P24" s="1012">
        <f>+landbouw!O8</f>
        <v>0</v>
      </c>
      <c r="Q24" s="1013">
        <f>+landbouw!P8</f>
        <v>0</v>
      </c>
      <c r="R24" s="700">
        <f>SUM(C24:Q24)</f>
        <v>26741.411375727464</v>
      </c>
      <c r="S24" s="67"/>
    </row>
    <row r="25" spans="1:19" s="473" customFormat="1" ht="15" thickBot="1">
      <c r="A25" s="831" t="s">
        <v>848</v>
      </c>
      <c r="B25" s="1015"/>
      <c r="C25" s="1016">
        <f>IF(Onbekend_ele_kWh="---",0,Onbekend_ele_kWh)/1000+IF(REST_rest_ele_kWh="---",0,REST_rest_ele_kWh)/1000</f>
        <v>1680.4600295</v>
      </c>
      <c r="D25" s="1016"/>
      <c r="E25" s="1016">
        <f>IF(onbekend_gas_kWh="---",0,onbekend_gas_kWh)/1000+IF(REST_rest_gas_kWh="---",0,REST_rest_gas_kWh)/1000</f>
        <v>2810.4298468999996</v>
      </c>
      <c r="F25" s="1016"/>
      <c r="G25" s="1016"/>
      <c r="H25" s="1016"/>
      <c r="I25" s="1016"/>
      <c r="J25" s="1016"/>
      <c r="K25" s="1016"/>
      <c r="L25" s="1016"/>
      <c r="M25" s="1016"/>
      <c r="N25" s="1016"/>
      <c r="O25" s="1016"/>
      <c r="P25" s="1016"/>
      <c r="Q25" s="1017"/>
      <c r="R25" s="700">
        <f>SUM(C25:Q25)</f>
        <v>4490.8898763999996</v>
      </c>
      <c r="S25" s="67"/>
    </row>
    <row r="26" spans="1:19" s="473" customFormat="1" ht="15.75" thickBot="1">
      <c r="A26" s="705" t="s">
        <v>849</v>
      </c>
      <c r="B26" s="817"/>
      <c r="C26" s="812">
        <f>SUM(C24:C25)</f>
        <v>7167.183721294</v>
      </c>
      <c r="D26" s="812">
        <f t="shared" ref="D26:R26" si="2">SUM(D24:D25)</f>
        <v>62.357142857142847</v>
      </c>
      <c r="E26" s="812">
        <f t="shared" si="2"/>
        <v>3016.3724878767757</v>
      </c>
      <c r="F26" s="812">
        <f t="shared" si="2"/>
        <v>141.48153742799869</v>
      </c>
      <c r="G26" s="812">
        <f t="shared" si="2"/>
        <v>20055.019989276123</v>
      </c>
      <c r="H26" s="812">
        <f t="shared" si="2"/>
        <v>0</v>
      </c>
      <c r="I26" s="812">
        <f t="shared" si="2"/>
        <v>0</v>
      </c>
      <c r="J26" s="812">
        <f t="shared" si="2"/>
        <v>0</v>
      </c>
      <c r="K26" s="812">
        <f t="shared" si="2"/>
        <v>789.88637339542561</v>
      </c>
      <c r="L26" s="812">
        <f t="shared" si="2"/>
        <v>0</v>
      </c>
      <c r="M26" s="812">
        <f t="shared" si="2"/>
        <v>0</v>
      </c>
      <c r="N26" s="812">
        <f t="shared" si="2"/>
        <v>0</v>
      </c>
      <c r="O26" s="812">
        <f t="shared" si="2"/>
        <v>0</v>
      </c>
      <c r="P26" s="812">
        <f t="shared" si="2"/>
        <v>0</v>
      </c>
      <c r="Q26" s="812">
        <f t="shared" si="2"/>
        <v>0</v>
      </c>
      <c r="R26" s="812">
        <f t="shared" si="2"/>
        <v>31232.301252127465</v>
      </c>
      <c r="S26" s="67"/>
    </row>
    <row r="27" spans="1:19" s="473" customFormat="1" ht="17.25" thickTop="1" thickBot="1">
      <c r="A27" s="706" t="s">
        <v>116</v>
      </c>
      <c r="B27" s="805"/>
      <c r="C27" s="707">
        <f ca="1">C22+C16+C26</f>
        <v>107811.02408876305</v>
      </c>
      <c r="D27" s="707">
        <f t="shared" ref="D27:R27" ca="1" si="3">D22+D16+D26</f>
        <v>1933.0714285714287</v>
      </c>
      <c r="E27" s="707">
        <f t="shared" ca="1" si="3"/>
        <v>231060.56218535642</v>
      </c>
      <c r="F27" s="707">
        <f t="shared" si="3"/>
        <v>11764.048992890299</v>
      </c>
      <c r="G27" s="707">
        <f t="shared" ca="1" si="3"/>
        <v>43425.085909529662</v>
      </c>
      <c r="H27" s="707">
        <f t="shared" si="3"/>
        <v>169394.59910123597</v>
      </c>
      <c r="I27" s="707">
        <f t="shared" si="3"/>
        <v>22024.071744845463</v>
      </c>
      <c r="J27" s="707">
        <f t="shared" si="3"/>
        <v>0</v>
      </c>
      <c r="K27" s="707">
        <f t="shared" si="3"/>
        <v>990.61225943631234</v>
      </c>
      <c r="L27" s="707">
        <f t="shared" si="3"/>
        <v>0</v>
      </c>
      <c r="M27" s="707">
        <f t="shared" ca="1" si="3"/>
        <v>0</v>
      </c>
      <c r="N27" s="707">
        <f t="shared" si="3"/>
        <v>5995.7407830764223</v>
      </c>
      <c r="O27" s="707">
        <f t="shared" ca="1" si="3"/>
        <v>28392.664912630353</v>
      </c>
      <c r="P27" s="707">
        <f t="shared" si="3"/>
        <v>359.56666666666672</v>
      </c>
      <c r="Q27" s="707">
        <f t="shared" si="3"/>
        <v>419.4666666666667</v>
      </c>
      <c r="R27" s="707">
        <f t="shared" ca="1" si="3"/>
        <v>623570.51473966881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5424.3835949888171</v>
      </c>
      <c r="D40" s="1012">
        <f ca="1">tertiair!C20</f>
        <v>430.22878828950934</v>
      </c>
      <c r="E40" s="1012">
        <f ca="1">tertiair!D20</f>
        <v>5213.1967303878473</v>
      </c>
      <c r="F40" s="1012">
        <f>tertiair!E20</f>
        <v>120.66934889654704</v>
      </c>
      <c r="G40" s="1012">
        <f ca="1">tertiair!F20</f>
        <v>1698.2353517218371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12886.713814284558</v>
      </c>
    </row>
    <row r="41" spans="1:18">
      <c r="A41" s="822" t="s">
        <v>225</v>
      </c>
      <c r="B41" s="829"/>
      <c r="C41" s="1012">
        <f ca="1">huishoudens!B12</f>
        <v>3857.4210978128222</v>
      </c>
      <c r="D41" s="1012">
        <f ca="1">huishoudens!C12</f>
        <v>0</v>
      </c>
      <c r="E41" s="1012">
        <f>huishoudens!D12</f>
        <v>9295.2478881338557</v>
      </c>
      <c r="F41" s="1012">
        <f>huishoudens!E12</f>
        <v>1562.809930360545</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14715.478916307224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10648.847357963254</v>
      </c>
      <c r="D43" s="1012">
        <f ca="1">industrie!C22</f>
        <v>0</v>
      </c>
      <c r="E43" s="1012">
        <f>industrie!D22</f>
        <v>31540.251525860294</v>
      </c>
      <c r="F43" s="1012">
        <f>industrie!E22</f>
        <v>877.06717790498385</v>
      </c>
      <c r="G43" s="1012">
        <f>industrie!F22</f>
        <v>4541.5722489858572</v>
      </c>
      <c r="H43" s="1012">
        <f>industrie!G22</f>
        <v>0</v>
      </c>
      <c r="I43" s="1012">
        <f>industrie!H22</f>
        <v>0</v>
      </c>
      <c r="J43" s="1012">
        <f>industrie!I22</f>
        <v>0</v>
      </c>
      <c r="K43" s="1012">
        <f>industrie!J22</f>
        <v>71.05696365847389</v>
      </c>
      <c r="L43" s="1012">
        <f>industrie!K22</f>
        <v>0</v>
      </c>
      <c r="M43" s="1012">
        <f>industrie!L22</f>
        <v>0</v>
      </c>
      <c r="N43" s="1012">
        <f>industrie!M22</f>
        <v>0</v>
      </c>
      <c r="O43" s="1012">
        <f>industrie!N22</f>
        <v>0</v>
      </c>
      <c r="P43" s="1012">
        <f>industrie!O22</f>
        <v>0</v>
      </c>
      <c r="Q43" s="774">
        <f>industrie!P22</f>
        <v>0</v>
      </c>
      <c r="R43" s="849">
        <f t="shared" ca="1" si="4"/>
        <v>47678.795274372867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19930.652050764893</v>
      </c>
      <c r="D46" s="732">
        <f t="shared" ref="D46:Q46" ca="1" si="5">SUM(D39:D45)</f>
        <v>430.22878828950934</v>
      </c>
      <c r="E46" s="732">
        <f t="shared" ca="1" si="5"/>
        <v>46048.696144381996</v>
      </c>
      <c r="F46" s="732">
        <f t="shared" si="5"/>
        <v>2560.546457162076</v>
      </c>
      <c r="G46" s="732">
        <f t="shared" ca="1" si="5"/>
        <v>6239.8076007076943</v>
      </c>
      <c r="H46" s="732">
        <f t="shared" si="5"/>
        <v>0</v>
      </c>
      <c r="I46" s="732">
        <f t="shared" si="5"/>
        <v>0</v>
      </c>
      <c r="J46" s="732">
        <f t="shared" si="5"/>
        <v>0</v>
      </c>
      <c r="K46" s="732">
        <f t="shared" si="5"/>
        <v>71.05696365847389</v>
      </c>
      <c r="L46" s="732">
        <f t="shared" si="5"/>
        <v>0</v>
      </c>
      <c r="M46" s="732">
        <f t="shared" ca="1" si="5"/>
        <v>0</v>
      </c>
      <c r="N46" s="732">
        <f t="shared" si="5"/>
        <v>0</v>
      </c>
      <c r="O46" s="732">
        <f t="shared" ca="1" si="5"/>
        <v>0</v>
      </c>
      <c r="P46" s="732">
        <f t="shared" si="5"/>
        <v>0</v>
      </c>
      <c r="Q46" s="732">
        <f t="shared" si="5"/>
        <v>0</v>
      </c>
      <c r="R46" s="732">
        <f ca="1">SUM(R39:R45)</f>
        <v>75280.988004964645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308.35581708576086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308.35581708576086</v>
      </c>
    </row>
    <row r="50" spans="1:18">
      <c r="A50" s="825" t="s">
        <v>307</v>
      </c>
      <c r="B50" s="835"/>
      <c r="C50" s="703">
        <f ca="1">transport!B18</f>
        <v>7.2407533656429068</v>
      </c>
      <c r="D50" s="703">
        <f>transport!C18</f>
        <v>0</v>
      </c>
      <c r="E50" s="703">
        <f>transport!D18</f>
        <v>16.230174508898767</v>
      </c>
      <c r="F50" s="703">
        <f>transport!E18</f>
        <v>77.776355227866318</v>
      </c>
      <c r="G50" s="703">
        <f>transport!F18</f>
        <v>0</v>
      </c>
      <c r="H50" s="703">
        <f>transport!G18</f>
        <v>44920.002142944242</v>
      </c>
      <c r="I50" s="703">
        <f>transport!H18</f>
        <v>5483.9938644665208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50505.243290513172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7.2407533656429068</v>
      </c>
      <c r="D52" s="732">
        <f t="shared" ref="D52:Q52" ca="1" si="6">SUM(D48:D51)</f>
        <v>0</v>
      </c>
      <c r="E52" s="732">
        <f t="shared" si="6"/>
        <v>16.230174508898767</v>
      </c>
      <c r="F52" s="732">
        <f t="shared" si="6"/>
        <v>77.776355227866318</v>
      </c>
      <c r="G52" s="732">
        <f t="shared" si="6"/>
        <v>0</v>
      </c>
      <c r="H52" s="732">
        <f t="shared" si="6"/>
        <v>45228.35796003</v>
      </c>
      <c r="I52" s="732">
        <f t="shared" si="6"/>
        <v>5483.9938644665208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50813.59910759893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1086.9389364858864</v>
      </c>
      <c r="D54" s="703">
        <f ca="1">+landbouw!C12</f>
        <v>14.340959609650309</v>
      </c>
      <c r="E54" s="703">
        <f>+landbouw!D12</f>
        <v>41.600413477308756</v>
      </c>
      <c r="F54" s="703">
        <f>+landbouw!E12</f>
        <v>32.116308996155702</v>
      </c>
      <c r="G54" s="703">
        <f>+landbouw!F12</f>
        <v>5354.6903371367252</v>
      </c>
      <c r="H54" s="703">
        <f>+landbouw!G12</f>
        <v>0</v>
      </c>
      <c r="I54" s="703">
        <f>+landbouw!H12</f>
        <v>0</v>
      </c>
      <c r="J54" s="703">
        <f>+landbouw!I12</f>
        <v>0</v>
      </c>
      <c r="K54" s="703">
        <f>+landbouw!J12</f>
        <v>279.61977618198063</v>
      </c>
      <c r="L54" s="703">
        <f>+landbouw!K12</f>
        <v>0</v>
      </c>
      <c r="M54" s="703">
        <f>+landbouw!L12</f>
        <v>0</v>
      </c>
      <c r="N54" s="703">
        <f>+landbouw!M12</f>
        <v>0</v>
      </c>
      <c r="O54" s="703">
        <f>+landbouw!N12</f>
        <v>0</v>
      </c>
      <c r="P54" s="703">
        <f>+landbouw!O12</f>
        <v>0</v>
      </c>
      <c r="Q54" s="704">
        <f>+landbouw!P12</f>
        <v>0</v>
      </c>
      <c r="R54" s="731">
        <f ca="1">SUM(C54:Q54)</f>
        <v>6809.3067318877074</v>
      </c>
    </row>
    <row r="55" spans="1:18" ht="15" thickBot="1">
      <c r="A55" s="825" t="s">
        <v>848</v>
      </c>
      <c r="B55" s="835"/>
      <c r="C55" s="703">
        <f ca="1">C25*'EF ele_warmte'!B12</f>
        <v>332.90494289034257</v>
      </c>
      <c r="D55" s="703"/>
      <c r="E55" s="703">
        <f>E25*EF_CO2_aardgas</f>
        <v>567.7068290737999</v>
      </c>
      <c r="F55" s="703"/>
      <c r="G55" s="703"/>
      <c r="H55" s="703"/>
      <c r="I55" s="703"/>
      <c r="J55" s="703"/>
      <c r="K55" s="703"/>
      <c r="L55" s="703"/>
      <c r="M55" s="703"/>
      <c r="N55" s="703"/>
      <c r="O55" s="703"/>
      <c r="P55" s="703"/>
      <c r="Q55" s="704"/>
      <c r="R55" s="731">
        <f ca="1">SUM(C55:Q55)</f>
        <v>900.61177196414246</v>
      </c>
    </row>
    <row r="56" spans="1:18" ht="15.75" thickBot="1">
      <c r="A56" s="823" t="s">
        <v>849</v>
      </c>
      <c r="B56" s="836"/>
      <c r="C56" s="732">
        <f ca="1">SUM(C54:C55)</f>
        <v>1419.8438793762289</v>
      </c>
      <c r="D56" s="732">
        <f t="shared" ref="D56:Q56" ca="1" si="7">SUM(D54:D55)</f>
        <v>14.340959609650309</v>
      </c>
      <c r="E56" s="732">
        <f t="shared" si="7"/>
        <v>609.30724255110863</v>
      </c>
      <c r="F56" s="732">
        <f t="shared" si="7"/>
        <v>32.116308996155702</v>
      </c>
      <c r="G56" s="732">
        <f t="shared" si="7"/>
        <v>5354.6903371367252</v>
      </c>
      <c r="H56" s="732">
        <f t="shared" si="7"/>
        <v>0</v>
      </c>
      <c r="I56" s="732">
        <f t="shared" si="7"/>
        <v>0</v>
      </c>
      <c r="J56" s="732">
        <f t="shared" si="7"/>
        <v>0</v>
      </c>
      <c r="K56" s="732">
        <f t="shared" si="7"/>
        <v>279.61977618198063</v>
      </c>
      <c r="L56" s="732">
        <f t="shared" si="7"/>
        <v>0</v>
      </c>
      <c r="M56" s="732">
        <f t="shared" si="7"/>
        <v>0</v>
      </c>
      <c r="N56" s="732">
        <f t="shared" si="7"/>
        <v>0</v>
      </c>
      <c r="O56" s="732">
        <f t="shared" si="7"/>
        <v>0</v>
      </c>
      <c r="P56" s="732">
        <f t="shared" si="7"/>
        <v>0</v>
      </c>
      <c r="Q56" s="733">
        <f t="shared" si="7"/>
        <v>0</v>
      </c>
      <c r="R56" s="734">
        <f ca="1">SUM(R54:R55)</f>
        <v>7709.9185038518499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21357.736683506766</v>
      </c>
      <c r="D61" s="740">
        <f t="shared" ref="D61:Q61" ca="1" si="8">D46+D52+D56</f>
        <v>444.56974789915967</v>
      </c>
      <c r="E61" s="740">
        <f t="shared" ca="1" si="8"/>
        <v>46674.233561442001</v>
      </c>
      <c r="F61" s="740">
        <f t="shared" si="8"/>
        <v>2670.4391213860977</v>
      </c>
      <c r="G61" s="740">
        <f t="shared" ca="1" si="8"/>
        <v>11594.497937844419</v>
      </c>
      <c r="H61" s="740">
        <f t="shared" si="8"/>
        <v>45228.35796003</v>
      </c>
      <c r="I61" s="740">
        <f t="shared" si="8"/>
        <v>5483.9938644665208</v>
      </c>
      <c r="J61" s="740">
        <f t="shared" si="8"/>
        <v>0</v>
      </c>
      <c r="K61" s="740">
        <f t="shared" si="8"/>
        <v>350.6767398404545</v>
      </c>
      <c r="L61" s="740">
        <f t="shared" si="8"/>
        <v>0</v>
      </c>
      <c r="M61" s="740">
        <f t="shared" ca="1" si="8"/>
        <v>0</v>
      </c>
      <c r="N61" s="740">
        <f t="shared" si="8"/>
        <v>0</v>
      </c>
      <c r="O61" s="740">
        <f t="shared" ca="1" si="8"/>
        <v>0</v>
      </c>
      <c r="P61" s="740">
        <f t="shared" si="8"/>
        <v>0</v>
      </c>
      <c r="Q61" s="740">
        <f t="shared" si="8"/>
        <v>0</v>
      </c>
      <c r="R61" s="740">
        <f ca="1">R46+R52+R56</f>
        <v>133804.50561641544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0.19810345800928947</v>
      </c>
      <c r="D63" s="781">
        <f t="shared" ca="1" si="9"/>
        <v>0.22998102466793169</v>
      </c>
      <c r="E63" s="1023">
        <f t="shared" ca="1" si="9"/>
        <v>0.20200000000000001</v>
      </c>
      <c r="F63" s="781">
        <f t="shared" si="9"/>
        <v>0.22699999999999998</v>
      </c>
      <c r="G63" s="781">
        <f t="shared" ca="1" si="9"/>
        <v>0.26699999999999996</v>
      </c>
      <c r="H63" s="781">
        <f t="shared" si="9"/>
        <v>0.26699999999999996</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11224.671102440185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43.65</v>
      </c>
      <c r="C76" s="750">
        <f>'lokale energieproductie'!B8*IFERROR(SUM(D76:H76)/SUM(D76:O76),0)</f>
        <v>1309.5000000000002</v>
      </c>
      <c r="D76" s="1033">
        <f>'lokale energieproductie'!C8</f>
        <v>1540.5882352941176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311.19882352941175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11268.321102440184</v>
      </c>
      <c r="C78" s="755">
        <f>SUM(C72:C77)</f>
        <v>1309.5000000000002</v>
      </c>
      <c r="D78" s="756">
        <f t="shared" ref="D78:H78" si="10">SUM(D76:D77)</f>
        <v>1540.5882352941176</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311.19882352941175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1870.7142857142858</v>
      </c>
      <c r="D87" s="777">
        <f>'lokale energieproductie'!C17</f>
        <v>2200.8403361344535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444.56974789915967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1870.7142857142858</v>
      </c>
      <c r="D90" s="755">
        <f t="shared" ref="D90:H90" si="12">SUM(D87:D89)</f>
        <v>2200.8403361344535</v>
      </c>
      <c r="E90" s="755">
        <f t="shared" si="12"/>
        <v>0</v>
      </c>
      <c r="F90" s="755">
        <f t="shared" si="12"/>
        <v>0</v>
      </c>
      <c r="G90" s="755">
        <f t="shared" si="12"/>
        <v>0</v>
      </c>
      <c r="H90" s="755">
        <f t="shared" si="12"/>
        <v>0</v>
      </c>
      <c r="I90" s="755">
        <f>SUM(I87:I89)</f>
        <v>0</v>
      </c>
      <c r="J90" s="755">
        <f>SUM(J87:J89)</f>
        <v>73.3613445378151</v>
      </c>
      <c r="K90" s="755">
        <f t="shared" ref="K90:L90" si="13">SUM(K87:K89)</f>
        <v>0</v>
      </c>
      <c r="L90" s="755">
        <f t="shared" si="13"/>
        <v>0</v>
      </c>
      <c r="M90" s="755">
        <f>SUM(M87:M89)</f>
        <v>0</v>
      </c>
      <c r="N90" s="755">
        <f>SUM(N87:N89)</f>
        <v>0</v>
      </c>
      <c r="O90" s="755">
        <f>SUM(O87:O89)</f>
        <v>0</v>
      </c>
      <c r="P90" s="755">
        <v>0</v>
      </c>
      <c r="Q90" s="755">
        <f>SUM(Q87:Q89)</f>
        <v>444.56974789915967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11224.671102440185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1353.15</v>
      </c>
      <c r="C8" s="570">
        <f>B101</f>
        <v>1540.5882352941176</v>
      </c>
      <c r="D8" s="1043"/>
      <c r="E8" s="1043">
        <f>E101</f>
        <v>0</v>
      </c>
      <c r="F8" s="1044"/>
      <c r="G8" s="571"/>
      <c r="H8" s="1043">
        <f>I101</f>
        <v>0</v>
      </c>
      <c r="I8" s="1043">
        <f>G101+F101</f>
        <v>0</v>
      </c>
      <c r="J8" s="1043">
        <f>H101+D101+C101</f>
        <v>51.35294117647058</v>
      </c>
      <c r="K8" s="1043"/>
      <c r="L8" s="1043"/>
      <c r="M8" s="1043"/>
      <c r="N8" s="572"/>
      <c r="O8" s="573">
        <f>C8*$C$12+D8*$D$12+E8*$E$12+F8*$F$12+G8*$G$12+H8*$H$12+I8*$I$12+J8*$J$12</f>
        <v>311.19882352941175</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12577.821102440184</v>
      </c>
      <c r="C10" s="583">
        <f t="shared" ref="C10:L10" si="0">SUM(C8:C9)</f>
        <v>1540.5882352941176</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311.19882352941175</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1933.0714285714287</v>
      </c>
      <c r="C17" s="595">
        <f>B102</f>
        <v>2200.8403361344535</v>
      </c>
      <c r="D17" s="596"/>
      <c r="E17" s="596">
        <f>E102</f>
        <v>0</v>
      </c>
      <c r="F17" s="1049"/>
      <c r="G17" s="597"/>
      <c r="H17" s="595">
        <f>I102</f>
        <v>0</v>
      </c>
      <c r="I17" s="596">
        <f>G102+F102</f>
        <v>0</v>
      </c>
      <c r="J17" s="596">
        <f>H102+D102+C102</f>
        <v>73.3613445378151</v>
      </c>
      <c r="K17" s="596"/>
      <c r="L17" s="596"/>
      <c r="M17" s="596"/>
      <c r="N17" s="1050"/>
      <c r="O17" s="598">
        <f>C17*$C$22+E17*$E$22+H17*$H$22+I17*$I$22+J17*$J$22+D17*$D$22+F17*$F$22+G17*$G$22+K17*$K$22+L17*$L$22</f>
        <v>444.56974789915967</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1933.0714285714287</v>
      </c>
      <c r="C20" s="582">
        <f>SUM(C17:C19)</f>
        <v>2200.8403361344535</v>
      </c>
      <c r="D20" s="582">
        <f t="shared" ref="D20:L20" si="1">SUM(D17:D19)</f>
        <v>0</v>
      </c>
      <c r="E20" s="582">
        <f t="shared" si="1"/>
        <v>0</v>
      </c>
      <c r="F20" s="582">
        <f t="shared" si="1"/>
        <v>0</v>
      </c>
      <c r="G20" s="582">
        <f t="shared" si="1"/>
        <v>0</v>
      </c>
      <c r="H20" s="582">
        <f t="shared" si="1"/>
        <v>0</v>
      </c>
      <c r="I20" s="582">
        <f t="shared" si="1"/>
        <v>0</v>
      </c>
      <c r="J20" s="582">
        <f t="shared" si="1"/>
        <v>73.3613445378151</v>
      </c>
      <c r="K20" s="582">
        <f t="shared" si="1"/>
        <v>0</v>
      </c>
      <c r="L20" s="582">
        <f t="shared" si="1"/>
        <v>0</v>
      </c>
      <c r="M20" s="582"/>
      <c r="N20" s="582"/>
      <c r="O20" s="601">
        <f>SUM(O17:O19)</f>
        <v>444.56974789915967</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38025</v>
      </c>
      <c r="C28" s="796">
        <v>8630</v>
      </c>
      <c r="D28" s="653" t="s">
        <v>890</v>
      </c>
      <c r="E28" s="652" t="s">
        <v>891</v>
      </c>
      <c r="F28" s="652" t="s">
        <v>892</v>
      </c>
      <c r="G28" s="652" t="s">
        <v>893</v>
      </c>
      <c r="H28" s="652" t="s">
        <v>894</v>
      </c>
      <c r="I28" s="652" t="s">
        <v>891</v>
      </c>
      <c r="J28" s="795">
        <v>40345</v>
      </c>
      <c r="K28" s="795">
        <v>40452</v>
      </c>
      <c r="L28" s="652" t="s">
        <v>895</v>
      </c>
      <c r="M28" s="652">
        <v>291</v>
      </c>
      <c r="N28" s="652">
        <v>1309.5</v>
      </c>
      <c r="O28" s="652">
        <v>1870.7142857142858</v>
      </c>
      <c r="P28" s="652">
        <v>3741.4285714285716</v>
      </c>
      <c r="Q28" s="652">
        <v>0</v>
      </c>
      <c r="R28" s="652">
        <v>0</v>
      </c>
      <c r="S28" s="652">
        <v>0</v>
      </c>
      <c r="T28" s="652">
        <v>0</v>
      </c>
      <c r="U28" s="652">
        <v>0</v>
      </c>
      <c r="V28" s="652">
        <v>0</v>
      </c>
      <c r="W28" s="652">
        <v>0</v>
      </c>
      <c r="X28" s="652">
        <v>1500</v>
      </c>
      <c r="Y28" s="652" t="s">
        <v>51</v>
      </c>
      <c r="Z28" s="654" t="s">
        <v>156</v>
      </c>
    </row>
    <row r="29" spans="1:26" s="606" customFormat="1" ht="25.5">
      <c r="A29" s="605"/>
      <c r="B29" s="796">
        <v>38025</v>
      </c>
      <c r="C29" s="796">
        <v>8630</v>
      </c>
      <c r="D29" s="653" t="s">
        <v>896</v>
      </c>
      <c r="E29" s="652" t="s">
        <v>897</v>
      </c>
      <c r="F29" s="652" t="s">
        <v>898</v>
      </c>
      <c r="G29" s="652" t="s">
        <v>893</v>
      </c>
      <c r="H29" s="652" t="s">
        <v>894</v>
      </c>
      <c r="I29" s="652" t="s">
        <v>899</v>
      </c>
      <c r="J29" s="795">
        <v>41117</v>
      </c>
      <c r="K29" s="795">
        <v>41244</v>
      </c>
      <c r="L29" s="652" t="s">
        <v>895</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300.7</v>
      </c>
      <c r="N58" s="610">
        <f>SUM(N28:N57)</f>
        <v>1353.15</v>
      </c>
      <c r="O58" s="610">
        <f t="shared" ref="O58:W58" si="2">SUM(O28:O57)</f>
        <v>1933.0714285714287</v>
      </c>
      <c r="P58" s="610">
        <f t="shared" si="2"/>
        <v>3741.4285714285716</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291</v>
      </c>
      <c r="N60" s="610">
        <f ca="1">SUMIF($Z$28:AD57,"tertiair",N28:N57)</f>
        <v>1309.5</v>
      </c>
      <c r="O60" s="610">
        <f ca="1">SUMIF($Z$28:AE57,"tertiair",O28:O57)</f>
        <v>1870.7142857142858</v>
      </c>
      <c r="P60" s="610">
        <f ca="1">SUMIF($Z$28:AF57,"tertiair",P28:P57)</f>
        <v>3741.4285714285716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1540.5882352941176</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2200.8403361344535</v>
      </c>
      <c r="C102" s="647">
        <f t="shared" si="10"/>
        <v>73.3613445378151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19471.750450877742</v>
      </c>
      <c r="C4" s="477">
        <f>huishoudens!C8</f>
        <v>0</v>
      </c>
      <c r="D4" s="477">
        <f>huishoudens!D8</f>
        <v>46016.078654127996</v>
      </c>
      <c r="E4" s="477">
        <f>huishoudens!E8</f>
        <v>6884.6252438790525</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11787.142790211859</v>
      </c>
      <c r="O4" s="477">
        <f>huishoudens!O8</f>
        <v>350.18666666666672</v>
      </c>
      <c r="P4" s="478">
        <f>huishoudens!P8</f>
        <v>381.33333333333337</v>
      </c>
      <c r="Q4" s="479">
        <f>SUM(B4:P4)</f>
        <v>84891.117139096634</v>
      </c>
    </row>
    <row r="5" spans="1:17">
      <c r="A5" s="476" t="s">
        <v>156</v>
      </c>
      <c r="B5" s="477">
        <f ca="1">tertiair!B16</f>
        <v>26468.414456170001</v>
      </c>
      <c r="C5" s="477">
        <f ca="1">tertiair!C16</f>
        <v>1870.7142857142858</v>
      </c>
      <c r="D5" s="477">
        <f ca="1">tertiair!D16</f>
        <v>25807.904605880431</v>
      </c>
      <c r="E5" s="477">
        <f>tertiair!E16</f>
        <v>531.5830347865508</v>
      </c>
      <c r="F5" s="477">
        <f ca="1">tertiair!F16</f>
        <v>6360.432028920738</v>
      </c>
      <c r="G5" s="477">
        <f>tertiair!G16</f>
        <v>0</v>
      </c>
      <c r="H5" s="477">
        <f>tertiair!H16</f>
        <v>0</v>
      </c>
      <c r="I5" s="477">
        <f>tertiair!I16</f>
        <v>0</v>
      </c>
      <c r="J5" s="477">
        <f>tertiair!J16</f>
        <v>0</v>
      </c>
      <c r="K5" s="477">
        <f>tertiair!K16</f>
        <v>0</v>
      </c>
      <c r="L5" s="477">
        <f ca="1">tertiair!L16</f>
        <v>0</v>
      </c>
      <c r="M5" s="477">
        <f>tertiair!M16</f>
        <v>0</v>
      </c>
      <c r="N5" s="477">
        <f ca="1">tertiair!N16</f>
        <v>1498.8067718675761</v>
      </c>
      <c r="O5" s="477">
        <f>tertiair!O16</f>
        <v>9.3800000000000008</v>
      </c>
      <c r="P5" s="478">
        <f>tertiair!P16</f>
        <v>38.133333333333333</v>
      </c>
      <c r="Q5" s="476">
        <f t="shared" ref="Q5:Q14" ca="1" si="0">SUM(B5:P5)</f>
        <v>62585.368516672912</v>
      </c>
    </row>
    <row r="6" spans="1:17">
      <c r="A6" s="476" t="s">
        <v>194</v>
      </c>
      <c r="B6" s="477">
        <f>'openbare verlichting'!B8</f>
        <v>913.15499999999997</v>
      </c>
      <c r="C6" s="477"/>
      <c r="D6" s="477"/>
      <c r="E6" s="477"/>
      <c r="F6" s="477"/>
      <c r="G6" s="477"/>
      <c r="H6" s="477"/>
      <c r="I6" s="477"/>
      <c r="J6" s="477"/>
      <c r="K6" s="477"/>
      <c r="L6" s="477"/>
      <c r="M6" s="477"/>
      <c r="N6" s="477"/>
      <c r="O6" s="477"/>
      <c r="P6" s="478"/>
      <c r="Q6" s="476">
        <f t="shared" si="0"/>
        <v>913.15499999999997</v>
      </c>
    </row>
    <row r="7" spans="1:17">
      <c r="A7" s="476" t="s">
        <v>112</v>
      </c>
      <c r="B7" s="477">
        <f>landbouw!B8</f>
        <v>5486.7236917939999</v>
      </c>
      <c r="C7" s="477">
        <f>landbouw!C8</f>
        <v>62.357142857142847</v>
      </c>
      <c r="D7" s="477">
        <f>landbouw!D8</f>
        <v>205.942640976776</v>
      </c>
      <c r="E7" s="477">
        <f>landbouw!E8</f>
        <v>141.48153742799869</v>
      </c>
      <c r="F7" s="477">
        <f>landbouw!F8</f>
        <v>20055.019989276123</v>
      </c>
      <c r="G7" s="477">
        <f>landbouw!G8</f>
        <v>0</v>
      </c>
      <c r="H7" s="477">
        <f>landbouw!H8</f>
        <v>0</v>
      </c>
      <c r="I7" s="477">
        <f>landbouw!I8</f>
        <v>0</v>
      </c>
      <c r="J7" s="477">
        <f>landbouw!J8</f>
        <v>789.88637339542561</v>
      </c>
      <c r="K7" s="477">
        <f>landbouw!K8</f>
        <v>0</v>
      </c>
      <c r="L7" s="477">
        <f>landbouw!L8</f>
        <v>0</v>
      </c>
      <c r="M7" s="477">
        <f>landbouw!M8</f>
        <v>0</v>
      </c>
      <c r="N7" s="477">
        <f>landbouw!N8</f>
        <v>0</v>
      </c>
      <c r="O7" s="477">
        <f>landbouw!O8</f>
        <v>0</v>
      </c>
      <c r="P7" s="478">
        <f>landbouw!P8</f>
        <v>0</v>
      </c>
      <c r="Q7" s="476">
        <f t="shared" si="0"/>
        <v>26741.411375727464</v>
      </c>
    </row>
    <row r="8" spans="1:17">
      <c r="A8" s="476" t="s">
        <v>638</v>
      </c>
      <c r="B8" s="477">
        <f>industrie!B18</f>
        <v>53753.970097099002</v>
      </c>
      <c r="C8" s="477">
        <f>industrie!C18</f>
        <v>0</v>
      </c>
      <c r="D8" s="477">
        <f>industrie!D18</f>
        <v>156139.85903891234</v>
      </c>
      <c r="E8" s="477">
        <f>industrie!E18</f>
        <v>3863.7320612554354</v>
      </c>
      <c r="F8" s="477">
        <f>industrie!F18</f>
        <v>17009.633891332796</v>
      </c>
      <c r="G8" s="477">
        <f>industrie!G18</f>
        <v>0</v>
      </c>
      <c r="H8" s="477">
        <f>industrie!H18</f>
        <v>0</v>
      </c>
      <c r="I8" s="477">
        <f>industrie!I18</f>
        <v>0</v>
      </c>
      <c r="J8" s="477">
        <f>industrie!J18</f>
        <v>200.72588604088671</v>
      </c>
      <c r="K8" s="477">
        <f>industrie!K18</f>
        <v>0</v>
      </c>
      <c r="L8" s="477">
        <f>industrie!L18</f>
        <v>0</v>
      </c>
      <c r="M8" s="477">
        <f>industrie!M18</f>
        <v>0</v>
      </c>
      <c r="N8" s="477">
        <f>industrie!N18</f>
        <v>15106.715350550918</v>
      </c>
      <c r="O8" s="477">
        <f>industrie!O18</f>
        <v>0</v>
      </c>
      <c r="P8" s="478">
        <f>industrie!P18</f>
        <v>0</v>
      </c>
      <c r="Q8" s="476">
        <f t="shared" si="0"/>
        <v>246074.63632519139</v>
      </c>
    </row>
    <row r="9" spans="1:17" s="482" customFormat="1">
      <c r="A9" s="480" t="s">
        <v>564</v>
      </c>
      <c r="B9" s="481">
        <f>transport!B14</f>
        <v>36.550363322296846</v>
      </c>
      <c r="C9" s="481">
        <f>transport!C14</f>
        <v>0</v>
      </c>
      <c r="D9" s="481">
        <f>transport!D14</f>
        <v>80.347398558904786</v>
      </c>
      <c r="E9" s="481">
        <f>transport!E14</f>
        <v>342.62711554126128</v>
      </c>
      <c r="F9" s="481">
        <f>transport!F14</f>
        <v>0</v>
      </c>
      <c r="G9" s="481">
        <f>transport!G14</f>
        <v>168239.70840054023</v>
      </c>
      <c r="H9" s="481">
        <f>transport!H14</f>
        <v>22024.071744845463</v>
      </c>
      <c r="I9" s="481">
        <f>transport!I14</f>
        <v>0</v>
      </c>
      <c r="J9" s="481">
        <f>transport!J14</f>
        <v>0</v>
      </c>
      <c r="K9" s="481">
        <f>transport!K14</f>
        <v>0</v>
      </c>
      <c r="L9" s="481">
        <f>transport!L14</f>
        <v>0</v>
      </c>
      <c r="M9" s="481">
        <f>transport!M14</f>
        <v>5959.9186572416302</v>
      </c>
      <c r="N9" s="481">
        <f>transport!N14</f>
        <v>0</v>
      </c>
      <c r="O9" s="481">
        <f>transport!O14</f>
        <v>0</v>
      </c>
      <c r="P9" s="481">
        <f>transport!P14</f>
        <v>0</v>
      </c>
      <c r="Q9" s="480">
        <f>SUM(B9:P9)</f>
        <v>196683.22368004976</v>
      </c>
    </row>
    <row r="10" spans="1:17">
      <c r="A10" s="476" t="s">
        <v>554</v>
      </c>
      <c r="B10" s="477">
        <f>transport!B54</f>
        <v>0</v>
      </c>
      <c r="C10" s="477">
        <f>transport!C54</f>
        <v>0</v>
      </c>
      <c r="D10" s="477">
        <f>transport!D54</f>
        <v>0</v>
      </c>
      <c r="E10" s="477">
        <f>transport!E54</f>
        <v>0</v>
      </c>
      <c r="F10" s="477">
        <f>transport!F54</f>
        <v>0</v>
      </c>
      <c r="G10" s="477">
        <f>transport!G54</f>
        <v>1154.8907006957336</v>
      </c>
      <c r="H10" s="477">
        <f>transport!H54</f>
        <v>0</v>
      </c>
      <c r="I10" s="477">
        <f>transport!I54</f>
        <v>0</v>
      </c>
      <c r="J10" s="477">
        <f>transport!J54</f>
        <v>0</v>
      </c>
      <c r="K10" s="477">
        <f>transport!K54</f>
        <v>0</v>
      </c>
      <c r="L10" s="477">
        <f>transport!L54</f>
        <v>0</v>
      </c>
      <c r="M10" s="477">
        <f>transport!M54</f>
        <v>35.822125834792303</v>
      </c>
      <c r="N10" s="477">
        <f>transport!N54</f>
        <v>0</v>
      </c>
      <c r="O10" s="477">
        <f>transport!O54</f>
        <v>0</v>
      </c>
      <c r="P10" s="478">
        <f>transport!P54</f>
        <v>0</v>
      </c>
      <c r="Q10" s="476">
        <f t="shared" si="0"/>
        <v>1190.7128265305259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1680.4600295</v>
      </c>
      <c r="C14" s="484"/>
      <c r="D14" s="484">
        <f>'SEAP template'!E25</f>
        <v>2810.4298468999996</v>
      </c>
      <c r="E14" s="484"/>
      <c r="F14" s="484"/>
      <c r="G14" s="484"/>
      <c r="H14" s="484"/>
      <c r="I14" s="484"/>
      <c r="J14" s="484"/>
      <c r="K14" s="484"/>
      <c r="L14" s="484"/>
      <c r="M14" s="484"/>
      <c r="N14" s="484"/>
      <c r="O14" s="484"/>
      <c r="P14" s="485"/>
      <c r="Q14" s="476">
        <f t="shared" si="0"/>
        <v>4490.8898763999996</v>
      </c>
    </row>
    <row r="15" spans="1:17" s="486" customFormat="1">
      <c r="A15" s="1038" t="s">
        <v>558</v>
      </c>
      <c r="B15" s="978">
        <f ca="1">SUM(B4:B14)</f>
        <v>107811.02408876305</v>
      </c>
      <c r="C15" s="978">
        <f t="shared" ref="C15:Q15" ca="1" si="1">SUM(C4:C14)</f>
        <v>1933.0714285714287</v>
      </c>
      <c r="D15" s="978">
        <f t="shared" ca="1" si="1"/>
        <v>231060.56218535642</v>
      </c>
      <c r="E15" s="978">
        <f t="shared" si="1"/>
        <v>11764.048992890299</v>
      </c>
      <c r="F15" s="978">
        <f t="shared" ca="1" si="1"/>
        <v>43425.085909529662</v>
      </c>
      <c r="G15" s="978">
        <f t="shared" si="1"/>
        <v>169394.59910123597</v>
      </c>
      <c r="H15" s="978">
        <f t="shared" si="1"/>
        <v>22024.071744845463</v>
      </c>
      <c r="I15" s="978">
        <f t="shared" si="1"/>
        <v>0</v>
      </c>
      <c r="J15" s="978">
        <f t="shared" si="1"/>
        <v>990.61225943631234</v>
      </c>
      <c r="K15" s="978">
        <f t="shared" si="1"/>
        <v>0</v>
      </c>
      <c r="L15" s="978">
        <f t="shared" ca="1" si="1"/>
        <v>0</v>
      </c>
      <c r="M15" s="978">
        <f t="shared" si="1"/>
        <v>5995.7407830764223</v>
      </c>
      <c r="N15" s="978">
        <f t="shared" ca="1" si="1"/>
        <v>28392.664912630353</v>
      </c>
      <c r="O15" s="978">
        <f t="shared" si="1"/>
        <v>359.56666666666672</v>
      </c>
      <c r="P15" s="978">
        <f t="shared" si="1"/>
        <v>419.4666666666667</v>
      </c>
      <c r="Q15" s="978">
        <f t="shared" ca="1" si="1"/>
        <v>623570.5147396687</v>
      </c>
    </row>
    <row r="17" spans="1:17">
      <c r="A17" s="487" t="s">
        <v>559</v>
      </c>
      <c r="B17" s="786">
        <f ca="1">huishoudens!B10</f>
        <v>0.19810345800928947</v>
      </c>
      <c r="C17" s="786">
        <f ca="1">huishoudens!C10</f>
        <v>0.22998102466793169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3857.4210978128222</v>
      </c>
      <c r="C22" s="477">
        <f t="shared" ref="C22:C32" ca="1" si="3">C4*$C$17</f>
        <v>0</v>
      </c>
      <c r="D22" s="477">
        <f t="shared" ref="D22:D32" si="4">D4*$D$17</f>
        <v>9295.2478881338557</v>
      </c>
      <c r="E22" s="477">
        <f t="shared" ref="E22:E32" si="5">E4*$E$17</f>
        <v>1562.809930360545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14715.478916307224</v>
      </c>
    </row>
    <row r="23" spans="1:17">
      <c r="A23" s="476" t="s">
        <v>156</v>
      </c>
      <c r="B23" s="477">
        <f t="shared" ca="1" si="2"/>
        <v>5243.4844317903444</v>
      </c>
      <c r="C23" s="477">
        <f t="shared" ca="1" si="3"/>
        <v>430.22878828950934</v>
      </c>
      <c r="D23" s="477">
        <f t="shared" ca="1" si="4"/>
        <v>5213.1967303878473</v>
      </c>
      <c r="E23" s="477">
        <f t="shared" si="5"/>
        <v>120.66934889654704</v>
      </c>
      <c r="F23" s="477">
        <f t="shared" ca="1" si="6"/>
        <v>1698.2353517218371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12705.814651086082</v>
      </c>
    </row>
    <row r="24" spans="1:17">
      <c r="A24" s="476" t="s">
        <v>194</v>
      </c>
      <c r="B24" s="477">
        <f t="shared" ca="1" si="2"/>
        <v>180.89916319847271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180.89916319847271</v>
      </c>
    </row>
    <row r="25" spans="1:17">
      <c r="A25" s="476" t="s">
        <v>112</v>
      </c>
      <c r="B25" s="477">
        <f t="shared" ca="1" si="2"/>
        <v>1086.9389364858864</v>
      </c>
      <c r="C25" s="477">
        <f t="shared" ca="1" si="3"/>
        <v>14.340959609650309</v>
      </c>
      <c r="D25" s="477">
        <f t="shared" si="4"/>
        <v>41.600413477308756</v>
      </c>
      <c r="E25" s="477">
        <f t="shared" si="5"/>
        <v>32.116308996155702</v>
      </c>
      <c r="F25" s="477">
        <f t="shared" si="6"/>
        <v>5354.6903371367252</v>
      </c>
      <c r="G25" s="477">
        <f t="shared" si="7"/>
        <v>0</v>
      </c>
      <c r="H25" s="477">
        <f t="shared" si="8"/>
        <v>0</v>
      </c>
      <c r="I25" s="477">
        <f t="shared" si="9"/>
        <v>0</v>
      </c>
      <c r="J25" s="477">
        <f t="shared" si="10"/>
        <v>279.61977618198063</v>
      </c>
      <c r="K25" s="477">
        <f t="shared" si="11"/>
        <v>0</v>
      </c>
      <c r="L25" s="477">
        <f t="shared" si="12"/>
        <v>0</v>
      </c>
      <c r="M25" s="477">
        <f t="shared" si="13"/>
        <v>0</v>
      </c>
      <c r="N25" s="477">
        <f t="shared" si="14"/>
        <v>0</v>
      </c>
      <c r="O25" s="477">
        <f t="shared" si="15"/>
        <v>0</v>
      </c>
      <c r="P25" s="478">
        <f t="shared" si="16"/>
        <v>0</v>
      </c>
      <c r="Q25" s="476">
        <f t="shared" ca="1" si="17"/>
        <v>6809.3067318877074</v>
      </c>
    </row>
    <row r="26" spans="1:17">
      <c r="A26" s="476" t="s">
        <v>638</v>
      </c>
      <c r="B26" s="477">
        <f t="shared" ca="1" si="2"/>
        <v>10648.847357963254</v>
      </c>
      <c r="C26" s="477">
        <f t="shared" ca="1" si="3"/>
        <v>0</v>
      </c>
      <c r="D26" s="477">
        <f t="shared" si="4"/>
        <v>31540.251525860294</v>
      </c>
      <c r="E26" s="477">
        <f t="shared" si="5"/>
        <v>877.06717790498385</v>
      </c>
      <c r="F26" s="477">
        <f t="shared" si="6"/>
        <v>4541.5722489858572</v>
      </c>
      <c r="G26" s="477">
        <f t="shared" si="7"/>
        <v>0</v>
      </c>
      <c r="H26" s="477">
        <f t="shared" si="8"/>
        <v>0</v>
      </c>
      <c r="I26" s="477">
        <f t="shared" si="9"/>
        <v>0</v>
      </c>
      <c r="J26" s="477">
        <f t="shared" si="10"/>
        <v>71.05696365847389</v>
      </c>
      <c r="K26" s="477">
        <f t="shared" si="11"/>
        <v>0</v>
      </c>
      <c r="L26" s="477">
        <f t="shared" si="12"/>
        <v>0</v>
      </c>
      <c r="M26" s="477">
        <f t="shared" si="13"/>
        <v>0</v>
      </c>
      <c r="N26" s="477">
        <f t="shared" si="14"/>
        <v>0</v>
      </c>
      <c r="O26" s="477">
        <f t="shared" si="15"/>
        <v>0</v>
      </c>
      <c r="P26" s="478">
        <f t="shared" si="16"/>
        <v>0</v>
      </c>
      <c r="Q26" s="476">
        <f t="shared" ca="1" si="17"/>
        <v>47678.795274372867</v>
      </c>
    </row>
    <row r="27" spans="1:17" s="482" customFormat="1">
      <c r="A27" s="480" t="s">
        <v>564</v>
      </c>
      <c r="B27" s="780">
        <f t="shared" ca="1" si="2"/>
        <v>7.2407533656429068</v>
      </c>
      <c r="C27" s="481">
        <f t="shared" ca="1" si="3"/>
        <v>0</v>
      </c>
      <c r="D27" s="481">
        <f t="shared" si="4"/>
        <v>16.230174508898767</v>
      </c>
      <c r="E27" s="481">
        <f t="shared" si="5"/>
        <v>77.776355227866318</v>
      </c>
      <c r="F27" s="481">
        <f t="shared" si="6"/>
        <v>0</v>
      </c>
      <c r="G27" s="481">
        <f t="shared" si="7"/>
        <v>44920.002142944242</v>
      </c>
      <c r="H27" s="481">
        <f t="shared" si="8"/>
        <v>5483.9938644665208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50505.243290513172</v>
      </c>
    </row>
    <row r="28" spans="1:17">
      <c r="A28" s="476" t="s">
        <v>554</v>
      </c>
      <c r="B28" s="477">
        <f t="shared" ca="1" si="2"/>
        <v>0</v>
      </c>
      <c r="C28" s="477">
        <f t="shared" ca="1" si="3"/>
        <v>0</v>
      </c>
      <c r="D28" s="477">
        <f t="shared" si="4"/>
        <v>0</v>
      </c>
      <c r="E28" s="477">
        <f t="shared" si="5"/>
        <v>0</v>
      </c>
      <c r="F28" s="477">
        <f t="shared" si="6"/>
        <v>0</v>
      </c>
      <c r="G28" s="477">
        <f t="shared" si="7"/>
        <v>308.35581708576086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308.35581708576086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332.90494289034257</v>
      </c>
      <c r="C32" s="477">
        <f t="shared" ca="1" si="3"/>
        <v>0</v>
      </c>
      <c r="D32" s="477">
        <f t="shared" si="4"/>
        <v>567.7068290737999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900.61177196414246</v>
      </c>
    </row>
    <row r="33" spans="1:17" s="486" customFormat="1">
      <c r="A33" s="1038" t="s">
        <v>558</v>
      </c>
      <c r="B33" s="978">
        <f ca="1">SUM(B22:B32)</f>
        <v>21357.736683506762</v>
      </c>
      <c r="C33" s="978">
        <f t="shared" ref="C33:Q33" ca="1" si="18">SUM(C22:C32)</f>
        <v>444.56974789915967</v>
      </c>
      <c r="D33" s="978">
        <f t="shared" ca="1" si="18"/>
        <v>46674.233561442008</v>
      </c>
      <c r="E33" s="978">
        <f t="shared" si="18"/>
        <v>2670.4391213860977</v>
      </c>
      <c r="F33" s="978">
        <f t="shared" ca="1" si="18"/>
        <v>11594.497937844419</v>
      </c>
      <c r="G33" s="978">
        <f t="shared" si="18"/>
        <v>45228.35796003</v>
      </c>
      <c r="H33" s="978">
        <f t="shared" si="18"/>
        <v>5483.9938644665208</v>
      </c>
      <c r="I33" s="978">
        <f t="shared" si="18"/>
        <v>0</v>
      </c>
      <c r="J33" s="978">
        <f t="shared" si="18"/>
        <v>350.6767398404545</v>
      </c>
      <c r="K33" s="978">
        <f t="shared" si="18"/>
        <v>0</v>
      </c>
      <c r="L33" s="978">
        <f t="shared" ca="1" si="18"/>
        <v>0</v>
      </c>
      <c r="M33" s="978">
        <f t="shared" si="18"/>
        <v>0</v>
      </c>
      <c r="N33" s="978">
        <f t="shared" ca="1" si="18"/>
        <v>0</v>
      </c>
      <c r="O33" s="978">
        <f t="shared" si="18"/>
        <v>0</v>
      </c>
      <c r="P33" s="978">
        <f t="shared" si="18"/>
        <v>0</v>
      </c>
      <c r="Q33" s="978">
        <f t="shared" ca="1" si="18"/>
        <v>133804.50561641544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11224.671102440185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43.65</v>
      </c>
      <c r="C8" s="1055">
        <f>'SEAP template'!C76</f>
        <v>1309.5000000000002</v>
      </c>
      <c r="D8" s="1055">
        <f>'SEAP template'!D76</f>
        <v>1540.5882352941176</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311.19882352941175</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11268.321102440184</v>
      </c>
      <c r="C10" s="1059">
        <f>SUM(C4:C9)</f>
        <v>1309.5000000000002</v>
      </c>
      <c r="D10" s="1059">
        <f t="shared" ref="D10:H10" si="0">SUM(D8:D9)</f>
        <v>1540.5882352941176</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311.19882352941175</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0.19810345800928947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1870.7142857142858</v>
      </c>
      <c r="D17" s="1056">
        <f>'SEAP template'!D87</f>
        <v>2200.8403361344535</v>
      </c>
      <c r="E17" s="1056">
        <f>'SEAP template'!E87</f>
        <v>0</v>
      </c>
      <c r="F17" s="1056">
        <f>'SEAP template'!F87</f>
        <v>0</v>
      </c>
      <c r="G17" s="1056">
        <f>'SEAP template'!G87</f>
        <v>0</v>
      </c>
      <c r="H17" s="1056">
        <f>'SEAP template'!H87</f>
        <v>0</v>
      </c>
      <c r="I17" s="1056">
        <f>'SEAP template'!I87</f>
        <v>0</v>
      </c>
      <c r="J17" s="1056">
        <f>'SEAP template'!J87</f>
        <v>73.3613445378151</v>
      </c>
      <c r="K17" s="1056">
        <f>'SEAP template'!K87</f>
        <v>0</v>
      </c>
      <c r="L17" s="1056">
        <f>'SEAP template'!L87</f>
        <v>0</v>
      </c>
      <c r="M17" s="1056">
        <f>'SEAP template'!M87</f>
        <v>0</v>
      </c>
      <c r="N17" s="1056">
        <f>'SEAP template'!N87</f>
        <v>0</v>
      </c>
      <c r="O17" s="1056">
        <f>'SEAP template'!O87</f>
        <v>0</v>
      </c>
      <c r="P17" s="1056">
        <f>'SEAP template'!Q87</f>
        <v>444.56974789915967</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1870.7142857142858</v>
      </c>
      <c r="D20" s="1059">
        <f t="shared" ref="D20:H20" si="2">SUM(D17:D19)</f>
        <v>2200.8403361344535</v>
      </c>
      <c r="E20" s="1059">
        <f t="shared" si="2"/>
        <v>0</v>
      </c>
      <c r="F20" s="1059">
        <f t="shared" si="2"/>
        <v>0</v>
      </c>
      <c r="G20" s="1059">
        <f t="shared" si="2"/>
        <v>0</v>
      </c>
      <c r="H20" s="1059">
        <f t="shared" si="2"/>
        <v>0</v>
      </c>
      <c r="I20" s="1059">
        <f>SUM(I17:I19)</f>
        <v>0</v>
      </c>
      <c r="J20" s="1059">
        <f>SUM(J17:J19)</f>
        <v>73.3613445378151</v>
      </c>
      <c r="K20" s="1059">
        <f t="shared" ref="K20:L20" si="3">SUM(K17:K19)</f>
        <v>0</v>
      </c>
      <c r="L20" s="1059">
        <f t="shared" si="3"/>
        <v>0</v>
      </c>
      <c r="M20" s="1059">
        <f>SUM(M17:M19)</f>
        <v>0</v>
      </c>
      <c r="N20" s="1059">
        <f>SUM(N17:N19)</f>
        <v>0</v>
      </c>
      <c r="O20" s="1059">
        <f>SUM(O17:O19)</f>
        <v>0</v>
      </c>
      <c r="P20" s="1059">
        <f>SUM(P17:P19)</f>
        <v>444.56974789915967</v>
      </c>
    </row>
    <row r="22" spans="1:16">
      <c r="A22" s="487" t="s">
        <v>871</v>
      </c>
      <c r="B22" s="786" t="s">
        <v>865</v>
      </c>
      <c r="C22" s="786">
        <f ca="1">'EF ele_warmte'!B22</f>
        <v>0.22998102466793169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0.19810345800928947</v>
      </c>
      <c r="C17" s="524">
        <f ca="1">'EF ele_warmte'!B22</f>
        <v>0.22998102466793169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2019-08-12T08:25:03Z</dcterms:modified>
</cp:coreProperties>
</file>