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<sst xmlns="http://schemas.openxmlformats.org/spreadsheetml/2006/main" count="2410" uniqueCount="901">
  <si>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</si>
  <si>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</si>
  <si>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</si>
  <si>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</si>
  <si>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</si>
  <si>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</si>
  <si>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</si>
  <si>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</si>
  <si>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</si>
  <si>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</si>
  <si>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</si>
  <si>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</si>
  <si>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</si>
  <si>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</si>
  <si>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</si>
  <si>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</si>
  <si>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</si>
  <si>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</si>
  <si>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</si>
  <si>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</si>
  <si>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</si>
  <si>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</si>
  <si>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</si>
  <si>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</si>
  <si>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</si>
  <si>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</si>
  <si>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</si>
  <si>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</si>
  <si>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</si>
  <si>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</si>
  <si>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</si>
  <si>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</si>
  <si>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</si>
  <si>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</si>
  <si>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</si>
  <si>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</si>
  <si>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</si>
  <si>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</si>
  <si>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</si>
  <si>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</si>
  <si>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</si>
  <si>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</si>
  <si>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</si>
  <si>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</si>
  <si>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</si>
  <si>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</si>
  <si>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</si>
  <si>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</si>
  <si>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</si>
  <si>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</si>
  <si>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</si>
  <si>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</si>
  <si>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</si>
  <si>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</si>
  <si>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</si>
  <si>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</si>
  <si>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</si>
  <si>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</si>
  <si>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</si>
  <si>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</si>
  <si>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</si>
  <si>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</si>
  <si>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</si>
  <si>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</si>
  <si>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</si>
  <si>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</si>
  <si>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</si>
  <si>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</si>
  <si>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</si>
  <si>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</si>
  <si>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</si>
  <si>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</si>
  <si>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</si>
  <si>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</si>
  <si>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</si>
  <si>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</si>
  <si>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</si>
  <si>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</si>
  <si>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</si>
  <si>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</si>
  <si>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</si>
  <si>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</si>
  <si>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</si>
  <si>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</si>
  <si>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</si>
  <si>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</si>
  <si>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</si>
  <si>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</si>
  <si>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</si>
  <si>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</si>
  <si>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</si>
  <si>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</si>
  <si>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</si>
  <si>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</si>
  <si>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</si>
  <si>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</si>
  <si>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</si>
  <si>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</si>
  <si>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</si>
  <si>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</si>
  <si>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</si>
  <si>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</si>
  <si>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</si>
  <si>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</si>
  <si>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</si>
  <si>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</si>
  <si>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</si>
  <si>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</si>
  <si>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</si>
  <si>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</si>
  <si>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</si>
  <si>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</si>
  <si>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</si>
  <si>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</si>
  <si>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</si>
  <si>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</si>
  <si>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</si>
  <si>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</si>
  <si>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</si>
  <si>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</si>
  <si>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</si>
  <si>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</si>
  <si>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</si>
  <si>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</si>
  <si>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</si>
  <si>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</si>
  <si>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</si>
  <si>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</si>
  <si>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</si>
  <si>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</si>
  <si>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</si>
  <si>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</si>
  <si>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</si>
  <si>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</si>
  <si>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</si>
  <si>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</si>
  <si>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</si>
  <si>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</si>
  <si>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</si>
  <si>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</si>
  <si>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</si>
  <si>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</si>
  <si>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</si>
  <si>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</si>
  <si>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</si>
  <si>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</si>
  <si>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</si>
  <si>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</si>
  <si>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</si>
  <si>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</si>
  <si>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</si>
  <si>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</si>
  <si>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</si>
  <si>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</si>
  <si>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</si>
  <si>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</si>
  <si>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</si>
  <si>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</si>
  <si>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</si>
  <si>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</si>
  <si>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</si>
  <si>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</si>
  <si>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</si>
  <si>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</si>
  <si>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</si>
  <si>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</si>
  <si>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</si>
  <si>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</si>
  <si>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</si>
  <si>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</si>
  <si>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</si>
  <si>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</si>
  <si>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</si>
  <si>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</si>
  <si>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</si>
  <si>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</si>
  <si>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</si>
  <si>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</si>
  <si>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</si>
  <si>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</si>
  <si>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</si>
  <si>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</si>
  <si>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</si>
  <si>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</si>
  <si>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</si>
  <si>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</si>
  <si>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</si>
  <si>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</si>
  <si>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</si>
  <si>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</si>
  <si>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</si>
  <si>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</si>
  <si>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</si>
  <si>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</si>
  <si>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</si>
  <si>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</si>
  <si>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</si>
  <si>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</si>
  <si>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</si>
  <si>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</si>
  <si>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</si>
  <si>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</si>
  <si>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</si>
  <si>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</si>
  <si>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</si>
  <si>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</si>
  <si>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</si>
  <si>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</si>
  <si>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</si>
  <si>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</si>
  <si>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</si>
  <si>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</si>
  <si>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</si>
  <si>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</si>
  <si>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</si>
  <si>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</si>
  <si>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</si>
  <si>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</si>
  <si>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</si>
  <si>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</si>
  <si>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</si>
  <si>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</si>
  <si>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</si>
  <si>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</si>
  <si>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</si>
  <si>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</si>
  <si>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</si>
  <si>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</si>
  <si>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</si>
  <si>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</si>
  <si>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</si>
  <si>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</si>
  <si>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</si>
  <si>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</si>
  <si>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</si>
  <si>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</si>
  <si>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</si>
  <si>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</si>
  <si>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</si>
  <si>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</si>
  <si>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</si>
  <si>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</si>
  <si>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</si>
  <si>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</si>
  <si>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</si>
  <si>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</si>
  <si>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</si>
  <si>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</si>
  <si>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</si>
  <si>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</si>
  <si>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</si>
  <si>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</si>
  <si>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</si>
  <si>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</si>
  <si>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</si>
  <si>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</si>
  <si>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</si>
  <si>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</si>
  <si>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</si>
  <si>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</si>
  <si>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</si>
  <si>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</si>
  <si>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</si>
  <si>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</si>
  <si>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</si>
  <si>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</si>
  <si>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</si>
  <si>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</si>
  <si>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</si>
  <si>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</si>
  <si>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</si>
  <si>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</si>
  <si>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</si>
  <si>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</si>
  <si>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</si>
  <si>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</si>
  <si>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</si>
  <si>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</si>
  <si>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</si>
  <si>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</si>
  <si>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</si>
  <si>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</si>
  <si>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</si>
  <si>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</si>
  <si>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</si>
  <si>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</si>
  <si>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</si>
  <si>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</si>
  <si>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</si>
  <si>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</si>
  <si>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</si>
  <si>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</si>
  <si>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</si>
  <si>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</si>
  <si>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</si>
  <si>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</si>
  <si>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</si>
  <si>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</si>
  <si>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</si>
  <si>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</si>
  <si>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</si>
  <si>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</si>
  <si>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</si>
  <si>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</si>
  <si>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</si>
  <si>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</si>
  <si>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</si>
  <si>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</si>
  <si>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</si>
  <si>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</si>
  <si>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</si>
  <si>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</si>
  <si>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</si>
  <si>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</si>
  <si>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</si>
  <si>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</si>
  <si>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</si>
  <si>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</si>
  <si>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</si>
  <si>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</si>
  <si>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</si>
  <si>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</si>
  <si>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</si>
  <si>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</si>
  <si>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</si>
  <si>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</si>
  <si>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</si>
  <si>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</si>
  <si>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</si>
  <si>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</si>
  <si>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</si>
  <si>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</si>
  <si>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</si>
  <si>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</si>
  <si>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</si>
  <si>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</si>
  <si>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</si>
  <si>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</si>
  <si>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</si>
  <si>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</si>
  <si>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</si>
  <si>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</si>
  <si>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</si>
  <si>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</si>
  <si>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</si>
  <si>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</si>
  <si>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</si>
  <si>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</si>
  <si>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</si>
  <si>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</si>
  <si>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</si>
  <si>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</si>
  <si>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</si>
  <si>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</si>
  <si>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</si>
  <si>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</si>
  <si>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</si>
  <si>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</si>
  <si>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</si>
  <si>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</si>
  <si>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</si>
  <si>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</si>
  <si>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</si>
  <si>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</si>
  <si>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</si>
  <si>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</si>
  <si>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</si>
  <si>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</si>
  <si>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</si>
  <si>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</si>
  <si>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</si>
  <si>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</si>
  <si>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</si>
  <si>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</si>
  <si>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</si>
  <si>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</si>
  <si>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</si>
  <si>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</si>
  <si>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</si>
  <si>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</si>
  <si>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</si>
  <si>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</si>
  <si>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</si>
  <si>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</si>
  <si>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</si>
  <si>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</si>
  <si>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</si>
  <si>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</si>
  <si>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</si>
  <si>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</si>
  <si>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</si>
  <si>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</si>
  <si>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</si>
  <si>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</si>
  <si>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</si>
  <si>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</si>
  <si>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</si>
  <si>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</si>
  <si>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</si>
  <si>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</si>
  <si>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</si>
  <si>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</si>
  <si>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</si>
  <si>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</si>
  <si>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</si>
  <si>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</si>
  <si>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</si>
  <si>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</si>
  <si>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</si>
  <si>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</si>
  <si>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</si>
  <si>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</si>
  <si>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</si>
  <si>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</si>
  <si>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</si>
  <si>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</si>
  <si>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</si>
  <si>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</si>
  <si>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</si>
  <si>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</si>
  <si>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</si>
  <si>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</si>
  <si>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</si>
  <si>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</si>
  <si>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</si>
  <si>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</si>
  <si>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</si>
  <si>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</si>
  <si>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</si>
  <si>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</si>
  <si>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</si>
  <si>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</si>
  <si>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</si>
  <si>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</si>
  <si>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</si>
  <si>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</si>
  <si>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</si>
  <si>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</si>
  <si>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</si>
  <si>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</si>
  <si>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</si>
  <si>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</si>
  <si>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</si>
  <si>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</si>
  <si>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</si>
  <si>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</si>
  <si>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</si>
  <si>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</si>
  <si>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</si>
  <si>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</si>
  <si>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</si>
  <si>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</si>
  <si>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</si>
  <si>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</si>
  <si>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</si>
  <si>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</si>
  <si>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</si>
  <si>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</si>
  <si>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</si>
  <si>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</si>
  <si>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</si>
  <si>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</si>
  <si>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</si>
  <si>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</si>
  <si>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</si>
  <si>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</si>
  <si>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</si>
  <si>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</si>
  <si>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</si>
  <si>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</si>
  <si>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</si>
  <si>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</si>
  <si>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</si>
  <si>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</si>
  <si>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</si>
  <si>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</si>
  <si>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</si>
  <si>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</si>
  <si>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</si>
  <si>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</si>
  <si>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</si>
  <si>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</si>
  <si>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</si>
  <si>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</si>
  <si>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</si>
  <si>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</si>
  <si>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</si>
  <si>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</si>
  <si>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</si>
  <si>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</si>
  <si>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</si>
  <si>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</si>
  <si>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</si>
  <si>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</si>
  <si>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</si>
  <si>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</si>
  <si>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</si>
  <si>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</si>
  <si>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</si>
  <si>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</si>
  <si>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</si>
  <si>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</si>
  <si>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</si>
  <si>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</si>
  <si>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</si>
  <si>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</si>
  <si>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</si>
  <si>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</si>
  <si>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</si>
  <si>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</si>
  <si>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</si>
  <si>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</si>
  <si>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</si>
  <si>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</si>
  <si>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</si>
  <si>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</si>
  <si>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</si>
  <si>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</si>
  <si>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</si>
  <si>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</si>
  <si>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</si>
  <si>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</si>
  <si>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</si>
  <si>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</si>
  <si>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</si>
  <si>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</si>
  <si>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</si>
  <si>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</si>
  <si>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</si>
  <si>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</si>
  <si>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</si>
  <si>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</si>
  <si>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</si>
  <si>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</si>
  <si>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</si>
  <si>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</si>
  <si>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</si>
  <si>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</si>
  <si>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</si>
  <si>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</si>
  <si>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</si>
  <si>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</si>
  <si>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</si>
  <si>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</si>
  <si>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</si>
  <si>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</si>
  <si>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</si>
  <si>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</si>
  <si>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</si>
  <si>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</si>
  <si>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</si>
  <si>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</si>
  <si>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</si>
  <si>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</si>
  <si>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</si>
  <si>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</si>
  <si>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</si>
  <si>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</si>
  <si>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</si>
  <si>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</si>
  <si>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</si>
  <si>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</si>
  <si>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</si>
  <si>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</si>
  <si>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</si>
  <si>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</si>
  <si>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</si>
  <si>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</si>
  <si>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</si>
  <si>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</si>
  <si>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</si>
  <si>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</si>
  <si>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</si>
  <si>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</si>
  <si>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</si>
  <si>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</si>
  <si>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</si>
  <si>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</si>
  <si>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</si>
  <si>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</si>
  <si>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</si>
  <si>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</si>
  <si>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</si>
  <si>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</si>
  <si>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</si>
  <si>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</si>
  <si>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</si>
  <si>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</si>
  <si>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</si>
  <si>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</si>
  <si>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</si>
  <si>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</si>
  <si>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</si>
  <si>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</si>
  <si>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</si>
  <si>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</si>
  <si>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</si>
  <si>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</si>
  <si>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</si>
  <si>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</si>
  <si>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</si>
  <si>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</si>
  <si>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</si>
  <si>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</si>
  <si>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</si>
  <si>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</si>
  <si>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</si>
  <si>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</si>
  <si>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</si>
  <si>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</si>
  <si>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</si>
  <si>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</si>
  <si>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</si>
  <si>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</si>
  <si>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</si>
  <si>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</si>
  <si>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</si>
  <si>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</si>
  <si>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</si>
  <si>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</si>
  <si>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</si>
  <si>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</si>
  <si>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</si>
  <si>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</si>
  <si>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</si>
  <si>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</si>
  <si>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</si>
  <si>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</si>
  <si>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</si>
  <si>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</si>
  <si>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</si>
  <si>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</si>
  <si>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</si>
  <si>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</si>
  <si>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</si>
  <si>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</si>
  <si>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</si>
  <si>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</si>
  <si>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</si>
  <si>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</si>
  <si>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</si>
  <si>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</si>
  <si>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</si>
  <si>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</si>
  <si>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</si>
  <si>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</si>
  <si>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</si>
  <si>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</si>
  <si>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</si>
  <si>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</si>
  <si>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</si>
  <si>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</si>
  <si>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</si>
  <si>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</si>
  <si>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</si>
  <si>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</si>
  <si>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</si>
  <si>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</si>
  <si>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</si>
  <si>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</si>
  <si>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</si>
  <si>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</si>
  <si>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</si>
  <si>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</si>
  <si>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</si>
  <si>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</si>
  <si>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</si>
  <si>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</si>
  <si>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</si>
  <si>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</si>
  <si>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</si>
  <si>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</si>
  <si>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</si>
  <si>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</si>
  <si>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</si>
  <si>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</si>
  <si>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</si>
  <si>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</si>
  <si>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</si>
  <si>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</si>
  <si>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</si>
  <si>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</si>
  <si>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</si>
  <si>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</si>
  <si>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</si>
  <si>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</si>
  <si>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</si>
  <si>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</si>
  <si>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</si>
  <si>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</si>
  <si>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</si>
  <si>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</si>
  <si>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</si>
  <si>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</si>
  <si>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</si>
  <si>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</si>
  <si>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</si>
  <si>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</si>
  <si>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</si>
  <si>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</si>
  <si>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</si>
  <si>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</si>
  <si>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</si>
  <si>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</si>
  <si>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</si>
  <si>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</si>
  <si>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</si>
  <si>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</si>
  <si>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</si>
  <si>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</si>
  <si>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</si>
  <si>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</si>
  <si>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</si>
  <si>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</si>
  <si>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</si>
  <si>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</si>
  <si>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</si>
  <si>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</si>
  <si>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</si>
  <si>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</si>
  <si>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</si>
  <si>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</si>
  <si>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</si>
  <si>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</si>
  <si>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</si>
  <si>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</si>
  <si>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</si>
  <si>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</si>
  <si>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</si>
  <si>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</si>
  <si>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</si>
  <si>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</si>
  <si>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</si>
  <si>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</si>
  <si>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</si>
  <si>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</si>
  <si>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</si>
  <si>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</si>
  <si>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</si>
  <si>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</si>
  <si>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</si>
  <si>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</si>
  <si>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</si>
  <si>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</si>
  <si>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</si>
  <si>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</si>
  <si>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</si>
  <si>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</si>
  <si>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</si>
  <si>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</si>
  <si>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</si>
  <si>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</si>
  <si>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</si>
  <si>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</si>
  <si>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</si>
  <si>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</si>
  <si>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</si>
  <si>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</si>
  <si>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</si>
  <si>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</si>
  <si>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</si>
  <si>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</si>
  <si>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</si>
  <si>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</si>
  <si>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</si>
  <si>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</si>
  <si>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</si>
  <si>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</si>
  <si>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</si>
  <si>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</si>
  <si>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</si>
  <si>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</si>
  <si>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</si>
  <si>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</si>
  <si>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</si>
  <si>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</si>
  <si>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</si>
  <si>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</si>
  <si>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</si>
  <si>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</si>
  <si>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</si>
  <si>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</si>
  <si>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</si>
  <si>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</si>
  <si>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</si>
  <si>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</si>
  <si>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</si>
  <si>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</si>
  <si>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</si>
  <si>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</si>
  <si>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</si>
  <si>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</si>
  <si>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</si>
  <si>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</si>
  <si>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</si>
  <si>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</si>
  <si>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</si>
  <si>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</si>
  <si>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</si>
  <si>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</si>
  <si>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</si>
  <si>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</si>
  <si>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</si>
  <si>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</si>
  <si>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</si>
  <si>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</si>
  <si>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</si>
  <si>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</si>
  <si>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</si>
  <si>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</si>
  <si>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</si>
  <si>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</si>
  <si>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</si>
  <si>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</si>
  <si>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</si>
  <si>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</si>
  <si>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</si>
  <si>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</si>
  <si>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</si>
  <si>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</si>
  <si>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</si>
  <si>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</si>
  <si>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</si>
  <si>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</si>
  <si>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</si>
  <si>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</si>
  <si>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</si>
  <si>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</si>
  <si>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</si>
  <si>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</si>
  <si>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</si>
  <si>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</si>
  <si>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</si>
  <si>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</si>
  <si>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</si>
  <si>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</si>
  <si>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</si>
  <si>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</si>
  <si>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</si>
  <si>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</si>
  <si>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</si>
  <si>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</si>
  <si>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</si>
  <si>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</si>
  <si>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</si>
  <si>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</si>
  <si>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</si>
  <si>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</si>
  <si>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</si>
  <si>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</si>
  <si>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</si>
  <si>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</si>
  <si>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</si>
  <si>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</si>
  <si>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</si>
  <si>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</si>
  <si>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</si>
  <si>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</si>
  <si>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</si>
  <si>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</si>
  <si>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</si>
  <si>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</si>
  <si>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</si>
  <si>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</si>
  <si>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</si>
  <si>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</si>
  <si>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</si>
  <si>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</si>
  <si>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</si>
  <si>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</si>
  <si>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</si>
  <si>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</si>
  <si>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</si>
  <si>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</si>
  <si>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</si>
  <si>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</si>
  <si>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</si>
  <si>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</si>
  <si>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</si>
  <si>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</si>
  <si>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</si>
  <si>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</si>
  <si>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38014</t>
  </si>
  <si>
    <t>KOKSIJDE</t>
  </si>
  <si>
    <t>Paarden&amp;pony's 200 - 600 kg</t>
  </si>
  <si>
    <t>Paarden&amp;pony's &lt; 200 kg</t>
  </si>
  <si>
    <t>referentietaak LNE (2017); Jaarverslag De Lijn (2015)</t>
  </si>
  <si>
    <t>op basis van VEA (maart 2018) en Inventaris Hernieuwbare Energiebronnen (juni 2018)</t>
  </si>
  <si>
    <t>VEA (januari 2017)</t>
  </si>
  <si>
    <t>VEA (juni 2018)</t>
  </si>
  <si>
    <t>Filip Dekeerle</t>
  </si>
  <si>
    <t>Witte Burg 60 , 8670 Oostduinkerke</t>
  </si>
  <si>
    <t>WKK-0427 Filip Dekeerle</t>
  </si>
  <si>
    <t>interne verbrandingsmotor</t>
  </si>
  <si>
    <t>WKK interne verbrandinsgmotor (gas)</t>
  </si>
  <si>
    <t>GASELWEST</t>
  </si>
  <si>
    <t>Domein Westhoek vzw</t>
  </si>
  <si>
    <t>Noordzeedreef 6-8 , 8670 Oostduinkerke</t>
  </si>
  <si>
    <t>WKK-0588 Domein Westhoek</t>
  </si>
  <si>
    <t>Noordzeedreef 6 , 8670 Oostduinkerke</t>
  </si>
  <si>
    <t>hotels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</si>
</sst>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168718.49749930561</c:v>
                </c:pt>
                <c:pt idx="1">
                  <c:v>132733.12180736728</c:v>
                </c:pt>
                <c:pt idx="2">
                  <c:v>2934.703</c:v>
                </c:pt>
                <c:pt idx="3">
                  <c:v>5785.7351808946087</c:v>
                </c:pt>
                <c:pt idx="4">
                  <c:v>12014.10922088189</c:v>
                </c:pt>
                <c:pt idx="5">
                  <c:v>105869.99490911697</c:v>
                </c:pt>
                <c:pt idx="6">
                  <c:v>2667.173562544684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04864"/>
        <c:axId val="182806400"/>
      </c:barChart>
      <c:catAx>
        <c:axId val="182804864"/>
        <c:scaling>
          <c:orientation val="minMax"/>
        </c:scaling>
        <c:axPos val="b"/>
        <c:numFmt formatCode="General" sourceLinked="0"/>
        <c:tickLblPos val="nextTo"/>
        <c:crossAx val="182806400"/>
        <c:crosses val="autoZero"/>
        <c:auto val="1"/>
        <c:lblAlgn val="ctr"/>
        <c:lblOffset val="100"/>
      </c:catAx>
      <c:valAx>
        <c:axId val="182806400"/>
        <c:scaling>
          <c:orientation val="minMax"/>
        </c:scaling>
        <c:axPos val="l"/>
        <c:majorGridlines/>
        <c:numFmt formatCode="#,##0" sourceLinked="1"/>
        <c:tickLblPos val="nextTo"/>
        <c:crossAx val="1828048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168718.49749930561</c:v>
                </c:pt>
                <c:pt idx="1">
                  <c:v>132733.12180736728</c:v>
                </c:pt>
                <c:pt idx="2">
                  <c:v>2934.703</c:v>
                </c:pt>
                <c:pt idx="3">
                  <c:v>5785.7351808946087</c:v>
                </c:pt>
                <c:pt idx="4">
                  <c:v>12014.10922088189</c:v>
                </c:pt>
                <c:pt idx="5">
                  <c:v>105869.99490911697</c:v>
                </c:pt>
                <c:pt idx="6">
                  <c:v>2667.173562544684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34570.283826483646</c:v>
                </c:pt>
                <c:pt idx="2">
                  <c:v>27045.883547762867</c:v>
                </c:pt>
                <c:pt idx="3">
                  <c:v>630.16808521649648</c:v>
                </c:pt>
                <c:pt idx="4">
                  <c:v>1485.7785507385213</c:v>
                </c:pt>
                <c:pt idx="5">
                  <c:v>2392.3325847326173</c:v>
                </c:pt>
                <c:pt idx="6">
                  <c:v>27145.492195743442</c:v>
                </c:pt>
                <c:pt idx="7">
                  <c:v>630.65474397909009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27040"/>
        <c:axId val="183149312"/>
      </c:barChart>
      <c:catAx>
        <c:axId val="183127040"/>
        <c:scaling>
          <c:orientation val="minMax"/>
        </c:scaling>
        <c:axPos val="b"/>
        <c:numFmt formatCode="General" sourceLinked="0"/>
        <c:tickLblPos val="nextTo"/>
        <c:crossAx val="183149312"/>
        <c:crosses val="autoZero"/>
        <c:auto val="1"/>
        <c:lblAlgn val="ctr"/>
        <c:lblOffset val="100"/>
      </c:catAx>
      <c:valAx>
        <c:axId val="183149312"/>
        <c:scaling>
          <c:orientation val="minMax"/>
        </c:scaling>
        <c:axPos val="l"/>
        <c:majorGridlines/>
        <c:numFmt formatCode="#,##0" sourceLinked="1"/>
        <c:tickLblPos val="nextTo"/>
        <c:crossAx val="183127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34570.283826483646</c:v>
                </c:pt>
                <c:pt idx="2">
                  <c:v>27045.883547762867</c:v>
                </c:pt>
                <c:pt idx="3">
                  <c:v>630.16808521649648</c:v>
                </c:pt>
                <c:pt idx="4">
                  <c:v>1485.7785507385213</c:v>
                </c:pt>
                <c:pt idx="5">
                  <c:v>2392.3325847326173</c:v>
                </c:pt>
                <c:pt idx="6">
                  <c:v>27145.492195743442</c:v>
                </c:pt>
                <c:pt idx="7">
                  <c:v>630.65474397909009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38014</v>
      </c>
      <c r="B6" s="415"/>
      <c r="C6" s="416"/>
    </row>
    <row r="7" spans="1:7" s="413" customFormat="1" ht="15.75" customHeight="1">
      <c r="A7" s="417" t="str">
        <f>txtMunicipality</f>
        <v>KOKSIJDE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0.21472976489153978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0.21472976489153978</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11247</v>
      </c>
      <c r="C9" s="342">
        <v>11661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2155.3200000000002</v>
      </c>
    </row>
    <row r="15" spans="1:6">
      <c r="A15" s="348" t="s">
        <v>184</v>
      </c>
      <c r="B15" s="334">
        <v>6</v>
      </c>
    </row>
    <row r="16" spans="1:6">
      <c r="A16" s="348" t="s">
        <v>6</v>
      </c>
      <c r="B16" s="334">
        <v>236</v>
      </c>
    </row>
    <row r="17" spans="1:6">
      <c r="A17" s="348" t="s">
        <v>7</v>
      </c>
      <c r="B17" s="334">
        <v>173</v>
      </c>
    </row>
    <row r="18" spans="1:6">
      <c r="A18" s="348" t="s">
        <v>8</v>
      </c>
      <c r="B18" s="334">
        <v>248</v>
      </c>
    </row>
    <row r="19" spans="1:6">
      <c r="A19" s="348" t="s">
        <v>9</v>
      </c>
      <c r="B19" s="334">
        <v>259</v>
      </c>
    </row>
    <row r="20" spans="1:6">
      <c r="A20" s="348" t="s">
        <v>10</v>
      </c>
      <c r="B20" s="334">
        <v>414</v>
      </c>
    </row>
    <row r="21" spans="1:6">
      <c r="A21" s="348" t="s">
        <v>11</v>
      </c>
      <c r="B21" s="334">
        <v>6203</v>
      </c>
    </row>
    <row r="22" spans="1:6">
      <c r="A22" s="348" t="s">
        <v>12</v>
      </c>
      <c r="B22" s="334">
        <v>7784</v>
      </c>
    </row>
    <row r="23" spans="1:6">
      <c r="A23" s="348" t="s">
        <v>13</v>
      </c>
      <c r="B23" s="334">
        <v>183</v>
      </c>
    </row>
    <row r="24" spans="1:6">
      <c r="A24" s="348" t="s">
        <v>14</v>
      </c>
      <c r="B24" s="334">
        <v>87</v>
      </c>
    </row>
    <row r="25" spans="1:6">
      <c r="A25" s="348" t="s">
        <v>15</v>
      </c>
      <c r="B25" s="334">
        <v>1518</v>
      </c>
    </row>
    <row r="26" spans="1:6">
      <c r="A26" s="348" t="s">
        <v>16</v>
      </c>
      <c r="B26" s="334">
        <v>112</v>
      </c>
    </row>
    <row r="27" spans="1:6">
      <c r="A27" s="348" t="s">
        <v>17</v>
      </c>
      <c r="B27" s="334">
        <v>3</v>
      </c>
    </row>
    <row r="28" spans="1:6" s="356" customFormat="1">
      <c r="A28" s="355" t="s">
        <v>18</v>
      </c>
      <c r="B28" s="355">
        <v>265298</v>
      </c>
    </row>
    <row r="29" spans="1:6">
      <c r="A29" s="355" t="s">
        <v>884</v>
      </c>
      <c r="B29" s="355">
        <v>194</v>
      </c>
      <c r="C29" s="356"/>
      <c r="D29" s="356"/>
      <c r="E29" s="356"/>
      <c r="F29" s="356"/>
    </row>
    <row r="30" spans="1:6">
      <c r="A30" s="355" t="s">
        <v>885</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1127643.9179</v>
      </c>
      <c r="E36" s="334">
        <v>3</v>
      </c>
      <c r="F36" s="334">
        <v>8081</v>
      </c>
    </row>
    <row r="37" spans="1:6">
      <c r="A37" s="348" t="s">
        <v>25</v>
      </c>
      <c r="B37" s="348" t="s">
        <v>28</v>
      </c>
      <c r="C37" s="334">
        <v>0</v>
      </c>
      <c r="D37" s="334">
        <v>0</v>
      </c>
      <c r="E37" s="334">
        <v>0</v>
      </c>
      <c r="F37" s="334">
        <v>0</v>
      </c>
    </row>
    <row r="38" spans="1:6">
      <c r="A38" s="348" t="s">
        <v>25</v>
      </c>
      <c r="B38" s="348" t="s">
        <v>29</v>
      </c>
      <c r="C38" s="334">
        <v>1</v>
      </c>
      <c r="D38" s="334">
        <v>37994.798970000003</v>
      </c>
      <c r="E38" s="334">
        <v>1</v>
      </c>
      <c r="F38" s="334">
        <v>3860.5886776000002</v>
      </c>
    </row>
    <row r="39" spans="1:6">
      <c r="A39" s="348" t="s">
        <v>30</v>
      </c>
      <c r="B39" s="348" t="s">
        <v>31</v>
      </c>
      <c r="C39" s="334">
        <v>11970</v>
      </c>
      <c r="D39" s="334">
        <v>128150208.23999999</v>
      </c>
      <c r="E39" s="334">
        <v>21506</v>
      </c>
      <c r="F39" s="334">
        <v>49429183.119999997</v>
      </c>
    </row>
    <row r="40" spans="1:6">
      <c r="A40" s="348" t="s">
        <v>30</v>
      </c>
      <c r="B40" s="348" t="s">
        <v>29</v>
      </c>
      <c r="C40" s="334">
        <v>0</v>
      </c>
      <c r="D40" s="334">
        <v>0</v>
      </c>
      <c r="E40" s="334">
        <v>0</v>
      </c>
      <c r="F40" s="334">
        <v>0</v>
      </c>
    </row>
    <row r="41" spans="1:6">
      <c r="A41" s="348" t="s">
        <v>32</v>
      </c>
      <c r="B41" s="348" t="s">
        <v>33</v>
      </c>
      <c r="C41" s="334">
        <v>216</v>
      </c>
      <c r="D41" s="334">
        <v>3015854.0082</v>
      </c>
      <c r="E41" s="334">
        <v>437</v>
      </c>
      <c r="F41" s="334">
        <v>2186588.5351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20152.764294000001</v>
      </c>
      <c r="E44" s="334">
        <v>7</v>
      </c>
      <c r="F44" s="334">
        <v>99761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120201.87751999999</v>
      </c>
      <c r="E47" s="334">
        <v>8</v>
      </c>
      <c r="F47" s="334">
        <v>38978.713153999997</v>
      </c>
    </row>
    <row r="48" spans="1:6">
      <c r="A48" s="348" t="s">
        <v>32</v>
      </c>
      <c r="B48" s="348" t="s">
        <v>29</v>
      </c>
      <c r="C48" s="334">
        <v>27</v>
      </c>
      <c r="D48" s="334">
        <v>359559.43346999999</v>
      </c>
      <c r="E48" s="334">
        <v>38</v>
      </c>
      <c r="F48" s="334">
        <v>178925.37567000001</v>
      </c>
    </row>
    <row r="49" spans="1:6">
      <c r="A49" s="348" t="s">
        <v>32</v>
      </c>
      <c r="B49" s="348" t="s">
        <v>40</v>
      </c>
      <c r="C49" s="334">
        <v>0</v>
      </c>
      <c r="D49" s="334">
        <v>0</v>
      </c>
      <c r="E49" s="334">
        <v>4</v>
      </c>
      <c r="F49" s="334">
        <v>8383.8286977999996</v>
      </c>
    </row>
    <row r="50" spans="1:6">
      <c r="A50" s="348" t="s">
        <v>32</v>
      </c>
      <c r="B50" s="348" t="s">
        <v>41</v>
      </c>
      <c r="C50" s="334">
        <v>20</v>
      </c>
      <c r="D50" s="334">
        <v>1484202.2464000001</v>
      </c>
      <c r="E50" s="334">
        <v>27</v>
      </c>
      <c r="F50" s="334">
        <v>1016570.5544</v>
      </c>
    </row>
    <row r="51" spans="1:6">
      <c r="A51" s="348" t="s">
        <v>42</v>
      </c>
      <c r="B51" s="348" t="s">
        <v>43</v>
      </c>
      <c r="C51" s="334">
        <v>9</v>
      </c>
      <c r="D51" s="334">
        <v>124691.36089</v>
      </c>
      <c r="E51" s="334">
        <v>61</v>
      </c>
      <c r="F51" s="334">
        <v>956946.30339999998</v>
      </c>
    </row>
    <row r="52" spans="1:6">
      <c r="A52" s="348" t="s">
        <v>42</v>
      </c>
      <c r="B52" s="348" t="s">
        <v>29</v>
      </c>
      <c r="C52" s="334">
        <v>6</v>
      </c>
      <c r="D52" s="334">
        <v>137541.4529</v>
      </c>
      <c r="E52" s="334">
        <v>13</v>
      </c>
      <c r="F52" s="334">
        <v>200489.54873000001</v>
      </c>
    </row>
    <row r="53" spans="1:6">
      <c r="A53" s="348" t="s">
        <v>44</v>
      </c>
      <c r="B53" s="348" t="s">
        <v>45</v>
      </c>
      <c r="C53" s="334">
        <v>1950</v>
      </c>
      <c r="D53" s="334">
        <v>18813018.206999999</v>
      </c>
      <c r="E53" s="334">
        <v>4816</v>
      </c>
      <c r="F53" s="334">
        <v>9846890.6952</v>
      </c>
    </row>
    <row r="54" spans="1:6">
      <c r="A54" s="348" t="s">
        <v>46</v>
      </c>
      <c r="B54" s="348" t="s">
        <v>47</v>
      </c>
      <c r="C54" s="334">
        <v>0</v>
      </c>
      <c r="D54" s="334">
        <v>0</v>
      </c>
      <c r="E54" s="334">
        <v>1</v>
      </c>
      <c r="F54" s="334">
        <v>2934703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69</v>
      </c>
      <c r="D57" s="334">
        <v>4056039.6672999999</v>
      </c>
      <c r="E57" s="334">
        <v>159</v>
      </c>
      <c r="F57" s="334">
        <v>7981507.4831999997</v>
      </c>
    </row>
    <row r="58" spans="1:6">
      <c r="A58" s="348" t="s">
        <v>49</v>
      </c>
      <c r="B58" s="348" t="s">
        <v>51</v>
      </c>
      <c r="C58" s="334">
        <v>72</v>
      </c>
      <c r="D58" s="334">
        <v>2227716.1894999999</v>
      </c>
      <c r="E58" s="334">
        <v>131</v>
      </c>
      <c r="F58" s="334">
        <v>1069355.3877999999</v>
      </c>
    </row>
    <row r="59" spans="1:6">
      <c r="A59" s="348" t="s">
        <v>49</v>
      </c>
      <c r="B59" s="348" t="s">
        <v>52</v>
      </c>
      <c r="C59" s="334">
        <v>258</v>
      </c>
      <c r="D59" s="334">
        <v>4646492.7526000002</v>
      </c>
      <c r="E59" s="334">
        <v>530</v>
      </c>
      <c r="F59" s="334">
        <v>9572778.8100000005</v>
      </c>
    </row>
    <row r="60" spans="1:6">
      <c r="A60" s="348" t="s">
        <v>49</v>
      </c>
      <c r="B60" s="348" t="s">
        <v>53</v>
      </c>
      <c r="C60" s="334">
        <v>617</v>
      </c>
      <c r="D60" s="334">
        <v>26300421.987</v>
      </c>
      <c r="E60" s="334">
        <v>599</v>
      </c>
      <c r="F60" s="334">
        <v>13338560.698000001</v>
      </c>
    </row>
    <row r="61" spans="1:6">
      <c r="A61" s="348" t="s">
        <v>49</v>
      </c>
      <c r="B61" s="348" t="s">
        <v>54</v>
      </c>
      <c r="C61" s="334">
        <v>781</v>
      </c>
      <c r="D61" s="334">
        <v>24338422.441</v>
      </c>
      <c r="E61" s="334">
        <v>2776</v>
      </c>
      <c r="F61" s="334">
        <v>13559111.274</v>
      </c>
    </row>
    <row r="62" spans="1:6">
      <c r="A62" s="348" t="s">
        <v>49</v>
      </c>
      <c r="B62" s="348" t="s">
        <v>55</v>
      </c>
      <c r="C62" s="334">
        <v>9</v>
      </c>
      <c r="D62" s="334">
        <v>711955.16780000005</v>
      </c>
      <c r="E62" s="334">
        <v>13</v>
      </c>
      <c r="F62" s="334">
        <v>396863.31563000003</v>
      </c>
    </row>
    <row r="63" spans="1:6">
      <c r="A63" s="348" t="s">
        <v>49</v>
      </c>
      <c r="B63" s="348" t="s">
        <v>29</v>
      </c>
      <c r="C63" s="334">
        <v>97</v>
      </c>
      <c r="D63" s="334">
        <v>6256723.9151999997</v>
      </c>
      <c r="E63" s="334">
        <v>87</v>
      </c>
      <c r="F63" s="334">
        <v>3325385.0641999999</v>
      </c>
    </row>
    <row r="64" spans="1:6">
      <c r="A64" s="348" t="s">
        <v>56</v>
      </c>
      <c r="B64" s="348" t="s">
        <v>57</v>
      </c>
      <c r="C64" s="334">
        <v>0</v>
      </c>
      <c r="D64" s="334">
        <v>0</v>
      </c>
      <c r="E64" s="334">
        <v>0</v>
      </c>
      <c r="F64" s="334">
        <v>0</v>
      </c>
    </row>
    <row r="65" spans="1:6">
      <c r="A65" s="348" t="s">
        <v>56</v>
      </c>
      <c r="B65" s="348" t="s">
        <v>29</v>
      </c>
      <c r="C65" s="334">
        <v>4</v>
      </c>
      <c r="D65" s="334">
        <v>91353.372417999999</v>
      </c>
      <c r="E65" s="334">
        <v>3</v>
      </c>
      <c r="F65" s="334">
        <v>24233.368012999999</v>
      </c>
    </row>
    <row r="66" spans="1:6">
      <c r="A66" s="348" t="s">
        <v>56</v>
      </c>
      <c r="B66" s="348" t="s">
        <v>58</v>
      </c>
      <c r="C66" s="334">
        <v>0</v>
      </c>
      <c r="D66" s="334">
        <v>0</v>
      </c>
      <c r="E66" s="334">
        <v>26</v>
      </c>
      <c r="F66" s="334">
        <v>633099.68918999995</v>
      </c>
    </row>
    <row r="67" spans="1:6">
      <c r="A67" s="355" t="s">
        <v>56</v>
      </c>
      <c r="B67" s="355" t="s">
        <v>59</v>
      </c>
      <c r="C67" s="334">
        <v>0</v>
      </c>
      <c r="D67" s="334">
        <v>0</v>
      </c>
      <c r="E67" s="334">
        <v>0</v>
      </c>
      <c r="F67" s="334">
        <v>0</v>
      </c>
    </row>
    <row r="68" spans="1:6">
      <c r="A68" s="341" t="s">
        <v>56</v>
      </c>
      <c r="B68" s="341" t="s">
        <v>60</v>
      </c>
      <c r="C68" s="334">
        <v>5</v>
      </c>
      <c r="D68" s="334">
        <v>66758.359116000007</v>
      </c>
      <c r="E68" s="334">
        <v>21</v>
      </c>
      <c r="F68" s="334">
        <v>585069.28021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85306615</v>
      </c>
      <c r="E73" s="475">
        <v>91517359.836604685</v>
      </c>
    </row>
    <row r="74" spans="1:6">
      <c r="A74" s="348" t="s">
        <v>64</v>
      </c>
      <c r="B74" s="348" t="s">
        <v>667</v>
      </c>
      <c r="C74" s="1294" t="s">
        <v>669</v>
      </c>
      <c r="D74" s="475">
        <v>10023102.947585652</v>
      </c>
      <c r="E74" s="475">
        <v>10488950.538261123</v>
      </c>
    </row>
    <row r="75" spans="1:6">
      <c r="A75" s="348" t="s">
        <v>65</v>
      </c>
      <c r="B75" s="348" t="s">
        <v>666</v>
      </c>
      <c r="C75" s="1294" t="s">
        <v>670</v>
      </c>
      <c r="D75" s="475">
        <v>6410925</v>
      </c>
      <c r="E75" s="475">
        <v>6737600.970772231</v>
      </c>
    </row>
    <row r="76" spans="1:6">
      <c r="A76" s="348" t="s">
        <v>65</v>
      </c>
      <c r="B76" s="348" t="s">
        <v>667</v>
      </c>
      <c r="C76" s="1294" t="s">
        <v>671</v>
      </c>
      <c r="D76" s="475">
        <v>114976.94758565241</v>
      </c>
      <c r="E76" s="475">
        <v>124725.40553353674</v>
      </c>
    </row>
    <row r="77" spans="1:6">
      <c r="A77" s="348" t="s">
        <v>66</v>
      </c>
      <c r="B77" s="348" t="s">
        <v>666</v>
      </c>
      <c r="C77" s="1294" t="s">
        <v>672</v>
      </c>
      <c r="D77" s="475">
        <v>13986340</v>
      </c>
      <c r="E77" s="475">
        <v>13985286.513891501</v>
      </c>
    </row>
    <row r="78" spans="1:6">
      <c r="A78" s="341" t="s">
        <v>66</v>
      </c>
      <c r="B78" s="341" t="s">
        <v>667</v>
      </c>
      <c r="C78" s="341" t="s">
        <v>673</v>
      </c>
      <c r="D78" s="1295">
        <v>4985490</v>
      </c>
      <c r="E78" s="1295">
        <v>5373030.847144709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351738.10482869518</v>
      </c>
      <c r="C83" s="475">
        <v>351738.10482869518</v>
      </c>
    </row>
    <row r="84" spans="1:6">
      <c r="A84" s="341" t="s">
        <v>337</v>
      </c>
      <c r="B84" s="1295">
        <v>385129.99932499946</v>
      </c>
      <c r="C84" s="1295">
        <v>385129.99932499946</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2826.2798801589561</v>
      </c>
    </row>
    <row r="92" spans="1:6">
      <c r="A92" s="341" t="s">
        <v>69</v>
      </c>
      <c r="B92" s="342">
        <v>611.54407451387101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5266</v>
      </c>
    </row>
    <row r="98" spans="1:6">
      <c r="A98" s="348" t="s">
        <v>72</v>
      </c>
      <c r="B98" s="334">
        <v>0</v>
      </c>
    </row>
    <row r="99" spans="1:6">
      <c r="A99" s="348" t="s">
        <v>73</v>
      </c>
      <c r="B99" s="334">
        <v>87</v>
      </c>
    </row>
    <row r="100" spans="1:6">
      <c r="A100" s="348" t="s">
        <v>74</v>
      </c>
      <c r="B100" s="334">
        <v>1499</v>
      </c>
    </row>
    <row r="101" spans="1:6">
      <c r="A101" s="348" t="s">
        <v>75</v>
      </c>
      <c r="B101" s="334">
        <v>72</v>
      </c>
    </row>
    <row r="102" spans="1:6">
      <c r="A102" s="348" t="s">
        <v>76</v>
      </c>
      <c r="B102" s="334">
        <v>190</v>
      </c>
    </row>
    <row r="103" spans="1:6">
      <c r="A103" s="348" t="s">
        <v>77</v>
      </c>
      <c r="B103" s="334">
        <v>69</v>
      </c>
    </row>
    <row r="104" spans="1:6">
      <c r="A104" s="348" t="s">
        <v>78</v>
      </c>
      <c r="B104" s="334">
        <v>1638</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39</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174</v>
      </c>
    </row>
    <row r="130" spans="1:6">
      <c r="A130" s="348" t="s">
        <v>295</v>
      </c>
      <c r="B130" s="334">
        <v>4</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120555.86597933627</v>
      </c>
      <c r="C3" s="43" t="s">
        <v>170</v>
      </c>
      <c r="D3" s="43"/>
      <c r="E3" s="154"/>
      <c r="F3" s="43"/>
      <c r="G3" s="43"/>
      <c r="H3" s="43"/>
      <c r="I3" s="43"/>
      <c r="J3" s="43"/>
      <c r="K3" s="96"/>
    </row>
    <row r="4" spans="1:11">
      <c r="A4" s="383" t="s">
        <v>171</v>
      </c>
      <c r="B4" s="49">
        <f>IF(ISERROR('SEAP template'!B78+'SEAP template'!C78),0,'SEAP template'!B78+'SEAP template'!C78)</f>
        <v>3668.8239546728273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54.896470588235296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0.21472976489153978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78.423529411764719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330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2934.703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2934.703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0.21472976489153978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630.16808521649648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49429.183119999994</v>
      </c>
      <c r="C5" s="17">
        <f>IF(ISERROR('Eigen informatie GS &amp; warmtenet'!B57),0,'Eigen informatie GS &amp; warmtenet'!B57)</f>
        <v>0</v>
      </c>
      <c r="D5" s="30">
        <f>(SUM(HH_hh_gas_kWh,HH_rest_gas_kWh)/1000)*0.902</f>
        <v>115591.48783247999</v>
      </c>
      <c r="E5" s="17">
        <f>B46*B57</f>
        <v>0</v>
      </c>
      <c r="F5" s="17">
        <f>B51*B62</f>
        <v>0</v>
      </c>
      <c r="G5" s="18"/>
      <c r="H5" s="17"/>
      <c r="I5" s="17"/>
      <c r="J5" s="17">
        <f>B50*B61+C50*C61</f>
        <v>0</v>
      </c>
      <c r="K5" s="17"/>
      <c r="L5" s="17"/>
      <c r="M5" s="17"/>
      <c r="N5" s="17">
        <f>B48*B59+C48*C59</f>
        <v>0</v>
      </c>
      <c r="O5" s="17">
        <f>B69*B70*B71</f>
        <v>337.68</v>
      </c>
      <c r="P5" s="17">
        <f>B77*B78*B79/1000-B77*B78*B79/1000/B80</f>
        <v>533.86666666666667</v>
      </c>
    </row>
    <row r="6" spans="1:16">
      <c r="A6" s="16" t="s">
        <v>624</v>
      </c>
      <c r="B6" s="788">
        <f>kWh_PV_kleiner_dan_10kW</f>
        <v>2826.2798801589561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52255.463000158954</v>
      </c>
      <c r="C8" s="21">
        <f>C5</f>
        <v>0</v>
      </c>
      <c r="D8" s="21">
        <f>D5</f>
        <v>115591.48783247999</v>
      </c>
      <c r="E8" s="21">
        <f>E5</f>
        <v>0</v>
      </c>
      <c r="F8" s="21">
        <f>F5</f>
        <v>0</v>
      </c>
      <c r="G8" s="21"/>
      <c r="H8" s="21"/>
      <c r="I8" s="21"/>
      <c r="J8" s="21">
        <f>J5</f>
        <v>0</v>
      </c>
      <c r="K8" s="21"/>
      <c r="L8" s="21">
        <f>L5</f>
        <v>0</v>
      </c>
      <c r="M8" s="21">
        <f>M5</f>
        <v>0</v>
      </c>
      <c r="N8" s="21">
        <f>N5</f>
        <v>0</v>
      </c>
      <c r="O8" s="21">
        <f>O5</f>
        <v>337.68</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0.21472976489153978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11220.803284322688</v>
      </c>
      <c r="C12" s="23">
        <f ca="1">C10*C8</f>
        <v>0</v>
      </c>
      <c r="D12" s="23">
        <f>D8*D10</f>
        <v>23349.48054216096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5266</v>
      </c>
      <c r="C18" s="166" t="s">
        <v>111</v>
      </c>
      <c r="D18" s="228"/>
      <c r="E18" s="15"/>
    </row>
    <row r="19" spans="1:7">
      <c r="A19" s="171" t="s">
        <v>72</v>
      </c>
      <c r="B19" s="37">
        <f>aantalw2001_ander</f>
        <v>0</v>
      </c>
      <c r="C19" s="166" t="s">
        <v>111</v>
      </c>
      <c r="D19" s="229"/>
      <c r="E19" s="15"/>
    </row>
    <row r="20" spans="1:7">
      <c r="A20" s="171" t="s">
        <v>73</v>
      </c>
      <c r="B20" s="37">
        <f>aantalw2001_propaan</f>
        <v>87</v>
      </c>
      <c r="C20" s="167">
        <f>IF(ISERROR(B20/SUM($B$20,$B$21,$B$22)*100),0,B20/SUM($B$20,$B$21,$B$22)*100)</f>
        <v>5.2472858866103742</v>
      </c>
      <c r="D20" s="229"/>
      <c r="E20" s="15"/>
    </row>
    <row r="21" spans="1:7">
      <c r="A21" s="171" t="s">
        <v>74</v>
      </c>
      <c r="B21" s="37">
        <f>aantalw2001_elektriciteit</f>
        <v>1499</v>
      </c>
      <c r="C21" s="167">
        <f>IF(ISERROR(B21/SUM($B$20,$B$21,$B$22)*100),0,B21/SUM($B$20,$B$21,$B$22)*100)</f>
        <v>90.410132689987933</v>
      </c>
      <c r="D21" s="229"/>
      <c r="E21" s="15"/>
    </row>
    <row r="22" spans="1:7">
      <c r="A22" s="171" t="s">
        <v>75</v>
      </c>
      <c r="B22" s="37">
        <f>aantalw2001_hout</f>
        <v>72</v>
      </c>
      <c r="C22" s="167">
        <f>IF(ISERROR(B22/SUM($B$20,$B$21,$B$22)*100),0,B22/SUM($B$20,$B$21,$B$22)*100)</f>
        <v>4.3425814234016888</v>
      </c>
      <c r="D22" s="229"/>
      <c r="E22" s="15"/>
    </row>
    <row r="23" spans="1:7">
      <c r="A23" s="171" t="s">
        <v>76</v>
      </c>
      <c r="B23" s="37">
        <f>aantalw2001_niet_gespec</f>
        <v>190</v>
      </c>
      <c r="C23" s="166" t="s">
        <v>111</v>
      </c>
      <c r="D23" s="228"/>
      <c r="E23" s="15"/>
    </row>
    <row r="24" spans="1:7">
      <c r="A24" s="171" t="s">
        <v>77</v>
      </c>
      <c r="B24" s="37">
        <f>aantalw2001_steenkool</f>
        <v>69</v>
      </c>
      <c r="C24" s="166" t="s">
        <v>111</v>
      </c>
      <c r="D24" s="229"/>
      <c r="E24" s="15"/>
    </row>
    <row r="25" spans="1:7">
      <c r="A25" s="171" t="s">
        <v>78</v>
      </c>
      <c r="B25" s="37">
        <f>aantalw2001_stookolie</f>
        <v>1638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11247</v>
      </c>
      <c r="C28" s="36"/>
      <c r="D28" s="228"/>
    </row>
    <row r="29" spans="1:7" s="15" customFormat="1">
      <c r="A29" s="230" t="s">
        <v>699</v>
      </c>
      <c r="B29" s="37">
        <f>SUM(HH_hh_gas_aantal,HH_rest_gas_aantal)</f>
        <v>11970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11970</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11970</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49243.562032829999</v>
      </c>
      <c r="C5" s="17">
        <f>IF(ISERROR('Eigen informatie GS &amp; warmtenet'!B58),0,'Eigen informatie GS &amp; warmtenet'!B58)</f>
        <v>0</v>
      </c>
      <c r="D5" s="30">
        <f>SUM(D6:D12)</f>
        <v>61821.070452600805</v>
      </c>
      <c r="E5" s="17">
        <f>SUM(E6:E12)</f>
        <v>992.44877769619666</v>
      </c>
      <c r="F5" s="17">
        <f>SUM(F6:F12)</f>
        <v>14095.167183304882</v>
      </c>
      <c r="G5" s="18"/>
      <c r="H5" s="17"/>
      <c r="I5" s="17"/>
      <c r="J5" s="17">
        <f>SUM(J6:J12)</f>
        <v>0</v>
      </c>
      <c r="K5" s="17"/>
      <c r="L5" s="17"/>
      <c r="M5" s="17"/>
      <c r="N5" s="17">
        <f>SUM(N6:N12)</f>
        <v>6624.8795514115982</v>
      </c>
      <c r="O5" s="17">
        <f>B38*B39*B40</f>
        <v>6.2533333333333339</v>
      </c>
      <c r="P5" s="17">
        <f>B46*B47*B48/1000-B46*B47*B48/1000/B49</f>
        <v>38.133333333333333</v>
      </c>
      <c r="R5" s="32"/>
    </row>
    <row r="6" spans="1:18">
      <c r="A6" s="32" t="s">
        <v>54</v>
      </c>
      <c r="B6" s="37">
        <f>B26</f>
        <v>13559.111274000001</v>
      </c>
      <c r="C6" s="33"/>
      <c r="D6" s="37">
        <f>IF(ISERROR(TER_kantoor_gas_kWh/1000),0,TER_kantoor_gas_kWh/1000)*0.902</f>
        <v>21953.257041781999</v>
      </c>
      <c r="E6" s="33">
        <f>$C$26*'E Balans VL '!I12/100/3.6*1000000</f>
        <v>177.50546897983389</v>
      </c>
      <c r="F6" s="33">
        <f>$C$26*('E Balans VL '!L12+'E Balans VL '!N12)/100/3.6*1000000</f>
        <v>3457.4332602480627</v>
      </c>
      <c r="G6" s="34"/>
      <c r="H6" s="33"/>
      <c r="I6" s="33"/>
      <c r="J6" s="33">
        <f>$C$26*('E Balans VL '!D12+'E Balans VL '!E12)/100/3.6*1000000</f>
        <v>0</v>
      </c>
      <c r="K6" s="33"/>
      <c r="L6" s="33"/>
      <c r="M6" s="33"/>
      <c r="N6" s="33">
        <f>$C$26*'E Balans VL '!Y12/100/3.6*1000000</f>
        <v>13.604770854951102</v>
      </c>
      <c r="O6" s="33"/>
      <c r="P6" s="33"/>
      <c r="R6" s="32"/>
    </row>
    <row r="7" spans="1:18">
      <c r="A7" s="32" t="s">
        <v>53</v>
      </c>
      <c r="B7" s="37">
        <f t="shared" ref="B7:B12" si="0">B27</f>
        <v>13338.560698000001</v>
      </c>
      <c r="C7" s="33"/>
      <c r="D7" s="37">
        <f>IF(ISERROR(TER_horeca_gas_kWh/1000),0,TER_horeca_gas_kWh/1000)*0.902</f>
        <v>23722.980632274001</v>
      </c>
      <c r="E7" s="33">
        <f>$C$27*'E Balans VL '!I9/100/3.6*1000000</f>
        <v>441.42522336084892</v>
      </c>
      <c r="F7" s="33">
        <f>$C$27*('E Balans VL '!L9+'E Balans VL '!N9)/100/3.6*1000000</f>
        <v>5735.5299805833829</v>
      </c>
      <c r="G7" s="34"/>
      <c r="H7" s="33"/>
      <c r="I7" s="33"/>
      <c r="J7" s="33">
        <f>$C$27*('E Balans VL '!D9+'E Balans VL '!E9)/100/3.6*1000000</f>
        <v>0</v>
      </c>
      <c r="K7" s="33"/>
      <c r="L7" s="33"/>
      <c r="M7" s="33"/>
      <c r="N7" s="33">
        <f>$C$27*'E Balans VL '!Y9/100/3.6*1000000</f>
        <v>3.2107852571664317</v>
      </c>
      <c r="O7" s="33"/>
      <c r="P7" s="33"/>
      <c r="R7" s="32"/>
    </row>
    <row r="8" spans="1:18">
      <c r="A8" s="6" t="s">
        <v>52</v>
      </c>
      <c r="B8" s="37">
        <f t="shared" si="0"/>
        <v>9572.7788099999998</v>
      </c>
      <c r="C8" s="33"/>
      <c r="D8" s="37">
        <f>IF(ISERROR(TER_handel_gas_kWh/1000),0,TER_handel_gas_kWh/1000)*0.902</f>
        <v>4191.1364628452002</v>
      </c>
      <c r="E8" s="33">
        <f>$C$28*'E Balans VL '!I13/100/3.6*1000000</f>
        <v>302.13152601423263</v>
      </c>
      <c r="F8" s="33">
        <f>$C$28*('E Balans VL '!L13+'E Balans VL '!N13)/100/3.6*1000000</f>
        <v>1877.3904908103282</v>
      </c>
      <c r="G8" s="34"/>
      <c r="H8" s="33"/>
      <c r="I8" s="33"/>
      <c r="J8" s="33">
        <f>$C$28*('E Balans VL '!D13+'E Balans VL '!E13)/100/3.6*1000000</f>
        <v>0</v>
      </c>
      <c r="K8" s="33"/>
      <c r="L8" s="33"/>
      <c r="M8" s="33"/>
      <c r="N8" s="33">
        <f>$C$28*'E Balans VL '!Y13/100/3.6*1000000</f>
        <v>11.361029915280247</v>
      </c>
      <c r="O8" s="33"/>
      <c r="P8" s="33"/>
      <c r="R8" s="32"/>
    </row>
    <row r="9" spans="1:18">
      <c r="A9" s="32" t="s">
        <v>51</v>
      </c>
      <c r="B9" s="37">
        <f t="shared" si="0"/>
        <v>1069.3553878</v>
      </c>
      <c r="C9" s="33"/>
      <c r="D9" s="37">
        <f>IF(ISERROR(TER_gezond_gas_kWh/1000),0,TER_gezond_gas_kWh/1000)*0.902</f>
        <v>2009.400002929</v>
      </c>
      <c r="E9" s="33">
        <f>$C$29*'E Balans VL '!I10/100/3.6*1000000</f>
        <v>0.13690877293615233</v>
      </c>
      <c r="F9" s="33">
        <f>$C$29*('E Balans VL '!L10+'E Balans VL '!N10)/100/3.6*1000000</f>
        <v>222.79154807057162</v>
      </c>
      <c r="G9" s="34"/>
      <c r="H9" s="33"/>
      <c r="I9" s="33"/>
      <c r="J9" s="33">
        <f>$C$29*('E Balans VL '!D10+'E Balans VL '!E10)/100/3.6*1000000</f>
        <v>0</v>
      </c>
      <c r="K9" s="33"/>
      <c r="L9" s="33"/>
      <c r="M9" s="33"/>
      <c r="N9" s="33">
        <f>$C$29*'E Balans VL '!Y10/100/3.6*1000000</f>
        <v>12.560084473515859</v>
      </c>
      <c r="O9" s="33"/>
      <c r="P9" s="33"/>
      <c r="R9" s="32"/>
    </row>
    <row r="10" spans="1:18">
      <c r="A10" s="32" t="s">
        <v>50</v>
      </c>
      <c r="B10" s="37">
        <f t="shared" si="0"/>
        <v>7981.5074832</v>
      </c>
      <c r="C10" s="33"/>
      <c r="D10" s="37">
        <f>IF(ISERROR(TER_ander_gas_kWh/1000),0,TER_ander_gas_kWh/1000)*0.902</f>
        <v>3658.5477799046002</v>
      </c>
      <c r="E10" s="33">
        <f>$C$30*'E Balans VL '!I14/100/3.6*1000000</f>
        <v>12.00231027883302</v>
      </c>
      <c r="F10" s="33">
        <f>$C$30*('E Balans VL '!L14+'E Balans VL '!N14)/100/3.6*1000000</f>
        <v>1762.059571613486</v>
      </c>
      <c r="G10" s="34"/>
      <c r="H10" s="33"/>
      <c r="I10" s="33"/>
      <c r="J10" s="33">
        <f>$C$30*('E Balans VL '!D14+'E Balans VL '!E14)/100/3.6*1000000</f>
        <v>0</v>
      </c>
      <c r="K10" s="33"/>
      <c r="L10" s="33"/>
      <c r="M10" s="33"/>
      <c r="N10" s="33">
        <f>$C$30*'E Balans VL '!Y14/100/3.6*1000000</f>
        <v>6289.9650319632055</v>
      </c>
      <c r="O10" s="33"/>
      <c r="P10" s="33"/>
      <c r="R10" s="32"/>
    </row>
    <row r="11" spans="1:18">
      <c r="A11" s="32" t="s">
        <v>55</v>
      </c>
      <c r="B11" s="37">
        <f t="shared" si="0"/>
        <v>396.86331563000005</v>
      </c>
      <c r="C11" s="33"/>
      <c r="D11" s="37">
        <f>IF(ISERROR(TER_onderwijs_gas_kWh/1000),0,TER_onderwijs_gas_kWh/1000)*0.902</f>
        <v>642.18356135560009</v>
      </c>
      <c r="E11" s="33">
        <f>$C$31*'E Balans VL '!I11/100/3.6*1000000</f>
        <v>0.69890955585532233</v>
      </c>
      <c r="F11" s="33">
        <f>$C$31*('E Balans VL '!L11+'E Balans VL '!N11)/100/3.6*1000000</f>
        <v>183.23897405619016</v>
      </c>
      <c r="G11" s="34"/>
      <c r="H11" s="33"/>
      <c r="I11" s="33"/>
      <c r="J11" s="33">
        <f>$C$31*('E Balans VL '!D11+'E Balans VL '!E11)/100/3.6*1000000</f>
        <v>0</v>
      </c>
      <c r="K11" s="33"/>
      <c r="L11" s="33"/>
      <c r="M11" s="33"/>
      <c r="N11" s="33">
        <f>$C$31*'E Balans VL '!Y11/100/3.6*1000000</f>
        <v>0.73936184515366044</v>
      </c>
      <c r="O11" s="33"/>
      <c r="P11" s="33"/>
      <c r="R11" s="32"/>
    </row>
    <row r="12" spans="1:18">
      <c r="A12" s="32" t="s">
        <v>260</v>
      </c>
      <c r="B12" s="37">
        <f t="shared" si="0"/>
        <v>3325.3850641999998</v>
      </c>
      <c r="C12" s="33"/>
      <c r="D12" s="37">
        <f>IF(ISERROR(TER_rest_gas_kWh/1000),0,TER_rest_gas_kWh/1000)*0.902</f>
        <v>5643.5649715103991</v>
      </c>
      <c r="E12" s="33">
        <f>$C$32*'E Balans VL '!I8/100/3.6*1000000</f>
        <v>58.548430733656858</v>
      </c>
      <c r="F12" s="33">
        <f>$C$32*('E Balans VL '!L8+'E Balans VL '!N8)/100/3.6*1000000</f>
        <v>856.72335792285719</v>
      </c>
      <c r="G12" s="34"/>
      <c r="H12" s="33"/>
      <c r="I12" s="33"/>
      <c r="J12" s="33">
        <f>$C$32*('E Balans VL '!D8+'E Balans VL '!E8)/100/3.6*1000000</f>
        <v>0</v>
      </c>
      <c r="K12" s="33"/>
      <c r="L12" s="33"/>
      <c r="M12" s="33"/>
      <c r="N12" s="33">
        <f>$C$32*'E Balans VL '!Y8/100/3.6*1000000</f>
        <v>293.43848710232578</v>
      </c>
      <c r="O12" s="33"/>
      <c r="P12" s="33"/>
      <c r="R12" s="32"/>
    </row>
    <row r="13" spans="1:18">
      <c r="A13" s="16" t="s">
        <v>491</v>
      </c>
      <c r="B13" s="247">
        <f ca="1">'lokale energieproductie'!N91+'lokale energieproductie'!N60</f>
        <v>206.25</v>
      </c>
      <c r="C13" s="247">
        <f ca="1">'lokale energieproductie'!O91+'lokale energieproductie'!O60</f>
        <v>294.64285714285717</v>
      </c>
      <c r="D13" s="310">
        <f ca="1">('lokale energieproductie'!P60+'lokale energieproductie'!P91)*(-1)</f>
        <v>-589.28571428571433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49449.812032829999</v>
      </c>
      <c r="C16" s="21">
        <f t="shared" ca="1" si="1"/>
        <v>294.64285714285717</v>
      </c>
      <c r="D16" s="21">
        <f t="shared" ca="1" si="1"/>
        <v>61231.784738315087</v>
      </c>
      <c r="E16" s="21">
        <f t="shared" si="1"/>
        <v>992.44877769619666</v>
      </c>
      <c r="F16" s="21">
        <f t="shared" ca="1" si="1"/>
        <v>14095.167183304882</v>
      </c>
      <c r="G16" s="21">
        <f t="shared" si="1"/>
        <v>0</v>
      </c>
      <c r="H16" s="21">
        <f t="shared" si="1"/>
        <v>0</v>
      </c>
      <c r="I16" s="21">
        <f t="shared" si="1"/>
        <v>0</v>
      </c>
      <c r="J16" s="21">
        <f t="shared" si="1"/>
        <v>0</v>
      </c>
      <c r="K16" s="21">
        <f t="shared" si="1"/>
        <v>0</v>
      </c>
      <c r="L16" s="21">
        <f t="shared" ca="1" si="1"/>
        <v>0</v>
      </c>
      <c r="M16" s="21">
        <f t="shared" si="1"/>
        <v>0</v>
      </c>
      <c r="N16" s="21">
        <f t="shared" ca="1" si="1"/>
        <v>6624.8795514115982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0.21472976489153978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10618.346511740421</v>
      </c>
      <c r="C20" s="23">
        <f t="shared" ref="C20:P20" ca="1" si="2">C16*C18</f>
        <v>70.021008403361364</v>
      </c>
      <c r="D20" s="23">
        <f t="shared" ca="1" si="2"/>
        <v>12368.820517139648</v>
      </c>
      <c r="E20" s="23">
        <f t="shared" si="2"/>
        <v>225.28587253703665</v>
      </c>
      <c r="F20" s="23">
        <f t="shared" ca="1" si="2"/>
        <v>3763.4096379424036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13559.111274000001</v>
      </c>
      <c r="C26" s="39">
        <f>IF(ISERROR(B26*3.6/1000000/'E Balans VL '!Z12*100),0,B26*3.6/1000000/'E Balans VL '!Z12*100)</f>
        <v>0.29044669715245286</v>
      </c>
      <c r="D26" s="237" t="s">
        <v>660</v>
      </c>
      <c r="F26" s="6"/>
    </row>
    <row r="27" spans="1:18">
      <c r="A27" s="231" t="s">
        <v>53</v>
      </c>
      <c r="B27" s="33">
        <f>IF(ISERROR(TER_horeca_ele_kWh/1000),0,TER_horeca_ele_kWh/1000)</f>
        <v>13338.560698000001</v>
      </c>
      <c r="C27" s="39">
        <f>IF(ISERROR(B27*3.6/1000000/'E Balans VL '!Z9*100),0,B27*3.6/1000000/'E Balans VL '!Z9*100)</f>
        <v>1.0703731316507625</v>
      </c>
      <c r="D27" s="237" t="s">
        <v>660</v>
      </c>
      <c r="F27" s="6"/>
    </row>
    <row r="28" spans="1:18">
      <c r="A28" s="171" t="s">
        <v>52</v>
      </c>
      <c r="B28" s="33">
        <f>IF(ISERROR(TER_handel_ele_kWh/1000),0,TER_handel_ele_kWh/1000)</f>
        <v>9572.7788099999998</v>
      </c>
      <c r="C28" s="39">
        <f>IF(ISERROR(B28*3.6/1000000/'E Balans VL '!Z13*100),0,B28*3.6/1000000/'E Balans VL '!Z13*100)</f>
        <v>0.28234206762581887</v>
      </c>
      <c r="D28" s="237" t="s">
        <v>660</v>
      </c>
      <c r="F28" s="6"/>
    </row>
    <row r="29" spans="1:18">
      <c r="A29" s="231" t="s">
        <v>51</v>
      </c>
      <c r="B29" s="33">
        <f>IF(ISERROR(TER_gezond_ele_kWh/1000),0,TER_gezond_ele_kWh/1000)</f>
        <v>1069.3553878</v>
      </c>
      <c r="C29" s="39">
        <f>IF(ISERROR(B29*3.6/1000000/'E Balans VL '!Z10*100),0,B29*3.6/1000000/'E Balans VL '!Z10*100)</f>
        <v>0.11417848492395843</v>
      </c>
      <c r="D29" s="237" t="s">
        <v>660</v>
      </c>
      <c r="F29" s="6"/>
    </row>
    <row r="30" spans="1:18">
      <c r="A30" s="231" t="s">
        <v>50</v>
      </c>
      <c r="B30" s="33">
        <f>IF(ISERROR(TER_ander_ele_kWh/1000),0,TER_ander_ele_kWh/1000)</f>
        <v>7981.5074832</v>
      </c>
      <c r="C30" s="39">
        <f>IF(ISERROR(B30*3.6/1000000/'E Balans VL '!Z14*100),0,B30*3.6/1000000/'E Balans VL '!Z14*100)</f>
        <v>0.60287460232174583</v>
      </c>
      <c r="D30" s="237" t="s">
        <v>660</v>
      </c>
      <c r="F30" s="6"/>
    </row>
    <row r="31" spans="1:18">
      <c r="A31" s="231" t="s">
        <v>55</v>
      </c>
      <c r="B31" s="33">
        <f>IF(ISERROR(TER_onderwijs_ele_kWh/1000),0,TER_onderwijs_ele_kWh/1000)</f>
        <v>396.86331563000005</v>
      </c>
      <c r="C31" s="39">
        <f>IF(ISERROR(B31*3.6/1000000/'E Balans VL '!Z11*100),0,B31*3.6/1000000/'E Balans VL '!Z11*100)</f>
        <v>8.0139951746661331E-2</v>
      </c>
      <c r="D31" s="237" t="s">
        <v>660</v>
      </c>
    </row>
    <row r="32" spans="1:18">
      <c r="A32" s="231" t="s">
        <v>260</v>
      </c>
      <c r="B32" s="33">
        <f>IF(ISERROR(TER_rest_ele_kWh/1000),0,TER_rest_ele_kWh/1000)</f>
        <v>3325.3850641999998</v>
      </c>
      <c r="C32" s="39">
        <f>IF(ISERROR(B32*3.6/1000000/'E Balans VL '!Z8*100),0,B32*3.6/1000000/'E Balans VL '!Z8*100)</f>
        <v>2.7572072747514439E-2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3529.2080070218003</v>
      </c>
      <c r="C5" s="17">
        <f>IF(ISERROR('Eigen informatie GS &amp; warmtenet'!B59),0,'Eigen informatie GS &amp; warmtenet'!B59)</f>
        <v>0</v>
      </c>
      <c r="D5" s="30">
        <f>SUM(D6:D15)</f>
        <v>4509.9732375553676</v>
      </c>
      <c r="E5" s="17">
        <f>SUM(E6:E15)</f>
        <v>597.30122459328868</v>
      </c>
      <c r="F5" s="17">
        <f>SUM(F6:F15)</f>
        <v>2196.5070199643956</v>
      </c>
      <c r="G5" s="18"/>
      <c r="H5" s="17"/>
      <c r="I5" s="17"/>
      <c r="J5" s="17">
        <f>SUM(J6:J15)</f>
        <v>4.0599797517855407</v>
      </c>
      <c r="K5" s="17"/>
      <c r="L5" s="17"/>
      <c r="M5" s="17"/>
      <c r="N5" s="17">
        <f>SUM(N6:N15)</f>
        <v>1177.0597519952521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99.760999999999996</v>
      </c>
      <c r="C8" s="33"/>
      <c r="D8" s="37">
        <f>IF( ISERROR(IND_metaal_Gas_kWH/1000),0,IND_metaal_Gas_kWH/1000)*0.902</f>
        <v>18.177793393188001</v>
      </c>
      <c r="E8" s="33">
        <f>C30*'E Balans VL '!I18/100/3.6*1000000</f>
        <v>3.5897025774832483</v>
      </c>
      <c r="F8" s="33">
        <f>C30*'E Balans VL '!L18/100/3.6*1000000+C30*'E Balans VL '!N18/100/3.6*1000000</f>
        <v>43.562394796315267</v>
      </c>
      <c r="G8" s="34"/>
      <c r="H8" s="33"/>
      <c r="I8" s="33"/>
      <c r="J8" s="40">
        <f>C30*'E Balans VL '!D18/100/3.6*1000000+C30*'E Balans VL '!E18/100/3.6*1000000</f>
        <v>0</v>
      </c>
      <c r="K8" s="33"/>
      <c r="L8" s="33"/>
      <c r="M8" s="33"/>
      <c r="N8" s="33">
        <f>C30*'E Balans VL '!Y18/100/3.6*1000000</f>
        <v>4.9999535252169904</v>
      </c>
      <c r="O8" s="33"/>
      <c r="P8" s="33"/>
      <c r="R8" s="32"/>
    </row>
    <row r="9" spans="1:18">
      <c r="A9" s="6" t="s">
        <v>33</v>
      </c>
      <c r="B9" s="37">
        <f t="shared" si="0"/>
        <v>2186.5885351000002</v>
      </c>
      <c r="C9" s="33"/>
      <c r="D9" s="37">
        <f>IF( ISERROR(IND_andere_gas_kWh/1000),0,IND_andere_gas_kWh/1000)*0.902</f>
        <v>2720.3003153964</v>
      </c>
      <c r="E9" s="33">
        <f>C31*'E Balans VL '!I19/100/3.6*1000000</f>
        <v>557.96792120622752</v>
      </c>
      <c r="F9" s="33">
        <f>C31*'E Balans VL '!L19/100/3.6*1000000+C31*'E Balans VL '!N19/100/3.6*1000000</f>
        <v>1882.488378337408</v>
      </c>
      <c r="G9" s="34"/>
      <c r="H9" s="33"/>
      <c r="I9" s="33"/>
      <c r="J9" s="40">
        <f>C31*'E Balans VL '!D19/100/3.6*1000000+C31*'E Balans VL '!E19/100/3.6*1000000</f>
        <v>0</v>
      </c>
      <c r="K9" s="33"/>
      <c r="L9" s="33"/>
      <c r="M9" s="33"/>
      <c r="N9" s="33">
        <f>C31*'E Balans VL '!Y19/100/3.6*1000000</f>
        <v>683.82111776242527</v>
      </c>
      <c r="O9" s="33"/>
      <c r="P9" s="33"/>
      <c r="R9" s="32"/>
    </row>
    <row r="10" spans="1:18">
      <c r="A10" s="6" t="s">
        <v>41</v>
      </c>
      <c r="B10" s="37">
        <f t="shared" si="0"/>
        <v>1016.5705544</v>
      </c>
      <c r="C10" s="33"/>
      <c r="D10" s="37">
        <f>IF( ISERROR(IND_voed_gas_kWh/1000),0,IND_voed_gas_kWh/1000)*0.902</f>
        <v>1338.7504262528003</v>
      </c>
      <c r="E10" s="33">
        <f>C32*'E Balans VL '!I20/100/3.6*1000000</f>
        <v>25.842619358608033</v>
      </c>
      <c r="F10" s="33">
        <f>C32*'E Balans VL '!L20/100/3.6*1000000+C32*'E Balans VL '!N20/100/3.6*1000000</f>
        <v>230.03465642067175</v>
      </c>
      <c r="G10" s="34"/>
      <c r="H10" s="33"/>
      <c r="I10" s="33"/>
      <c r="J10" s="40">
        <f>C32*'E Balans VL '!D20/100/3.6*1000000+C32*'E Balans VL '!E20/100/3.6*1000000</f>
        <v>0</v>
      </c>
      <c r="K10" s="33"/>
      <c r="L10" s="33"/>
      <c r="M10" s="33"/>
      <c r="N10" s="33">
        <f>C32*'E Balans VL '!Y20/100/3.6*1000000</f>
        <v>381.24151312872499</v>
      </c>
      <c r="O10" s="33"/>
      <c r="P10" s="33"/>
      <c r="R10" s="32"/>
    </row>
    <row r="11" spans="1:18">
      <c r="A11" s="6" t="s">
        <v>40</v>
      </c>
      <c r="B11" s="37">
        <f t="shared" si="0"/>
        <v>8.3838286978000003</v>
      </c>
      <c r="C11" s="33"/>
      <c r="D11" s="37">
        <f>IF( ISERROR(IND_textiel_gas_kWh/1000),0,IND_textiel_gas_kWh/1000)*0.902</f>
        <v>0</v>
      </c>
      <c r="E11" s="33">
        <f>C33*'E Balans VL '!I21/100/3.6*1000000</f>
        <v>2.3015864378569874E-2</v>
      </c>
      <c r="F11" s="33">
        <f>C33*'E Balans VL '!L21/100/3.6*1000000+C33*'E Balans VL '!N21/100/3.6*1000000</f>
        <v>0.44447565764102615</v>
      </c>
      <c r="G11" s="34"/>
      <c r="H11" s="33"/>
      <c r="I11" s="33"/>
      <c r="J11" s="40">
        <f>C33*'E Balans VL '!D21/100/3.6*1000000+C33*'E Balans VL '!E21/100/3.6*1000000</f>
        <v>0</v>
      </c>
      <c r="K11" s="33"/>
      <c r="L11" s="33"/>
      <c r="M11" s="33"/>
      <c r="N11" s="33">
        <f>C33*'E Balans VL '!Y21/100/3.6*1000000</f>
        <v>1.6850108304754672E-2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38.978713153999998</v>
      </c>
      <c r="C13" s="33"/>
      <c r="D13" s="37">
        <f>IF( ISERROR(IND_papier_gas_kWh/1000),0,IND_papier_gas_kWh/1000)*0.902</f>
        <v>108.42209352304</v>
      </c>
      <c r="E13" s="33">
        <f>C35*'E Balans VL '!I23/100/3.6*1000000</f>
        <v>0.16716836111666883</v>
      </c>
      <c r="F13" s="33">
        <f>C35*'E Balans VL '!L23/100/3.6*1000000+C35*'E Balans VL '!N23/100/3.6*1000000</f>
        <v>0.97965604378391646</v>
      </c>
      <c r="G13" s="34"/>
      <c r="H13" s="33"/>
      <c r="I13" s="33"/>
      <c r="J13" s="40">
        <f>C35*'E Balans VL '!D23/100/3.6*1000000+C35*'E Balans VL '!E23/100/3.6*1000000</f>
        <v>2.6094110562130846</v>
      </c>
      <c r="K13" s="33"/>
      <c r="L13" s="33"/>
      <c r="M13" s="33"/>
      <c r="N13" s="33">
        <f>C35*'E Balans VL '!Y23/100/3.6*1000000</f>
        <v>70.950527431921088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178.92537567000002</v>
      </c>
      <c r="C15" s="33"/>
      <c r="D15" s="37">
        <f>IF( ISERROR(IND_rest_gas_kWh/1000),0,IND_rest_gas_kWh/1000)*0.902</f>
        <v>324.32260898994002</v>
      </c>
      <c r="E15" s="33">
        <f>C37*'E Balans VL '!I15/100/3.6*1000000</f>
        <v>9.7107972254748915</v>
      </c>
      <c r="F15" s="33">
        <f>C37*'E Balans VL '!L15/100/3.6*1000000+C37*'E Balans VL '!N15/100/3.6*1000000</f>
        <v>38.997458708575628</v>
      </c>
      <c r="G15" s="34"/>
      <c r="H15" s="33"/>
      <c r="I15" s="33"/>
      <c r="J15" s="40">
        <f>C37*'E Balans VL '!D15/100/3.6*1000000+C37*'E Balans VL '!E15/100/3.6*1000000</f>
        <v>1.4505686955724562</v>
      </c>
      <c r="K15" s="33"/>
      <c r="L15" s="33"/>
      <c r="M15" s="33"/>
      <c r="N15" s="33">
        <f>C37*'E Balans VL '!Y15/100/3.6*1000000</f>
        <v>36.0297900386592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3529.2080070218003</v>
      </c>
      <c r="C18" s="21">
        <f>C5+C16</f>
        <v>0</v>
      </c>
      <c r="D18" s="21">
        <f>MAX((D5+D16),0)</f>
        <v>4509.9732375553676</v>
      </c>
      <c r="E18" s="21">
        <f>MAX((E5+E16),0)</f>
        <v>597.30122459328868</v>
      </c>
      <c r="F18" s="21">
        <f>MAX((F5+F16),0)</f>
        <v>2196.5070199643956</v>
      </c>
      <c r="G18" s="21"/>
      <c r="H18" s="21"/>
      <c r="I18" s="21"/>
      <c r="J18" s="21">
        <f>MAX((J5+J16),0)</f>
        <v>4.0599797517855407</v>
      </c>
      <c r="K18" s="21"/>
      <c r="L18" s="21">
        <f>MAX((L5+L16),0)</f>
        <v>0</v>
      </c>
      <c r="M18" s="21"/>
      <c r="N18" s="21">
        <f>MAX((N5+N16),0)</f>
        <v>1177.0597519952521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0.21472976489153978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757.82600560113087</v>
      </c>
      <c r="C22" s="23">
        <f ca="1">C18*C20</f>
        <v>0</v>
      </c>
      <c r="D22" s="23">
        <f>D18*D20</f>
        <v>911.01459398618431</v>
      </c>
      <c r="E22" s="23">
        <f>E18*E20</f>
        <v>135.58737798267654</v>
      </c>
      <c r="F22" s="23">
        <f>F18*F20</f>
        <v>586.46737433049361</v>
      </c>
      <c r="G22" s="23"/>
      <c r="H22" s="23"/>
      <c r="I22" s="23"/>
      <c r="J22" s="23">
        <f>J18*J20</f>
        <v>1.4372328321320813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99.760999999999996</v>
      </c>
      <c r="C30" s="39">
        <f>IF(ISERROR(B30*3.6/1000000/'E Balans VL '!Z18*100),0,B30*3.6/1000000/'E Balans VL '!Z18*100)</f>
        <v>2.1137217080529742E-2</v>
      </c>
      <c r="D30" s="237" t="s">
        <v>660</v>
      </c>
    </row>
    <row r="31" spans="1:18">
      <c r="A31" s="6" t="s">
        <v>33</v>
      </c>
      <c r="B31" s="37">
        <f>IF( ISERROR(IND_ander_ele_kWh/1000),0,IND_ander_ele_kWh/1000)</f>
        <v>2186.5885351000002</v>
      </c>
      <c r="C31" s="39">
        <f>IF(ISERROR(B31*3.6/1000000/'E Balans VL '!Z19*100),0,B31*3.6/1000000/'E Balans VL '!Z19*100)</f>
        <v>9.2038476452712875E-2</v>
      </c>
      <c r="D31" s="237" t="s">
        <v>660</v>
      </c>
    </row>
    <row r="32" spans="1:18">
      <c r="A32" s="171" t="s">
        <v>41</v>
      </c>
      <c r="B32" s="37">
        <f>IF( ISERROR(IND_voed_ele_kWh/1000),0,IND_voed_ele_kWh/1000)</f>
        <v>1016.5705544</v>
      </c>
      <c r="C32" s="39">
        <f>IF(ISERROR(B32*3.6/1000000/'E Balans VL '!Z20*100),0,B32*3.6/1000000/'E Balans VL '!Z20*100)</f>
        <v>0.16982961281729406</v>
      </c>
      <c r="D32" s="237" t="s">
        <v>660</v>
      </c>
    </row>
    <row r="33" spans="1:5">
      <c r="A33" s="171" t="s">
        <v>40</v>
      </c>
      <c r="B33" s="37">
        <f>IF( ISERROR(IND_textiel_ele_kWh/1000),0,IND_textiel_ele_kWh/1000)</f>
        <v>8.3838286978000003</v>
      </c>
      <c r="C33" s="39">
        <f>IF(ISERROR(B33*3.6/1000000/'E Balans VL '!Z21*100),0,B33*3.6/1000000/'E Balans VL '!Z21*100)</f>
        <v>4.8947300812649745E-4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38.978713153999998</v>
      </c>
      <c r="C35" s="39">
        <f>IF(ISERROR(B35*3.6/1000000/'E Balans VL '!Z22*100),0,B35*3.6/1000000/'E Balans VL '!Z22*100)</f>
        <v>4.9407621038486879E-3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178.92537567000002</v>
      </c>
      <c r="C37" s="39">
        <f>IF(ISERROR(B37*3.6/1000000/'E Balans VL '!Z15*100),0,B37*3.6/1000000/'E Balans VL '!Z15*100)</f>
        <v>1.4445338408648725E-3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1157.4358521300001</v>
      </c>
      <c r="C5" s="17">
        <f>'Eigen informatie GS &amp; warmtenet'!B60</f>
        <v>0</v>
      </c>
      <c r="D5" s="30">
        <f>IF(ISERROR(SUM(LB_lb_gas_kWh,LB_rest_gas_kWh)/1000),0,SUM(LB_lb_gas_kWh,LB_rest_gas_kWh)/1000)*0.902</f>
        <v>236.53399803857997</v>
      </c>
      <c r="E5" s="17">
        <f>B17*'E Balans VL '!I25/3.6*1000000/100</f>
        <v>29.845826586557113</v>
      </c>
      <c r="F5" s="17">
        <f>B17*('E Balans VL '!L25/3.6*1000000+'E Balans VL '!N25/3.6*1000000)/100</f>
        <v>4230.6484624856721</v>
      </c>
      <c r="G5" s="18"/>
      <c r="H5" s="17"/>
      <c r="I5" s="17"/>
      <c r="J5" s="17">
        <f>('E Balans VL '!D25+'E Balans VL '!E25)/3.6*1000000*landbouw!B17/100</f>
        <v>166.62818451094245</v>
      </c>
      <c r="K5" s="17"/>
      <c r="L5" s="17">
        <f>L6*(-1)</f>
        <v>0</v>
      </c>
      <c r="M5" s="17"/>
      <c r="N5" s="17">
        <f>N6*(-1)</f>
        <v>0</v>
      </c>
      <c r="O5" s="17"/>
      <c r="P5" s="17"/>
      <c r="R5" s="32"/>
    </row>
    <row r="6" spans="1:18">
      <c r="A6" s="16" t="s">
        <v>491</v>
      </c>
      <c r="B6" s="17" t="s">
        <v>211</v>
      </c>
      <c r="C6" s="17">
        <f>'lokale energieproductie'!O92+'lokale energieproductie'!O61</f>
        <v>35.357142857142861</v>
      </c>
      <c r="D6" s="310">
        <f>('lokale energieproductie'!P61+'lokale energieproductie'!P92)*(-1)</f>
        <v>-70.714285714285722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1157.4358521300001</v>
      </c>
      <c r="C8" s="21">
        <f>C5+C6</f>
        <v>35.357142857142861</v>
      </c>
      <c r="D8" s="21">
        <f>MAX((D5+D6),0)</f>
        <v>165.81971232429424</v>
      </c>
      <c r="E8" s="21">
        <f>MAX((E5+E6),0)</f>
        <v>29.845826586557113</v>
      </c>
      <c r="F8" s="21">
        <f>MAX((F5+F6),0)</f>
        <v>4230.6484624856721</v>
      </c>
      <c r="G8" s="21"/>
      <c r="H8" s="21"/>
      <c r="I8" s="21"/>
      <c r="J8" s="21">
        <f>MAX((J5+J6),0)</f>
        <v>166.62818451094245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0.21472976489153978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248.5359284049139</v>
      </c>
      <c r="C12" s="23">
        <f ca="1">C8*C10</f>
        <v>8.4025210084033635</v>
      </c>
      <c r="D12" s="23">
        <f>D8*D10</f>
        <v>33.495581889507442</v>
      </c>
      <c r="E12" s="23">
        <f>E8*E10</f>
        <v>6.7750026351484651</v>
      </c>
      <c r="F12" s="23">
        <f>F8*F10</f>
        <v>1129.5831394836746</v>
      </c>
      <c r="G12" s="23"/>
      <c r="H12" s="23"/>
      <c r="I12" s="23"/>
      <c r="J12" s="23">
        <f>J8*J10</f>
        <v>58.986377316873622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0.16320612183350547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120.20741965637752</v>
      </c>
      <c r="C26" s="247">
        <f>B26*'GWP N2O_CH4'!B5</f>
        <v>2524.3558127839278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86.877321495583985</v>
      </c>
      <c r="C27" s="247">
        <f>B27*'GWP N2O_CH4'!B5</f>
        <v>1824.4237514072636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1.9668719305613713</v>
      </c>
      <c r="C28" s="247">
        <f>B28*'GWP N2O_CH4'!B4</f>
        <v>609.73029847402506</v>
      </c>
      <c r="D28" s="50"/>
    </row>
    <row r="29" spans="1:4">
      <c r="A29" s="41" t="s">
        <v>277</v>
      </c>
      <c r="B29" s="247">
        <f>B34*'ha_N2O bodem landbouw'!B4</f>
        <v>14.218819792994219</v>
      </c>
      <c r="C29" s="247">
        <f>B29*'GWP N2O_CH4'!B4</f>
        <v>4407.8341358282078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3.2000071265678451E-3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8.9172519749602168E-5</v>
      </c>
      <c r="C5" s="463" t="s">
        <v>211</v>
      </c>
      <c r="D5" s="448">
        <f>SUM(D6:D11)</f>
        <v>1.8656711704906359E-4</v>
      </c>
      <c r="E5" s="448">
        <f>SUM(E6:E11)</f>
        <v>7.5234584897101834E-4</v>
      </c>
      <c r="F5" s="461" t="s">
        <v>211</v>
      </c>
      <c r="G5" s="448">
        <f>SUM(G6:G11)</f>
        <v>0.31789212848594922</v>
      </c>
      <c r="H5" s="448">
        <f>SUM(H6:H11)</f>
        <v>5.0678540318742978E-2</v>
      </c>
      <c r="I5" s="463" t="s">
        <v>211</v>
      </c>
      <c r="J5" s="463" t="s">
        <v>211</v>
      </c>
      <c r="K5" s="463" t="s">
        <v>211</v>
      </c>
      <c r="L5" s="463" t="s">
        <v>211</v>
      </c>
      <c r="M5" s="448">
        <f>SUM(M6:M11)</f>
        <v>1.1533227382359276E-2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7.1965246789987365E-5</v>
      </c>
      <c r="C6" s="449"/>
      <c r="D6" s="892">
        <f>vkm_2011_GW_PW*SUMIFS(TableVerdeelsleutelVkm[CNG],TableVerdeelsleutelVkm[Voertuigtype],"Lichte voertuigen")*SUMIFS(TableECFTransport[EnergieConsumptieFactor (PJ per km)],TableECFTransport[Index],CONCATENATE($A6,"_CNG_CNG"))</f>
        <v>1.4299620595343031E-4</v>
      </c>
      <c r="E6" s="892">
        <f>vkm_2011_GW_PW*SUMIFS(TableVerdeelsleutelVkm[LPG],TableVerdeelsleutelVkm[Voertuigtype],"Lichte voertuigen")*SUMIFS(TableECFTransport[EnergieConsumptieFactor (PJ per km)],TableECFTransport[Index],CONCATENATE($A6,"_LPG_LPG"))</f>
        <v>5.6274133072388172E-4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0.13380057966515416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3.871337489734273E-2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5.3756941258822147E-3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9.6043353857007976E-2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3.1026105644356013E-5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3.0261791263973005E-3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5.4083003970688528E-6</v>
      </c>
      <c r="C8" s="449"/>
      <c r="D8" s="451">
        <f>vkm_2011_NGW_PW*SUMIFS(TableVerdeelsleutelVkm[CNG],TableVerdeelsleutelVkm[Voertuigtype],"Lichte voertuigen")*SUMIFS(TableECFTransport[EnergieConsumptieFactor (PJ per km)],TableECFTransport[Index],CONCATENATE($A8,"_CNG_CNG"))</f>
        <v>1.9027932303473137E-5</v>
      </c>
      <c r="E8" s="451">
        <f>vkm_2011_NGW_PW*SUMIFS(TableVerdeelsleutelVkm[LPG],TableVerdeelsleutelVkm[Voertuigtype],"Lichte voertuigen")*SUMIFS(TableECFTransport[EnergieConsumptieFactor (PJ per km)],TableECFTransport[Index],CONCATENATE($A8,"_LPG_LPG"))</f>
        <v>6.9252375555314122E-5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1.5375974128433565E-2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4.9951108619743396E-3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6.3414392674925827E-4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1.406253472321063E-3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4.296223595654282E-7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4.4308155677752946E-5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1.1798972562545963E-5</v>
      </c>
      <c r="C10" s="449"/>
      <c r="D10" s="451">
        <f>vkm_2011_SW_PW*SUMIFS(TableVerdeelsleutelVkm[CNG],TableVerdeelsleutelVkm[Voertuigtype],"Lichte voertuigen")*SUMIFS(TableECFTransport[EnergieConsumptieFactor (PJ per km)],TableECFTransport[Index],CONCATENATE($A10,"_CNG_CNG"))</f>
        <v>2.4542978792160159E-5</v>
      </c>
      <c r="E10" s="451">
        <f>vkm_2011_SW_PW*SUMIFS(TableVerdeelsleutelVkm[LPG],TableVerdeelsleutelVkm[Voertuigtype],"Lichte voertuigen")*SUMIFS(TableECFTransport[EnergieConsumptieFactor (PJ per km)],TableECFTransport[Index],CONCATENATE($A10,"_LPG_LPG"))</f>
        <v>1.203521426918224E-4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2.5633624555339386E-2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6.9227161070904986E-3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1.0150625086163068E-3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4.5632342807693092E-2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1.5882724331482067E-5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1.4378395390364403E-3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24.770144374889494</v>
      </c>
      <c r="C14" s="21"/>
      <c r="D14" s="21">
        <f t="shared" ref="D14:M14" si="0">((D5)*10^9/3600)+D12</f>
        <v>51.824199180295437</v>
      </c>
      <c r="E14" s="21">
        <f t="shared" si="0"/>
        <v>208.9849580475051</v>
      </c>
      <c r="F14" s="21"/>
      <c r="G14" s="21">
        <f t="shared" si="0"/>
        <v>88303.36902387478</v>
      </c>
      <c r="H14" s="21">
        <f t="shared" si="0"/>
        <v>14077.372310761937</v>
      </c>
      <c r="I14" s="21"/>
      <c r="J14" s="21"/>
      <c r="K14" s="21"/>
      <c r="L14" s="21"/>
      <c r="M14" s="21">
        <f t="shared" si="0"/>
        <v>3203.6742728775766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0.21472976489153978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5.3188872779495178</v>
      </c>
      <c r="C18" s="23"/>
      <c r="D18" s="23">
        <f t="shared" ref="D18:M18" si="1">D14*D16</f>
        <v>10.468488234419679</v>
      </c>
      <c r="E18" s="23">
        <f t="shared" si="1"/>
        <v>47.439585476783662</v>
      </c>
      <c r="F18" s="23"/>
      <c r="G18" s="23">
        <f t="shared" si="1"/>
        <v>23576.999529374567</v>
      </c>
      <c r="H18" s="23">
        <f t="shared" si="1"/>
        <v>3505.2657053797225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4.8872996914342427E-3</v>
      </c>
      <c r="C50" s="321">
        <f t="shared" ref="C50:P50" si="2">SUM(C51:C52)</f>
        <v>0</v>
      </c>
      <c r="D50" s="321">
        <f t="shared" si="2"/>
        <v>0</v>
      </c>
      <c r="E50" s="321">
        <f t="shared" si="2"/>
        <v>0</v>
      </c>
      <c r="F50" s="321">
        <f t="shared" si="2"/>
        <v>0</v>
      </c>
      <c r="G50" s="321">
        <f t="shared" si="2"/>
        <v>4.5726905042267956E-3</v>
      </c>
      <c r="H50" s="321">
        <f t="shared" si="2"/>
        <v>0</v>
      </c>
      <c r="I50" s="321">
        <f t="shared" si="2"/>
        <v>0</v>
      </c>
      <c r="J50" s="321">
        <f t="shared" si="2"/>
        <v>0</v>
      </c>
      <c r="K50" s="321">
        <f t="shared" si="2"/>
        <v>0</v>
      </c>
      <c r="L50" s="321">
        <f t="shared" si="2"/>
        <v>0</v>
      </c>
      <c r="M50" s="321">
        <f t="shared" si="2"/>
        <v>1.4183462949982458E-4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4.5726905042267956E-3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1.4183462949982458E-4</v>
      </c>
      <c r="N51" s="323"/>
      <c r="O51" s="323"/>
      <c r="P51" s="326"/>
    </row>
    <row r="52" spans="1:18">
      <c r="A52" s="4" t="s">
        <v>330</v>
      </c>
      <c r="B52" s="893">
        <f>vkm_2011_tram*SUMIFS(TableECFTransport[EnergieConsumptieFactor (PJ per km)],TableECFTransport[Index],"Tram_gemiddeld_Electric_Electric")</f>
        <v>4.8872996914342427E-3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1357.5832476206231</v>
      </c>
      <c r="C54" s="21">
        <f t="shared" ref="C54:P54" si="3">(C50)*10^9/3600</f>
        <v>0</v>
      </c>
      <c r="D54" s="21">
        <f t="shared" si="3"/>
        <v>0</v>
      </c>
      <c r="E54" s="21">
        <f t="shared" si="3"/>
        <v>0</v>
      </c>
      <c r="F54" s="21">
        <f t="shared" si="3"/>
        <v>0</v>
      </c>
      <c r="G54" s="21">
        <f t="shared" si="3"/>
        <v>1270.1918067296654</v>
      </c>
      <c r="H54" s="21">
        <f t="shared" si="3"/>
        <v>0</v>
      </c>
      <c r="I54" s="21">
        <f t="shared" si="3"/>
        <v>0</v>
      </c>
      <c r="J54" s="21">
        <f t="shared" si="3"/>
        <v>0</v>
      </c>
      <c r="K54" s="21">
        <f t="shared" si="3"/>
        <v>0</v>
      </c>
      <c r="L54" s="21">
        <f t="shared" si="3"/>
        <v>0</v>
      </c>
      <c r="M54" s="21">
        <f t="shared" si="3"/>
        <v>39.398508194395717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0.21472976489153978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291.51353158226942</v>
      </c>
      <c r="C58" s="23">
        <f t="shared" ref="C58:P58" ca="1" si="4">C54*C56</f>
        <v>0</v>
      </c>
      <c r="D58" s="23">
        <f t="shared" si="4"/>
        <v>0</v>
      </c>
      <c r="E58" s="23">
        <f t="shared" si="4"/>
        <v>0</v>
      </c>
      <c r="F58" s="23">
        <f t="shared" si="4"/>
        <v>0</v>
      </c>
      <c r="G58" s="23">
        <f t="shared" si="4"/>
        <v>339.14121239682066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52384.515032830001</v>
      </c>
      <c r="D10" s="1012">
        <f ca="1">tertiair!C16</f>
        <v>294.64285714285717</v>
      </c>
      <c r="E10" s="1012">
        <f ca="1">tertiair!D16</f>
        <v>61231.784738315087</v>
      </c>
      <c r="F10" s="1012">
        <f>tertiair!E16</f>
        <v>992.44877769619666</v>
      </c>
      <c r="G10" s="1012">
        <f ca="1">tertiair!F16</f>
        <v>14095.167183304882</v>
      </c>
      <c r="H10" s="1012">
        <f>tertiair!G16</f>
        <v>0</v>
      </c>
      <c r="I10" s="1012">
        <f>tertiair!H16</f>
        <v>0</v>
      </c>
      <c r="J10" s="1012">
        <f>tertiair!I16</f>
        <v>0</v>
      </c>
      <c r="K10" s="1012">
        <f>tertiair!J16</f>
        <v>0</v>
      </c>
      <c r="L10" s="1012">
        <f>tertiair!K16</f>
        <v>0</v>
      </c>
      <c r="M10" s="1012">
        <f ca="1">tertiair!L16</f>
        <v>0</v>
      </c>
      <c r="N10" s="1012">
        <f>tertiair!M16</f>
        <v>0</v>
      </c>
      <c r="O10" s="1012">
        <f ca="1">tertiair!N16</f>
        <v>6624.8795514115982</v>
      </c>
      <c r="P10" s="1012">
        <f>tertiair!O16</f>
        <v>6.2533333333333339</v>
      </c>
      <c r="Q10" s="1013">
        <f>tertiair!P16</f>
        <v>38.133333333333333</v>
      </c>
      <c r="R10" s="700">
        <f ca="1">SUM(C10:Q10)</f>
        <v>135667.82480736729</v>
      </c>
      <c r="S10" s="67"/>
    </row>
    <row r="11" spans="1:19" s="473" customFormat="1">
      <c r="A11" s="809" t="s">
        <v>225</v>
      </c>
      <c r="B11" s="814"/>
      <c r="C11" s="1012">
        <f>huishoudens!B8</f>
        <v>52255.463000158954</v>
      </c>
      <c r="D11" s="1012">
        <f>huishoudens!C8</f>
        <v>0</v>
      </c>
      <c r="E11" s="1012">
        <f>huishoudens!D8</f>
        <v>115591.48783247999</v>
      </c>
      <c r="F11" s="1012">
        <f>huishoudens!E8</f>
        <v>0</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0</v>
      </c>
      <c r="P11" s="1012">
        <f>huishoudens!O8</f>
        <v>337.68</v>
      </c>
      <c r="Q11" s="1013">
        <f>huishoudens!P8</f>
        <v>533.86666666666667</v>
      </c>
      <c r="R11" s="700">
        <f>SUM(C11:Q11)</f>
        <v>168718.49749930561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3529.2080070218003</v>
      </c>
      <c r="D13" s="1012">
        <f>industrie!C18</f>
        <v>0</v>
      </c>
      <c r="E13" s="1012">
        <f>industrie!D18</f>
        <v>4509.9732375553676</v>
      </c>
      <c r="F13" s="1012">
        <f>industrie!E18</f>
        <v>597.30122459328868</v>
      </c>
      <c r="G13" s="1012">
        <f>industrie!F18</f>
        <v>2196.5070199643956</v>
      </c>
      <c r="H13" s="1012">
        <f>industrie!G18</f>
        <v>0</v>
      </c>
      <c r="I13" s="1012">
        <f>industrie!H18</f>
        <v>0</v>
      </c>
      <c r="J13" s="1012">
        <f>industrie!I18</f>
        <v>0</v>
      </c>
      <c r="K13" s="1012">
        <f>industrie!J18</f>
        <v>4.0599797517855407</v>
      </c>
      <c r="L13" s="1012">
        <f>industrie!K18</f>
        <v>0</v>
      </c>
      <c r="M13" s="1012">
        <f>industrie!L18</f>
        <v>0</v>
      </c>
      <c r="N13" s="1012">
        <f>industrie!M18</f>
        <v>0</v>
      </c>
      <c r="O13" s="1012">
        <f>industrie!N18</f>
        <v>1177.0597519952521</v>
      </c>
      <c r="P13" s="1012">
        <f>industrie!O18</f>
        <v>0</v>
      </c>
      <c r="Q13" s="1013">
        <f>industrie!P18</f>
        <v>0</v>
      </c>
      <c r="R13" s="700">
        <f>SUM(C13:Q13)</f>
        <v>12014.10922088189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108169.18604001077</v>
      </c>
      <c r="D16" s="732">
        <f t="shared" ref="D16:R16" ca="1" si="0">SUM(D9:D15)</f>
        <v>294.64285714285717</v>
      </c>
      <c r="E16" s="732">
        <f t="shared" ca="1" si="0"/>
        <v>181333.24580835045</v>
      </c>
      <c r="F16" s="732">
        <f t="shared" si="0"/>
        <v>1589.7500022894853</v>
      </c>
      <c r="G16" s="732">
        <f t="shared" ca="1" si="0"/>
        <v>16291.674203269278</v>
      </c>
      <c r="H16" s="732">
        <f t="shared" si="0"/>
        <v>0</v>
      </c>
      <c r="I16" s="732">
        <f t="shared" si="0"/>
        <v>0</v>
      </c>
      <c r="J16" s="732">
        <f t="shared" si="0"/>
        <v>0</v>
      </c>
      <c r="K16" s="732">
        <f t="shared" si="0"/>
        <v>4.0599797517855407</v>
      </c>
      <c r="L16" s="732">
        <f t="shared" si="0"/>
        <v>0</v>
      </c>
      <c r="M16" s="732">
        <f t="shared" ca="1" si="0"/>
        <v>0</v>
      </c>
      <c r="N16" s="732">
        <f t="shared" si="0"/>
        <v>0</v>
      </c>
      <c r="O16" s="732">
        <f t="shared" ca="1" si="0"/>
        <v>7801.9393034068507</v>
      </c>
      <c r="P16" s="732">
        <f t="shared" si="0"/>
        <v>343.93333333333334</v>
      </c>
      <c r="Q16" s="732">
        <f t="shared" si="0"/>
        <v>572</v>
      </c>
      <c r="R16" s="732">
        <f t="shared" ca="1" si="0"/>
        <v>316400.43152755481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1357.5832476206231</v>
      </c>
      <c r="D19" s="1012">
        <f>transport!C54</f>
        <v>0</v>
      </c>
      <c r="E19" s="1012">
        <f>transport!D54</f>
        <v>0</v>
      </c>
      <c r="F19" s="1012">
        <f>transport!E54</f>
        <v>0</v>
      </c>
      <c r="G19" s="1012">
        <f>transport!F54</f>
        <v>0</v>
      </c>
      <c r="H19" s="1012">
        <f>transport!G54</f>
        <v>1270.1918067296654</v>
      </c>
      <c r="I19" s="1012">
        <f>transport!H54</f>
        <v>0</v>
      </c>
      <c r="J19" s="1012">
        <f>transport!I54</f>
        <v>0</v>
      </c>
      <c r="K19" s="1012">
        <f>transport!J54</f>
        <v>0</v>
      </c>
      <c r="L19" s="1012">
        <f>transport!K54</f>
        <v>0</v>
      </c>
      <c r="M19" s="1012">
        <f>transport!L54</f>
        <v>0</v>
      </c>
      <c r="N19" s="1012">
        <f>transport!M54</f>
        <v>39.398508194395717</v>
      </c>
      <c r="O19" s="1012">
        <f>transport!N54</f>
        <v>0</v>
      </c>
      <c r="P19" s="1012">
        <f>transport!O54</f>
        <v>0</v>
      </c>
      <c r="Q19" s="1013">
        <f>transport!P54</f>
        <v>0</v>
      </c>
      <c r="R19" s="700">
        <f>SUM(C19:Q19)</f>
        <v>2667.173562544684</v>
      </c>
      <c r="S19" s="67"/>
    </row>
    <row r="20" spans="1:19" s="473" customFormat="1">
      <c r="A20" s="809" t="s">
        <v>307</v>
      </c>
      <c r="B20" s="814"/>
      <c r="C20" s="1012">
        <f>transport!B14</f>
        <v>24.770144374889494</v>
      </c>
      <c r="D20" s="1012">
        <f>transport!C14</f>
        <v>0</v>
      </c>
      <c r="E20" s="1012">
        <f>transport!D14</f>
        <v>51.824199180295437</v>
      </c>
      <c r="F20" s="1012">
        <f>transport!E14</f>
        <v>208.9849580475051</v>
      </c>
      <c r="G20" s="1012">
        <f>transport!F14</f>
        <v>0</v>
      </c>
      <c r="H20" s="1012">
        <f>transport!G14</f>
        <v>88303.36902387478</v>
      </c>
      <c r="I20" s="1012">
        <f>transport!H14</f>
        <v>14077.372310761937</v>
      </c>
      <c r="J20" s="1012">
        <f>transport!I14</f>
        <v>0</v>
      </c>
      <c r="K20" s="1012">
        <f>transport!J14</f>
        <v>0</v>
      </c>
      <c r="L20" s="1012">
        <f>transport!K14</f>
        <v>0</v>
      </c>
      <c r="M20" s="1012">
        <f>transport!L14</f>
        <v>0</v>
      </c>
      <c r="N20" s="1012">
        <f>transport!M14</f>
        <v>3203.6742728775766</v>
      </c>
      <c r="O20" s="1012">
        <f>transport!N14</f>
        <v>0</v>
      </c>
      <c r="P20" s="1012">
        <f>transport!O14</f>
        <v>0</v>
      </c>
      <c r="Q20" s="1013">
        <f>transport!P14</f>
        <v>0</v>
      </c>
      <c r="R20" s="700">
        <f>SUM(C20:Q20)</f>
        <v>105869.99490911697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1382.3533919955125</v>
      </c>
      <c r="D22" s="812">
        <f t="shared" ref="D22:R22" si="1">SUM(D18:D21)</f>
        <v>0</v>
      </c>
      <c r="E22" s="812">
        <f t="shared" si="1"/>
        <v>51.824199180295437</v>
      </c>
      <c r="F22" s="812">
        <f t="shared" si="1"/>
        <v>208.9849580475051</v>
      </c>
      <c r="G22" s="812">
        <f t="shared" si="1"/>
        <v>0</v>
      </c>
      <c r="H22" s="812">
        <f t="shared" si="1"/>
        <v>89573.560830604445</v>
      </c>
      <c r="I22" s="812">
        <f t="shared" si="1"/>
        <v>14077.372310761937</v>
      </c>
      <c r="J22" s="812">
        <f t="shared" si="1"/>
        <v>0</v>
      </c>
      <c r="K22" s="812">
        <f t="shared" si="1"/>
        <v>0</v>
      </c>
      <c r="L22" s="812">
        <f t="shared" si="1"/>
        <v>0</v>
      </c>
      <c r="M22" s="812">
        <f t="shared" si="1"/>
        <v>0</v>
      </c>
      <c r="N22" s="812">
        <f t="shared" si="1"/>
        <v>3243.0727810719723</v>
      </c>
      <c r="O22" s="812">
        <f t="shared" si="1"/>
        <v>0</v>
      </c>
      <c r="P22" s="812">
        <f t="shared" si="1"/>
        <v>0</v>
      </c>
      <c r="Q22" s="812">
        <f t="shared" si="1"/>
        <v>0</v>
      </c>
      <c r="R22" s="812">
        <f t="shared" si="1"/>
        <v>108537.16847166166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1157.4358521300001</v>
      </c>
      <c r="D24" s="1012">
        <f>+landbouw!C8</f>
        <v>35.357142857142861</v>
      </c>
      <c r="E24" s="1012">
        <f>+landbouw!D8</f>
        <v>165.81971232429424</v>
      </c>
      <c r="F24" s="1012">
        <f>+landbouw!E8</f>
        <v>29.845826586557113</v>
      </c>
      <c r="G24" s="1012">
        <f>+landbouw!F8</f>
        <v>4230.6484624856721</v>
      </c>
      <c r="H24" s="1012">
        <f>+landbouw!G8</f>
        <v>0</v>
      </c>
      <c r="I24" s="1012">
        <f>+landbouw!H8</f>
        <v>0</v>
      </c>
      <c r="J24" s="1012">
        <f>+landbouw!I8</f>
        <v>0</v>
      </c>
      <c r="K24" s="1012">
        <f>+landbouw!J8</f>
        <v>166.62818451094245</v>
      </c>
      <c r="L24" s="1012">
        <f>+landbouw!K8</f>
        <v>0</v>
      </c>
      <c r="M24" s="1012">
        <f>+landbouw!L8</f>
        <v>0</v>
      </c>
      <c r="N24" s="1012">
        <f>+landbouw!M8</f>
        <v>0</v>
      </c>
      <c r="O24" s="1012">
        <f>+landbouw!N8</f>
        <v>0</v>
      </c>
      <c r="P24" s="1012">
        <f>+landbouw!O8</f>
        <v>0</v>
      </c>
      <c r="Q24" s="1013">
        <f>+landbouw!P8</f>
        <v>0</v>
      </c>
      <c r="R24" s="700">
        <f>SUM(C24:Q24)</f>
        <v>5785.7351808946087</v>
      </c>
      <c r="S24" s="67"/>
    </row>
    <row r="25" spans="1:19" s="473" customFormat="1" ht="15" thickBot="1">
      <c r="A25" s="831" t="s">
        <v>848</v>
      </c>
      <c r="B25" s="1015"/>
      <c r="C25" s="1016">
        <f>IF(Onbekend_ele_kWh="---",0,Onbekend_ele_kWh)/1000+IF(REST_rest_ele_kWh="---",0,REST_rest_ele_kWh)/1000</f>
        <v>9846.8906951999998</v>
      </c>
      <c r="D25" s="1016"/>
      <c r="E25" s="1016">
        <f>IF(onbekend_gas_kWh="---",0,onbekend_gas_kWh)/1000+IF(REST_rest_gas_kWh="---",0,REST_rest_gas_kWh)/1000</f>
        <v>18813.018206999997</v>
      </c>
      <c r="F25" s="1016"/>
      <c r="G25" s="1016"/>
      <c r="H25" s="1016"/>
      <c r="I25" s="1016"/>
      <c r="J25" s="1016"/>
      <c r="K25" s="1016"/>
      <c r="L25" s="1016"/>
      <c r="M25" s="1016"/>
      <c r="N25" s="1016"/>
      <c r="O25" s="1016"/>
      <c r="P25" s="1016"/>
      <c r="Q25" s="1017"/>
      <c r="R25" s="700">
        <f>SUM(C25:Q25)</f>
        <v>28659.908902199997</v>
      </c>
      <c r="S25" s="67"/>
    </row>
    <row r="26" spans="1:19" s="473" customFormat="1" ht="15.75" thickBot="1">
      <c r="A26" s="705" t="s">
        <v>849</v>
      </c>
      <c r="B26" s="817"/>
      <c r="C26" s="812">
        <f>SUM(C24:C25)</f>
        <v>11004.32654733</v>
      </c>
      <c r="D26" s="812">
        <f t="shared" ref="D26:R26" si="2">SUM(D24:D25)</f>
        <v>35.357142857142861</v>
      </c>
      <c r="E26" s="812">
        <f t="shared" si="2"/>
        <v>18978.837919324291</v>
      </c>
      <c r="F26" s="812">
        <f t="shared" si="2"/>
        <v>29.845826586557113</v>
      </c>
      <c r="G26" s="812">
        <f t="shared" si="2"/>
        <v>4230.6484624856721</v>
      </c>
      <c r="H26" s="812">
        <f t="shared" si="2"/>
        <v>0</v>
      </c>
      <c r="I26" s="812">
        <f t="shared" si="2"/>
        <v>0</v>
      </c>
      <c r="J26" s="812">
        <f t="shared" si="2"/>
        <v>0</v>
      </c>
      <c r="K26" s="812">
        <f t="shared" si="2"/>
        <v>166.62818451094245</v>
      </c>
      <c r="L26" s="812">
        <f t="shared" si="2"/>
        <v>0</v>
      </c>
      <c r="M26" s="812">
        <f t="shared" si="2"/>
        <v>0</v>
      </c>
      <c r="N26" s="812">
        <f t="shared" si="2"/>
        <v>0</v>
      </c>
      <c r="O26" s="812">
        <f t="shared" si="2"/>
        <v>0</v>
      </c>
      <c r="P26" s="812">
        <f t="shared" si="2"/>
        <v>0</v>
      </c>
      <c r="Q26" s="812">
        <f t="shared" si="2"/>
        <v>0</v>
      </c>
      <c r="R26" s="812">
        <f t="shared" si="2"/>
        <v>34445.644083094609</v>
      </c>
      <c r="S26" s="67"/>
    </row>
    <row r="27" spans="1:19" s="473" customFormat="1" ht="17.25" thickTop="1" thickBot="1">
      <c r="A27" s="706" t="s">
        <v>116</v>
      </c>
      <c r="B27" s="805"/>
      <c r="C27" s="707">
        <f ca="1">C22+C16+C26</f>
        <v>120555.86597933627</v>
      </c>
      <c r="D27" s="707">
        <f t="shared" ref="D27:R27" ca="1" si="3">D22+D16+D26</f>
        <v>330</v>
      </c>
      <c r="E27" s="707">
        <f t="shared" ca="1" si="3"/>
        <v>200363.90792685503</v>
      </c>
      <c r="F27" s="707">
        <f t="shared" si="3"/>
        <v>1828.5807869235477</v>
      </c>
      <c r="G27" s="707">
        <f t="shared" ca="1" si="3"/>
        <v>20522.322665754949</v>
      </c>
      <c r="H27" s="707">
        <f t="shared" si="3"/>
        <v>89573.560830604445</v>
      </c>
      <c r="I27" s="707">
        <f t="shared" si="3"/>
        <v>14077.372310761937</v>
      </c>
      <c r="J27" s="707">
        <f t="shared" si="3"/>
        <v>0</v>
      </c>
      <c r="K27" s="707">
        <f t="shared" si="3"/>
        <v>170.68816426272798</v>
      </c>
      <c r="L27" s="707">
        <f t="shared" si="3"/>
        <v>0</v>
      </c>
      <c r="M27" s="707">
        <f t="shared" ca="1" si="3"/>
        <v>0</v>
      </c>
      <c r="N27" s="707">
        <f t="shared" si="3"/>
        <v>3243.0727810719723</v>
      </c>
      <c r="O27" s="707">
        <f t="shared" ca="1" si="3"/>
        <v>7801.9393034068507</v>
      </c>
      <c r="P27" s="707">
        <f t="shared" si="3"/>
        <v>343.93333333333334</v>
      </c>
      <c r="Q27" s="707">
        <f t="shared" si="3"/>
        <v>572</v>
      </c>
      <c r="R27" s="707">
        <f t="shared" ca="1" si="3"/>
        <v>459383.24408231111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11248.514596956918</v>
      </c>
      <c r="D40" s="1012">
        <f ca="1">tertiair!C20</f>
        <v>70.021008403361364</v>
      </c>
      <c r="E40" s="1012">
        <f ca="1">tertiair!D20</f>
        <v>12368.820517139648</v>
      </c>
      <c r="F40" s="1012">
        <f>tertiair!E20</f>
        <v>225.28587253703665</v>
      </c>
      <c r="G40" s="1012">
        <f ca="1">tertiair!F20</f>
        <v>3763.4096379424036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27676.051632979368</v>
      </c>
    </row>
    <row r="41" spans="1:18">
      <c r="A41" s="822" t="s">
        <v>225</v>
      </c>
      <c r="B41" s="829"/>
      <c r="C41" s="1012">
        <f ca="1">huishoudens!B12</f>
        <v>11220.803284322688</v>
      </c>
      <c r="D41" s="1012">
        <f ca="1">huishoudens!C12</f>
        <v>0</v>
      </c>
      <c r="E41" s="1012">
        <f>huishoudens!D12</f>
        <v>23349.48054216096</v>
      </c>
      <c r="F41" s="1012">
        <f>huishoudens!E12</f>
        <v>0</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34570.283826483646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757.82600560113087</v>
      </c>
      <c r="D43" s="1012">
        <f ca="1">industrie!C22</f>
        <v>0</v>
      </c>
      <c r="E43" s="1012">
        <f>industrie!D22</f>
        <v>911.01459398618431</v>
      </c>
      <c r="F43" s="1012">
        <f>industrie!E22</f>
        <v>135.58737798267654</v>
      </c>
      <c r="G43" s="1012">
        <f>industrie!F22</f>
        <v>586.46737433049361</v>
      </c>
      <c r="H43" s="1012">
        <f>industrie!G22</f>
        <v>0</v>
      </c>
      <c r="I43" s="1012">
        <f>industrie!H22</f>
        <v>0</v>
      </c>
      <c r="J43" s="1012">
        <f>industrie!I22</f>
        <v>0</v>
      </c>
      <c r="K43" s="1012">
        <f>industrie!J22</f>
        <v>1.4372328321320813</v>
      </c>
      <c r="L43" s="1012">
        <f>industrie!K22</f>
        <v>0</v>
      </c>
      <c r="M43" s="1012">
        <f>industrie!L22</f>
        <v>0</v>
      </c>
      <c r="N43" s="1012">
        <f>industrie!M22</f>
        <v>0</v>
      </c>
      <c r="O43" s="1012">
        <f>industrie!N22</f>
        <v>0</v>
      </c>
      <c r="P43" s="1012">
        <f>industrie!O22</f>
        <v>0</v>
      </c>
      <c r="Q43" s="774">
        <f>industrie!P22</f>
        <v>0</v>
      </c>
      <c r="R43" s="849">
        <f t="shared" ca="1" si="4"/>
        <v>2392.3325847326173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23227.143886880738</v>
      </c>
      <c r="D46" s="732">
        <f t="shared" ref="D46:Q46" ca="1" si="5">SUM(D39:D45)</f>
        <v>70.021008403361364</v>
      </c>
      <c r="E46" s="732">
        <f t="shared" ca="1" si="5"/>
        <v>36629.315653286787</v>
      </c>
      <c r="F46" s="732">
        <f t="shared" si="5"/>
        <v>360.87325051971322</v>
      </c>
      <c r="G46" s="732">
        <f t="shared" ca="1" si="5"/>
        <v>4349.8770122728974</v>
      </c>
      <c r="H46" s="732">
        <f t="shared" si="5"/>
        <v>0</v>
      </c>
      <c r="I46" s="732">
        <f t="shared" si="5"/>
        <v>0</v>
      </c>
      <c r="J46" s="732">
        <f t="shared" si="5"/>
        <v>0</v>
      </c>
      <c r="K46" s="732">
        <f t="shared" si="5"/>
        <v>1.4372328321320813</v>
      </c>
      <c r="L46" s="732">
        <f t="shared" si="5"/>
        <v>0</v>
      </c>
      <c r="M46" s="732">
        <f t="shared" ca="1" si="5"/>
        <v>0</v>
      </c>
      <c r="N46" s="732">
        <f t="shared" si="5"/>
        <v>0</v>
      </c>
      <c r="O46" s="732">
        <f t="shared" ca="1" si="5"/>
        <v>0</v>
      </c>
      <c r="P46" s="732">
        <f t="shared" si="5"/>
        <v>0</v>
      </c>
      <c r="Q46" s="732">
        <f t="shared" si="5"/>
        <v>0</v>
      </c>
      <c r="R46" s="732">
        <f ca="1">SUM(R39:R45)</f>
        <v>64638.668044195634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291.51353158226942</v>
      </c>
      <c r="D49" s="1012">
        <f ca="1">transport!C58</f>
        <v>0</v>
      </c>
      <c r="E49" s="1012">
        <f>transport!D58</f>
        <v>0</v>
      </c>
      <c r="F49" s="1012">
        <f>transport!E58</f>
        <v>0</v>
      </c>
      <c r="G49" s="1012">
        <f>transport!F58</f>
        <v>0</v>
      </c>
      <c r="H49" s="1012">
        <f>transport!G58</f>
        <v>339.14121239682066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630.65474397909009</v>
      </c>
    </row>
    <row r="50" spans="1:18">
      <c r="A50" s="825" t="s">
        <v>307</v>
      </c>
      <c r="B50" s="835"/>
      <c r="C50" s="703">
        <f ca="1">transport!B18</f>
        <v>5.3188872779495178</v>
      </c>
      <c r="D50" s="703">
        <f>transport!C18</f>
        <v>0</v>
      </c>
      <c r="E50" s="703">
        <f>transport!D18</f>
        <v>10.468488234419679</v>
      </c>
      <c r="F50" s="703">
        <f>transport!E18</f>
        <v>47.439585476783662</v>
      </c>
      <c r="G50" s="703">
        <f>transport!F18</f>
        <v>0</v>
      </c>
      <c r="H50" s="703">
        <f>transport!G18</f>
        <v>23576.999529374567</v>
      </c>
      <c r="I50" s="703">
        <f>transport!H18</f>
        <v>3505.2657053797225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27145.492195743442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296.83241886021892</v>
      </c>
      <c r="D52" s="732">
        <f t="shared" ref="D52:Q52" ca="1" si="6">SUM(D48:D51)</f>
        <v>0</v>
      </c>
      <c r="E52" s="732">
        <f t="shared" si="6"/>
        <v>10.468488234419679</v>
      </c>
      <c r="F52" s="732">
        <f t="shared" si="6"/>
        <v>47.439585476783662</v>
      </c>
      <c r="G52" s="732">
        <f t="shared" si="6"/>
        <v>0</v>
      </c>
      <c r="H52" s="732">
        <f t="shared" si="6"/>
        <v>23916.140741771389</v>
      </c>
      <c r="I52" s="732">
        <f t="shared" si="6"/>
        <v>3505.2657053797225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27776.14693972253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248.5359284049139</v>
      </c>
      <c r="D54" s="703">
        <f ca="1">+landbouw!C12</f>
        <v>8.4025210084033635</v>
      </c>
      <c r="E54" s="703">
        <f>+landbouw!D12</f>
        <v>33.495581889507442</v>
      </c>
      <c r="F54" s="703">
        <f>+landbouw!E12</f>
        <v>6.7750026351484651</v>
      </c>
      <c r="G54" s="703">
        <f>+landbouw!F12</f>
        <v>1129.5831394836746</v>
      </c>
      <c r="H54" s="703">
        <f>+landbouw!G12</f>
        <v>0</v>
      </c>
      <c r="I54" s="703">
        <f>+landbouw!H12</f>
        <v>0</v>
      </c>
      <c r="J54" s="703">
        <f>+landbouw!I12</f>
        <v>0</v>
      </c>
      <c r="K54" s="703">
        <f>+landbouw!J12</f>
        <v>58.986377316873622</v>
      </c>
      <c r="L54" s="703">
        <f>+landbouw!K12</f>
        <v>0</v>
      </c>
      <c r="M54" s="703">
        <f>+landbouw!L12</f>
        <v>0</v>
      </c>
      <c r="N54" s="703">
        <f>+landbouw!M12</f>
        <v>0</v>
      </c>
      <c r="O54" s="703">
        <f>+landbouw!N12</f>
        <v>0</v>
      </c>
      <c r="P54" s="703">
        <f>+landbouw!O12</f>
        <v>0</v>
      </c>
      <c r="Q54" s="704">
        <f>+landbouw!P12</f>
        <v>0</v>
      </c>
      <c r="R54" s="731">
        <f ca="1">SUM(C54:Q54)</f>
        <v>1485.7785507385213</v>
      </c>
    </row>
    <row r="55" spans="1:18" ht="15" thickBot="1">
      <c r="A55" s="825" t="s">
        <v>848</v>
      </c>
      <c r="B55" s="835"/>
      <c r="C55" s="703">
        <f ca="1">C25*'EF ele_warmte'!B12</f>
        <v>2114.4205238929867</v>
      </c>
      <c r="D55" s="703"/>
      <c r="E55" s="703">
        <f>E25*EF_CO2_aardgas</f>
        <v>3800.2296778139998</v>
      </c>
      <c r="F55" s="703"/>
      <c r="G55" s="703"/>
      <c r="H55" s="703"/>
      <c r="I55" s="703"/>
      <c r="J55" s="703"/>
      <c r="K55" s="703"/>
      <c r="L55" s="703"/>
      <c r="M55" s="703"/>
      <c r="N55" s="703"/>
      <c r="O55" s="703"/>
      <c r="P55" s="703"/>
      <c r="Q55" s="704"/>
      <c r="R55" s="731">
        <f ca="1">SUM(C55:Q55)</f>
        <v>5914.650201706987</v>
      </c>
    </row>
    <row r="56" spans="1:18" ht="15.75" thickBot="1">
      <c r="A56" s="823" t="s">
        <v>849</v>
      </c>
      <c r="B56" s="836"/>
      <c r="C56" s="732">
        <f ca="1">SUM(C54:C55)</f>
        <v>2362.9564522979008</v>
      </c>
      <c r="D56" s="732">
        <f t="shared" ref="D56:Q56" ca="1" si="7">SUM(D54:D55)</f>
        <v>8.4025210084033635</v>
      </c>
      <c r="E56" s="732">
        <f t="shared" si="7"/>
        <v>3833.7252597035072</v>
      </c>
      <c r="F56" s="732">
        <f t="shared" si="7"/>
        <v>6.7750026351484651</v>
      </c>
      <c r="G56" s="732">
        <f t="shared" si="7"/>
        <v>1129.5831394836746</v>
      </c>
      <c r="H56" s="732">
        <f t="shared" si="7"/>
        <v>0</v>
      </c>
      <c r="I56" s="732">
        <f t="shared" si="7"/>
        <v>0</v>
      </c>
      <c r="J56" s="732">
        <f t="shared" si="7"/>
        <v>0</v>
      </c>
      <c r="K56" s="732">
        <f t="shared" si="7"/>
        <v>58.986377316873622</v>
      </c>
      <c r="L56" s="732">
        <f t="shared" si="7"/>
        <v>0</v>
      </c>
      <c r="M56" s="732">
        <f t="shared" si="7"/>
        <v>0</v>
      </c>
      <c r="N56" s="732">
        <f t="shared" si="7"/>
        <v>0</v>
      </c>
      <c r="O56" s="732">
        <f t="shared" si="7"/>
        <v>0</v>
      </c>
      <c r="P56" s="732">
        <f t="shared" si="7"/>
        <v>0</v>
      </c>
      <c r="Q56" s="733">
        <f t="shared" si="7"/>
        <v>0</v>
      </c>
      <c r="R56" s="734">
        <f ca="1">SUM(R54:R55)</f>
        <v>7400.4287524455085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25886.93275803886</v>
      </c>
      <c r="D61" s="740">
        <f t="shared" ref="D61:Q61" ca="1" si="8">D46+D52+D56</f>
        <v>78.423529411764733</v>
      </c>
      <c r="E61" s="740">
        <f t="shared" ca="1" si="8"/>
        <v>40473.509401224714</v>
      </c>
      <c r="F61" s="740">
        <f t="shared" si="8"/>
        <v>415.08783863164535</v>
      </c>
      <c r="G61" s="740">
        <f t="shared" ca="1" si="8"/>
        <v>5479.4601517565716</v>
      </c>
      <c r="H61" s="740">
        <f t="shared" si="8"/>
        <v>23916.140741771389</v>
      </c>
      <c r="I61" s="740">
        <f t="shared" si="8"/>
        <v>3505.2657053797225</v>
      </c>
      <c r="J61" s="740">
        <f t="shared" si="8"/>
        <v>0</v>
      </c>
      <c r="K61" s="740">
        <f t="shared" si="8"/>
        <v>60.423610149005704</v>
      </c>
      <c r="L61" s="740">
        <f t="shared" si="8"/>
        <v>0</v>
      </c>
      <c r="M61" s="740">
        <f t="shared" ca="1" si="8"/>
        <v>0</v>
      </c>
      <c r="N61" s="740">
        <f t="shared" si="8"/>
        <v>0</v>
      </c>
      <c r="O61" s="740">
        <f t="shared" ca="1" si="8"/>
        <v>0</v>
      </c>
      <c r="P61" s="740">
        <f t="shared" si="8"/>
        <v>0</v>
      </c>
      <c r="Q61" s="740">
        <f t="shared" si="8"/>
        <v>0</v>
      </c>
      <c r="R61" s="740">
        <f ca="1">R46+R52+R56</f>
        <v>99815.243736363671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0.2147297648915398</v>
      </c>
      <c r="D63" s="781">
        <f t="shared" ca="1" si="9"/>
        <v>0.23764705882352949</v>
      </c>
      <c r="E63" s="1023">
        <f t="shared" ca="1" si="9"/>
        <v>0.20199999999999999</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3437.8239546728273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231</v>
      </c>
      <c r="D76" s="1033">
        <f>'lokale energieproductie'!C8</f>
        <v>271.76470588235293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54.896470588235296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3437.8239546728273</v>
      </c>
      <c r="C78" s="755">
        <f>SUM(C72:C77)</f>
        <v>231</v>
      </c>
      <c r="D78" s="756">
        <f t="shared" ref="D78:H78" si="10">SUM(D76:D77)</f>
        <v>271.76470588235293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54.896470588235296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330</v>
      </c>
      <c r="D87" s="777">
        <f>'lokale energieproductie'!C17</f>
        <v>388.23529411764707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78.423529411764719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330</v>
      </c>
      <c r="D90" s="755">
        <f t="shared" ref="D90:H90" si="12">SUM(D87:D89)</f>
        <v>388.23529411764707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78.423529411764719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3437.8239546728273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231</v>
      </c>
      <c r="C8" s="570">
        <f>B101</f>
        <v>271.76470588235293</v>
      </c>
      <c r="D8" s="1043"/>
      <c r="E8" s="1043">
        <f>E101</f>
        <v>0</v>
      </c>
      <c r="F8" s="1044"/>
      <c r="G8" s="571"/>
      <c r="H8" s="1043">
        <f>I101</f>
        <v>0</v>
      </c>
      <c r="I8" s="1043">
        <f>G101+F101</f>
        <v>0</v>
      </c>
      <c r="J8" s="1043">
        <f>H101+D101+C101</f>
        <v>0</v>
      </c>
      <c r="K8" s="1043"/>
      <c r="L8" s="1043"/>
      <c r="M8" s="1043"/>
      <c r="N8" s="572"/>
      <c r="O8" s="573">
        <f>C8*$C$12+D8*$D$12+E8*$E$12+F8*$F$12+G8*$G$12+H8*$H$12+I8*$I$12+J8*$J$12</f>
        <v>54.896470588235296</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3668.8239546728273</v>
      </c>
      <c r="C10" s="583">
        <f t="shared" ref="C10:L10" si="0">SUM(C8:C9)</f>
        <v>271.76470588235293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54.896470588235296</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330</v>
      </c>
      <c r="C17" s="595">
        <f>B102</f>
        <v>388.23529411764707</v>
      </c>
      <c r="D17" s="596"/>
      <c r="E17" s="596">
        <f>E102</f>
        <v>0</v>
      </c>
      <c r="F17" s="1049"/>
      <c r="G17" s="597"/>
      <c r="H17" s="595">
        <f>I102</f>
        <v>0</v>
      </c>
      <c r="I17" s="596">
        <f>G102+F102</f>
        <v>0</v>
      </c>
      <c r="J17" s="596">
        <f>H102+D102+C102</f>
        <v>0</v>
      </c>
      <c r="K17" s="596"/>
      <c r="L17" s="596"/>
      <c r="M17" s="596"/>
      <c r="N17" s="1050"/>
      <c r="O17" s="598">
        <f>C17*$C$22+E17*$E$22+H17*$H$22+I17*$I$22+J17*$J$22+D17*$D$22+F17*$F$22+G17*$G$22+K17*$K$22+L17*$L$22</f>
        <v>78.423529411764719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330</v>
      </c>
      <c r="C20" s="582">
        <f>SUM(C17:C19)</f>
        <v>388.23529411764707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78.423529411764719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38014</v>
      </c>
      <c r="C28" s="796">
        <v>8670</v>
      </c>
      <c r="D28" s="653" t="s">
        <v>890</v>
      </c>
      <c r="E28" s="652" t="s">
        <v>891</v>
      </c>
      <c r="F28" s="652" t="s">
        <v>892</v>
      </c>
      <c r="G28" s="652" t="s">
        <v>893</v>
      </c>
      <c r="H28" s="652" t="s">
        <v>894</v>
      </c>
      <c r="I28" s="652" t="s">
        <v>891</v>
      </c>
      <c r="J28" s="795">
        <v>41074</v>
      </c>
      <c r="K28" s="795">
        <v>41183</v>
      </c>
      <c r="L28" s="652" t="s">
        <v>895</v>
      </c>
      <c r="M28" s="652">
        <v>5.5</v>
      </c>
      <c r="N28" s="652">
        <v>24.75</v>
      </c>
      <c r="O28" s="652">
        <v>35.357142857142861</v>
      </c>
      <c r="P28" s="652">
        <v>70.714285714285722</v>
      </c>
      <c r="Q28" s="652">
        <v>0</v>
      </c>
      <c r="R28" s="652">
        <v>0</v>
      </c>
      <c r="S28" s="652">
        <v>0</v>
      </c>
      <c r="T28" s="652">
        <v>0</v>
      </c>
      <c r="U28" s="652">
        <v>0</v>
      </c>
      <c r="V28" s="652">
        <v>0</v>
      </c>
      <c r="W28" s="652">
        <v>0</v>
      </c>
      <c r="X28" s="652">
        <v>10</v>
      </c>
      <c r="Y28" s="652" t="s">
        <v>112</v>
      </c>
      <c r="Z28" s="654" t="s">
        <v>112</v>
      </c>
    </row>
    <row r="29" spans="1:26" s="606" customFormat="1" ht="25.5">
      <c r="A29" s="605"/>
      <c r="B29" s="796">
        <v>38014</v>
      </c>
      <c r="C29" s="796">
        <v>8670</v>
      </c>
      <c r="D29" s="653" t="s">
        <v>896</v>
      </c>
      <c r="E29" s="652" t="s">
        <v>897</v>
      </c>
      <c r="F29" s="652" t="s">
        <v>898</v>
      </c>
      <c r="G29" s="652" t="s">
        <v>893</v>
      </c>
      <c r="H29" s="652" t="s">
        <v>894</v>
      </c>
      <c r="I29" s="652" t="s">
        <v>899</v>
      </c>
      <c r="J29" s="795">
        <v>41093</v>
      </c>
      <c r="K29" s="795">
        <v>42019</v>
      </c>
      <c r="L29" s="652" t="s">
        <v>895</v>
      </c>
      <c r="M29" s="652">
        <v>50</v>
      </c>
      <c r="N29" s="652">
        <v>206.25</v>
      </c>
      <c r="O29" s="652">
        <v>294.64285714285717</v>
      </c>
      <c r="P29" s="652">
        <v>589.28571428571433</v>
      </c>
      <c r="Q29" s="652">
        <v>0</v>
      </c>
      <c r="R29" s="652">
        <v>0</v>
      </c>
      <c r="S29" s="652">
        <v>0</v>
      </c>
      <c r="T29" s="652">
        <v>0</v>
      </c>
      <c r="U29" s="652">
        <v>0</v>
      </c>
      <c r="V29" s="652">
        <v>0</v>
      </c>
      <c r="W29" s="652">
        <v>0</v>
      </c>
      <c r="X29" s="652">
        <v>1200</v>
      </c>
      <c r="Y29" s="652" t="s">
        <v>900</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55.5</v>
      </c>
      <c r="N58" s="610">
        <f>SUM(N28:N57)</f>
        <v>231</v>
      </c>
      <c r="O58" s="610">
        <f t="shared" ref="O58:W58" si="2">SUM(O28:O57)</f>
        <v>330</v>
      </c>
      <c r="P58" s="610">
        <f t="shared" si="2"/>
        <v>660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50</v>
      </c>
      <c r="N60" s="610">
        <f ca="1">SUMIF($Z$28:AD57,"tertiair",N28:N57)</f>
        <v>206.25</v>
      </c>
      <c r="O60" s="610">
        <f ca="1">SUMIF($Z$28:AE57,"tertiair",O28:O57)</f>
        <v>294.64285714285717</v>
      </c>
      <c r="P60" s="610">
        <f ca="1">SUMIF($Z$28:AF57,"tertiair",P28:P57)</f>
        <v>589.28571428571433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5.5</v>
      </c>
      <c r="N61" s="615">
        <f t="shared" si="4"/>
        <v>24.75</v>
      </c>
      <c r="O61" s="615">
        <f t="shared" si="4"/>
        <v>35.357142857142861</v>
      </c>
      <c r="P61" s="615">
        <f t="shared" si="4"/>
        <v>70.714285714285722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271.76470588235293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388.23529411764707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52255.463000158954</v>
      </c>
      <c r="C4" s="477">
        <f>huishoudens!C8</f>
        <v>0</v>
      </c>
      <c r="D4" s="477">
        <f>huishoudens!D8</f>
        <v>115591.48783247999</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337.68</v>
      </c>
      <c r="P4" s="478">
        <f>huishoudens!P8</f>
        <v>533.86666666666667</v>
      </c>
      <c r="Q4" s="479">
        <f>SUM(B4:P4)</f>
        <v>168718.49749930561</v>
      </c>
    </row>
    <row r="5" spans="1:17">
      <c r="A5" s="476" t="s">
        <v>156</v>
      </c>
      <c r="B5" s="477">
        <f ca="1">tertiair!B16</f>
        <v>49449.812032829999</v>
      </c>
      <c r="C5" s="477">
        <f ca="1">tertiair!C16</f>
        <v>294.64285714285717</v>
      </c>
      <c r="D5" s="477">
        <f ca="1">tertiair!D16</f>
        <v>61231.784738315087</v>
      </c>
      <c r="E5" s="477">
        <f>tertiair!E16</f>
        <v>992.44877769619666</v>
      </c>
      <c r="F5" s="477">
        <f ca="1">tertiair!F16</f>
        <v>14095.167183304882</v>
      </c>
      <c r="G5" s="477">
        <f>tertiair!G16</f>
        <v>0</v>
      </c>
      <c r="H5" s="477">
        <f>tertiair!H16</f>
        <v>0</v>
      </c>
      <c r="I5" s="477">
        <f>tertiair!I16</f>
        <v>0</v>
      </c>
      <c r="J5" s="477">
        <f>tertiair!J16</f>
        <v>0</v>
      </c>
      <c r="K5" s="477">
        <f>tertiair!K16</f>
        <v>0</v>
      </c>
      <c r="L5" s="477">
        <f ca="1">tertiair!L16</f>
        <v>0</v>
      </c>
      <c r="M5" s="477">
        <f>tertiair!M16</f>
        <v>0</v>
      </c>
      <c r="N5" s="477">
        <f ca="1">tertiair!N16</f>
        <v>6624.8795514115982</v>
      </c>
      <c r="O5" s="477">
        <f>tertiair!O16</f>
        <v>6.2533333333333339</v>
      </c>
      <c r="P5" s="478">
        <f>tertiair!P16</f>
        <v>38.133333333333333</v>
      </c>
      <c r="Q5" s="476">
        <f t="shared" ref="Q5:Q14" ca="1" si="0">SUM(B5:P5)</f>
        <v>132733.12180736728</v>
      </c>
    </row>
    <row r="6" spans="1:17">
      <c r="A6" s="476" t="s">
        <v>194</v>
      </c>
      <c r="B6" s="477">
        <f>'openbare verlichting'!B8</f>
        <v>2934.703</v>
      </c>
      <c r="C6" s="477"/>
      <c r="D6" s="477"/>
      <c r="E6" s="477"/>
      <c r="F6" s="477"/>
      <c r="G6" s="477"/>
      <c r="H6" s="477"/>
      <c r="I6" s="477"/>
      <c r="J6" s="477"/>
      <c r="K6" s="477"/>
      <c r="L6" s="477"/>
      <c r="M6" s="477"/>
      <c r="N6" s="477"/>
      <c r="O6" s="477"/>
      <c r="P6" s="478"/>
      <c r="Q6" s="476">
        <f t="shared" si="0"/>
        <v>2934.703</v>
      </c>
    </row>
    <row r="7" spans="1:17">
      <c r="A7" s="476" t="s">
        <v>112</v>
      </c>
      <c r="B7" s="477">
        <f>landbouw!B8</f>
        <v>1157.4358521300001</v>
      </c>
      <c r="C7" s="477">
        <f>landbouw!C8</f>
        <v>35.357142857142861</v>
      </c>
      <c r="D7" s="477">
        <f>landbouw!D8</f>
        <v>165.81971232429424</v>
      </c>
      <c r="E7" s="477">
        <f>landbouw!E8</f>
        <v>29.845826586557113</v>
      </c>
      <c r="F7" s="477">
        <f>landbouw!F8</f>
        <v>4230.6484624856721</v>
      </c>
      <c r="G7" s="477">
        <f>landbouw!G8</f>
        <v>0</v>
      </c>
      <c r="H7" s="477">
        <f>landbouw!H8</f>
        <v>0</v>
      </c>
      <c r="I7" s="477">
        <f>landbouw!I8</f>
        <v>0</v>
      </c>
      <c r="J7" s="477">
        <f>landbouw!J8</f>
        <v>166.62818451094245</v>
      </c>
      <c r="K7" s="477">
        <f>landbouw!K8</f>
        <v>0</v>
      </c>
      <c r="L7" s="477">
        <f>landbouw!L8</f>
        <v>0</v>
      </c>
      <c r="M7" s="477">
        <f>landbouw!M8</f>
        <v>0</v>
      </c>
      <c r="N7" s="477">
        <f>landbouw!N8</f>
        <v>0</v>
      </c>
      <c r="O7" s="477">
        <f>landbouw!O8</f>
        <v>0</v>
      </c>
      <c r="P7" s="478">
        <f>landbouw!P8</f>
        <v>0</v>
      </c>
      <c r="Q7" s="476">
        <f t="shared" si="0"/>
        <v>5785.7351808946087</v>
      </c>
    </row>
    <row r="8" spans="1:17">
      <c r="A8" s="476" t="s">
        <v>638</v>
      </c>
      <c r="B8" s="477">
        <f>industrie!B18</f>
        <v>3529.2080070218003</v>
      </c>
      <c r="C8" s="477">
        <f>industrie!C18</f>
        <v>0</v>
      </c>
      <c r="D8" s="477">
        <f>industrie!D18</f>
        <v>4509.9732375553676</v>
      </c>
      <c r="E8" s="477">
        <f>industrie!E18</f>
        <v>597.30122459328868</v>
      </c>
      <c r="F8" s="477">
        <f>industrie!F18</f>
        <v>2196.5070199643956</v>
      </c>
      <c r="G8" s="477">
        <f>industrie!G18</f>
        <v>0</v>
      </c>
      <c r="H8" s="477">
        <f>industrie!H18</f>
        <v>0</v>
      </c>
      <c r="I8" s="477">
        <f>industrie!I18</f>
        <v>0</v>
      </c>
      <c r="J8" s="477">
        <f>industrie!J18</f>
        <v>4.0599797517855407</v>
      </c>
      <c r="K8" s="477">
        <f>industrie!K18</f>
        <v>0</v>
      </c>
      <c r="L8" s="477">
        <f>industrie!L18</f>
        <v>0</v>
      </c>
      <c r="M8" s="477">
        <f>industrie!M18</f>
        <v>0</v>
      </c>
      <c r="N8" s="477">
        <f>industrie!N18</f>
        <v>1177.0597519952521</v>
      </c>
      <c r="O8" s="477">
        <f>industrie!O18</f>
        <v>0</v>
      </c>
      <c r="P8" s="478">
        <f>industrie!P18</f>
        <v>0</v>
      </c>
      <c r="Q8" s="476">
        <f t="shared" si="0"/>
        <v>12014.10922088189</v>
      </c>
    </row>
    <row r="9" spans="1:17" s="482" customFormat="1">
      <c r="A9" s="480" t="s">
        <v>564</v>
      </c>
      <c r="B9" s="481">
        <f>transport!B14</f>
        <v>24.770144374889494</v>
      </c>
      <c r="C9" s="481">
        <f>transport!C14</f>
        <v>0</v>
      </c>
      <c r="D9" s="481">
        <f>transport!D14</f>
        <v>51.824199180295437</v>
      </c>
      <c r="E9" s="481">
        <f>transport!E14</f>
        <v>208.9849580475051</v>
      </c>
      <c r="F9" s="481">
        <f>transport!F14</f>
        <v>0</v>
      </c>
      <c r="G9" s="481">
        <f>transport!G14</f>
        <v>88303.36902387478</v>
      </c>
      <c r="H9" s="481">
        <f>transport!H14</f>
        <v>14077.372310761937</v>
      </c>
      <c r="I9" s="481">
        <f>transport!I14</f>
        <v>0</v>
      </c>
      <c r="J9" s="481">
        <f>transport!J14</f>
        <v>0</v>
      </c>
      <c r="K9" s="481">
        <f>transport!K14</f>
        <v>0</v>
      </c>
      <c r="L9" s="481">
        <f>transport!L14</f>
        <v>0</v>
      </c>
      <c r="M9" s="481">
        <f>transport!M14</f>
        <v>3203.6742728775766</v>
      </c>
      <c r="N9" s="481">
        <f>transport!N14</f>
        <v>0</v>
      </c>
      <c r="O9" s="481">
        <f>transport!O14</f>
        <v>0</v>
      </c>
      <c r="P9" s="481">
        <f>transport!P14</f>
        <v>0</v>
      </c>
      <c r="Q9" s="480">
        <f>SUM(B9:P9)</f>
        <v>105869.99490911697</v>
      </c>
    </row>
    <row r="10" spans="1:17">
      <c r="A10" s="476" t="s">
        <v>554</v>
      </c>
      <c r="B10" s="477">
        <f>transport!B54</f>
        <v>1357.5832476206231</v>
      </c>
      <c r="C10" s="477">
        <f>transport!C54</f>
        <v>0</v>
      </c>
      <c r="D10" s="477">
        <f>transport!D54</f>
        <v>0</v>
      </c>
      <c r="E10" s="477">
        <f>transport!E54</f>
        <v>0</v>
      </c>
      <c r="F10" s="477">
        <f>transport!F54</f>
        <v>0</v>
      </c>
      <c r="G10" s="477">
        <f>transport!G54</f>
        <v>1270.1918067296654</v>
      </c>
      <c r="H10" s="477">
        <f>transport!H54</f>
        <v>0</v>
      </c>
      <c r="I10" s="477">
        <f>transport!I54</f>
        <v>0</v>
      </c>
      <c r="J10" s="477">
        <f>transport!J54</f>
        <v>0</v>
      </c>
      <c r="K10" s="477">
        <f>transport!K54</f>
        <v>0</v>
      </c>
      <c r="L10" s="477">
        <f>transport!L54</f>
        <v>0</v>
      </c>
      <c r="M10" s="477">
        <f>transport!M54</f>
        <v>39.398508194395717</v>
      </c>
      <c r="N10" s="477">
        <f>transport!N54</f>
        <v>0</v>
      </c>
      <c r="O10" s="477">
        <f>transport!O54</f>
        <v>0</v>
      </c>
      <c r="P10" s="478">
        <f>transport!P54</f>
        <v>0</v>
      </c>
      <c r="Q10" s="476">
        <f t="shared" si="0"/>
        <v>2667.173562544684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9846.8906951999998</v>
      </c>
      <c r="C14" s="484"/>
      <c r="D14" s="484">
        <f>'SEAP template'!E25</f>
        <v>18813.018206999997</v>
      </c>
      <c r="E14" s="484"/>
      <c r="F14" s="484"/>
      <c r="G14" s="484"/>
      <c r="H14" s="484"/>
      <c r="I14" s="484"/>
      <c r="J14" s="484"/>
      <c r="K14" s="484"/>
      <c r="L14" s="484"/>
      <c r="M14" s="484"/>
      <c r="N14" s="484"/>
      <c r="O14" s="484"/>
      <c r="P14" s="485"/>
      <c r="Q14" s="476">
        <f t="shared" si="0"/>
        <v>28659.908902199997</v>
      </c>
    </row>
    <row r="15" spans="1:17" s="486" customFormat="1">
      <c r="A15" s="1038" t="s">
        <v>558</v>
      </c>
      <c r="B15" s="978">
        <f ca="1">SUM(B4:B14)</f>
        <v>120555.86597933627</v>
      </c>
      <c r="C15" s="978">
        <f t="shared" ref="C15:Q15" ca="1" si="1">SUM(C4:C14)</f>
        <v>330</v>
      </c>
      <c r="D15" s="978">
        <f t="shared" ca="1" si="1"/>
        <v>200363.90792685503</v>
      </c>
      <c r="E15" s="978">
        <f t="shared" si="1"/>
        <v>1828.5807869235477</v>
      </c>
      <c r="F15" s="978">
        <f t="shared" ca="1" si="1"/>
        <v>20522.322665754949</v>
      </c>
      <c r="G15" s="978">
        <f t="shared" si="1"/>
        <v>89573.560830604445</v>
      </c>
      <c r="H15" s="978">
        <f t="shared" si="1"/>
        <v>14077.372310761937</v>
      </c>
      <c r="I15" s="978">
        <f t="shared" si="1"/>
        <v>0</v>
      </c>
      <c r="J15" s="978">
        <f t="shared" si="1"/>
        <v>170.68816426272798</v>
      </c>
      <c r="K15" s="978">
        <f t="shared" si="1"/>
        <v>0</v>
      </c>
      <c r="L15" s="978">
        <f t="shared" ca="1" si="1"/>
        <v>0</v>
      </c>
      <c r="M15" s="978">
        <f t="shared" si="1"/>
        <v>3243.0727810719723</v>
      </c>
      <c r="N15" s="978">
        <f t="shared" ca="1" si="1"/>
        <v>7801.9393034068507</v>
      </c>
      <c r="O15" s="978">
        <f t="shared" si="1"/>
        <v>343.93333333333334</v>
      </c>
      <c r="P15" s="978">
        <f t="shared" si="1"/>
        <v>572</v>
      </c>
      <c r="Q15" s="978">
        <f t="shared" ca="1" si="1"/>
        <v>459383.24408231105</v>
      </c>
    </row>
    <row r="17" spans="1:17">
      <c r="A17" s="487" t="s">
        <v>559</v>
      </c>
      <c r="B17" s="786">
        <f ca="1">huishoudens!B10</f>
        <v>0.21472976489153978</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11220.803284322688</v>
      </c>
      <c r="C22" s="477">
        <f t="shared" ref="C22:C32" ca="1" si="3">C4*$C$17</f>
        <v>0</v>
      </c>
      <c r="D22" s="477">
        <f t="shared" ref="D22:D32" si="4">D4*$D$17</f>
        <v>23349.48054216096</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34570.283826483646</v>
      </c>
    </row>
    <row r="23" spans="1:17">
      <c r="A23" s="476" t="s">
        <v>156</v>
      </c>
      <c r="B23" s="477">
        <f t="shared" ca="1" si="2"/>
        <v>10618.346511740421</v>
      </c>
      <c r="C23" s="477">
        <f t="shared" ca="1" si="3"/>
        <v>70.021008403361364</v>
      </c>
      <c r="D23" s="477">
        <f t="shared" ca="1" si="4"/>
        <v>12368.820517139648</v>
      </c>
      <c r="E23" s="477">
        <f t="shared" si="5"/>
        <v>225.28587253703665</v>
      </c>
      <c r="F23" s="477">
        <f t="shared" ca="1" si="6"/>
        <v>3763.4096379424036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27045.883547762867</v>
      </c>
    </row>
    <row r="24" spans="1:17">
      <c r="A24" s="476" t="s">
        <v>194</v>
      </c>
      <c r="B24" s="477">
        <f t="shared" ca="1" si="2"/>
        <v>630.16808521649648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630.16808521649648</v>
      </c>
    </row>
    <row r="25" spans="1:17">
      <c r="A25" s="476" t="s">
        <v>112</v>
      </c>
      <c r="B25" s="477">
        <f t="shared" ca="1" si="2"/>
        <v>248.5359284049139</v>
      </c>
      <c r="C25" s="477">
        <f t="shared" ca="1" si="3"/>
        <v>8.4025210084033635</v>
      </c>
      <c r="D25" s="477">
        <f t="shared" si="4"/>
        <v>33.495581889507442</v>
      </c>
      <c r="E25" s="477">
        <f t="shared" si="5"/>
        <v>6.7750026351484651</v>
      </c>
      <c r="F25" s="477">
        <f t="shared" si="6"/>
        <v>1129.5831394836746</v>
      </c>
      <c r="G25" s="477">
        <f t="shared" si="7"/>
        <v>0</v>
      </c>
      <c r="H25" s="477">
        <f t="shared" si="8"/>
        <v>0</v>
      </c>
      <c r="I25" s="477">
        <f t="shared" si="9"/>
        <v>0</v>
      </c>
      <c r="J25" s="477">
        <f t="shared" si="10"/>
        <v>58.986377316873622</v>
      </c>
      <c r="K25" s="477">
        <f t="shared" si="11"/>
        <v>0</v>
      </c>
      <c r="L25" s="477">
        <f t="shared" si="12"/>
        <v>0</v>
      </c>
      <c r="M25" s="477">
        <f t="shared" si="13"/>
        <v>0</v>
      </c>
      <c r="N25" s="477">
        <f t="shared" si="14"/>
        <v>0</v>
      </c>
      <c r="O25" s="477">
        <f t="shared" si="15"/>
        <v>0</v>
      </c>
      <c r="P25" s="478">
        <f t="shared" si="16"/>
        <v>0</v>
      </c>
      <c r="Q25" s="476">
        <f t="shared" ca="1" si="17"/>
        <v>1485.7785507385213</v>
      </c>
    </row>
    <row r="26" spans="1:17">
      <c r="A26" s="476" t="s">
        <v>638</v>
      </c>
      <c r="B26" s="477">
        <f t="shared" ca="1" si="2"/>
        <v>757.82600560113087</v>
      </c>
      <c r="C26" s="477">
        <f t="shared" ca="1" si="3"/>
        <v>0</v>
      </c>
      <c r="D26" s="477">
        <f t="shared" si="4"/>
        <v>911.01459398618431</v>
      </c>
      <c r="E26" s="477">
        <f t="shared" si="5"/>
        <v>135.58737798267654</v>
      </c>
      <c r="F26" s="477">
        <f t="shared" si="6"/>
        <v>586.46737433049361</v>
      </c>
      <c r="G26" s="477">
        <f t="shared" si="7"/>
        <v>0</v>
      </c>
      <c r="H26" s="477">
        <f t="shared" si="8"/>
        <v>0</v>
      </c>
      <c r="I26" s="477">
        <f t="shared" si="9"/>
        <v>0</v>
      </c>
      <c r="J26" s="477">
        <f t="shared" si="10"/>
        <v>1.4372328321320813</v>
      </c>
      <c r="K26" s="477">
        <f t="shared" si="11"/>
        <v>0</v>
      </c>
      <c r="L26" s="477">
        <f t="shared" si="12"/>
        <v>0</v>
      </c>
      <c r="M26" s="477">
        <f t="shared" si="13"/>
        <v>0</v>
      </c>
      <c r="N26" s="477">
        <f t="shared" si="14"/>
        <v>0</v>
      </c>
      <c r="O26" s="477">
        <f t="shared" si="15"/>
        <v>0</v>
      </c>
      <c r="P26" s="478">
        <f t="shared" si="16"/>
        <v>0</v>
      </c>
      <c r="Q26" s="476">
        <f t="shared" ca="1" si="17"/>
        <v>2392.3325847326173</v>
      </c>
    </row>
    <row r="27" spans="1:17" s="482" customFormat="1">
      <c r="A27" s="480" t="s">
        <v>564</v>
      </c>
      <c r="B27" s="780">
        <f t="shared" ca="1" si="2"/>
        <v>5.3188872779495178</v>
      </c>
      <c r="C27" s="481">
        <f t="shared" ca="1" si="3"/>
        <v>0</v>
      </c>
      <c r="D27" s="481">
        <f t="shared" si="4"/>
        <v>10.468488234419679</v>
      </c>
      <c r="E27" s="481">
        <f t="shared" si="5"/>
        <v>47.439585476783662</v>
      </c>
      <c r="F27" s="481">
        <f t="shared" si="6"/>
        <v>0</v>
      </c>
      <c r="G27" s="481">
        <f t="shared" si="7"/>
        <v>23576.999529374567</v>
      </c>
      <c r="H27" s="481">
        <f t="shared" si="8"/>
        <v>3505.2657053797225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27145.492195743442</v>
      </c>
    </row>
    <row r="28" spans="1:17">
      <c r="A28" s="476" t="s">
        <v>554</v>
      </c>
      <c r="B28" s="477">
        <f t="shared" ca="1" si="2"/>
        <v>291.51353158226942</v>
      </c>
      <c r="C28" s="477">
        <f t="shared" ca="1" si="3"/>
        <v>0</v>
      </c>
      <c r="D28" s="477">
        <f t="shared" si="4"/>
        <v>0</v>
      </c>
      <c r="E28" s="477">
        <f t="shared" si="5"/>
        <v>0</v>
      </c>
      <c r="F28" s="477">
        <f t="shared" si="6"/>
        <v>0</v>
      </c>
      <c r="G28" s="477">
        <f t="shared" si="7"/>
        <v>339.14121239682066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630.65474397909009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2114.4205238929867</v>
      </c>
      <c r="C32" s="477">
        <f t="shared" ca="1" si="3"/>
        <v>0</v>
      </c>
      <c r="D32" s="477">
        <f t="shared" si="4"/>
        <v>3800.2296778139998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5914.650201706987</v>
      </c>
    </row>
    <row r="33" spans="1:17" s="486" customFormat="1">
      <c r="A33" s="1038" t="s">
        <v>558</v>
      </c>
      <c r="B33" s="978">
        <f ca="1">SUM(B22:B32)</f>
        <v>25886.93275803886</v>
      </c>
      <c r="C33" s="978">
        <f t="shared" ref="C33:Q33" ca="1" si="18">SUM(C22:C32)</f>
        <v>78.423529411764733</v>
      </c>
      <c r="D33" s="978">
        <f t="shared" ca="1" si="18"/>
        <v>40473.509401224721</v>
      </c>
      <c r="E33" s="978">
        <f t="shared" si="18"/>
        <v>415.08783863164535</v>
      </c>
      <c r="F33" s="978">
        <f t="shared" ca="1" si="18"/>
        <v>5479.4601517565716</v>
      </c>
      <c r="G33" s="978">
        <f t="shared" si="18"/>
        <v>23916.140741771389</v>
      </c>
      <c r="H33" s="978">
        <f t="shared" si="18"/>
        <v>3505.2657053797225</v>
      </c>
      <c r="I33" s="978">
        <f t="shared" si="18"/>
        <v>0</v>
      </c>
      <c r="J33" s="978">
        <f t="shared" si="18"/>
        <v>60.423610149005704</v>
      </c>
      <c r="K33" s="978">
        <f t="shared" si="18"/>
        <v>0</v>
      </c>
      <c r="L33" s="978">
        <f t="shared" ca="1" si="18"/>
        <v>0</v>
      </c>
      <c r="M33" s="978">
        <f t="shared" si="18"/>
        <v>0</v>
      </c>
      <c r="N33" s="978">
        <f t="shared" ca="1" si="18"/>
        <v>0</v>
      </c>
      <c r="O33" s="978">
        <f t="shared" si="18"/>
        <v>0</v>
      </c>
      <c r="P33" s="978">
        <f t="shared" si="18"/>
        <v>0</v>
      </c>
      <c r="Q33" s="978">
        <f t="shared" ca="1" si="18"/>
        <v>99815.243736363656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3437.8239546728273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231</v>
      </c>
      <c r="D8" s="1055">
        <f>'SEAP template'!D76</f>
        <v>271.76470588235293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54.896470588235296</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3437.8239546728273</v>
      </c>
      <c r="C10" s="1059">
        <f>SUM(C4:C9)</f>
        <v>231</v>
      </c>
      <c r="D10" s="1059">
        <f t="shared" ref="D10:H10" si="0">SUM(D8:D9)</f>
        <v>271.76470588235293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54.896470588235296</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0.21472976489153978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330</v>
      </c>
      <c r="D17" s="1056">
        <f>'SEAP template'!D87</f>
        <v>388.23529411764707</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78.423529411764719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330</v>
      </c>
      <c r="D20" s="1059">
        <f t="shared" ref="D20:H20" si="2">SUM(D17:D19)</f>
        <v>388.23529411764707</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78.423529411764719</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0.21472976489153978</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2019-08-12T08:25:01Z</dcterms:modified>
</cp:coreProperties>
</file>