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R11" s="1"/>
  <c r="E4" i="48"/>
  <c r="G31"/>
  <c r="Q13"/>
  <c r="I23"/>
  <c r="I33" s="1"/>
  <c r="I15"/>
  <c r="J4"/>
  <c r="K11" i="14"/>
  <c r="E7" i="48"/>
  <c r="E25" s="1"/>
  <c r="F24" i="14"/>
  <c r="F26" s="1"/>
  <c r="N20"/>
  <c r="M9" i="48"/>
  <c r="O22" i="16"/>
  <c r="P43" i="14" s="1"/>
  <c r="O8" i="48"/>
  <c r="P13" i="14"/>
  <c r="I20"/>
  <c r="H9" i="48"/>
  <c r="P16" i="14"/>
  <c r="P27" s="1"/>
  <c r="N22"/>
  <c r="N27" s="1"/>
  <c r="P46"/>
  <c r="P61" s="1"/>
  <c r="P15" i="48"/>
  <c r="J63" i="14"/>
  <c r="P33" i="48"/>
  <c r="I22" i="14"/>
  <c r="I27" s="1"/>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H27" i="48"/>
  <c r="H33" s="1"/>
  <c r="H15"/>
  <c r="E22"/>
  <c r="Q4"/>
  <c r="M27"/>
  <c r="M33" s="1"/>
  <c r="M15"/>
  <c r="G28"/>
  <c r="Q10"/>
  <c r="O26"/>
  <c r="O33" s="1"/>
  <c r="O15"/>
  <c r="H20" i="14"/>
  <c r="R20" s="1"/>
  <c r="G9" i="48"/>
  <c r="J22"/>
  <c r="E5"/>
  <c r="E23" s="1"/>
  <c r="F10" i="14"/>
  <c r="P63"/>
  <c r="R24"/>
  <c r="R26" s="1"/>
  <c r="R19"/>
  <c r="J20" i="15"/>
  <c r="K40" i="14" s="1"/>
  <c r="R22"/>
  <c r="Q7" i="48"/>
  <c r="E20" i="15"/>
  <c r="F40" i="14" s="1"/>
  <c r="J18" i="16"/>
  <c r="E18"/>
  <c r="F18"/>
  <c r="F22" s="1"/>
  <c r="G43" i="14" s="1"/>
  <c r="N18" i="16"/>
  <c r="G18" i="22"/>
  <c r="H50" i="14" s="1"/>
  <c r="H52" s="1"/>
  <c r="H61" s="1"/>
  <c r="E22" i="16"/>
  <c r="F43" i="14" s="1"/>
  <c r="H18" i="22"/>
  <c r="I50" i="14" s="1"/>
  <c r="I52" s="1"/>
  <c r="I61" s="1"/>
  <c r="I63" s="1"/>
  <c r="J22" i="16" l="1"/>
  <c r="K43" i="14" s="1"/>
  <c r="J8" i="48"/>
  <c r="J26" s="1"/>
  <c r="K13" i="14"/>
  <c r="E8" i="48"/>
  <c r="E26" s="1"/>
  <c r="E33" s="1"/>
  <c r="F13" i="14"/>
  <c r="G27" i="48"/>
  <c r="G33" s="1"/>
  <c r="G15"/>
  <c r="Q9"/>
  <c r="K46" i="14"/>
  <c r="K61" s="1"/>
  <c r="K63" s="1"/>
  <c r="J33" i="48"/>
  <c r="K16" i="14"/>
  <c r="K27" s="1"/>
  <c r="F16"/>
  <c r="F27" s="1"/>
  <c r="F46"/>
  <c r="F61" s="1"/>
  <c r="H22"/>
  <c r="H27" s="1"/>
  <c r="H63"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<sst xmlns="http://schemas.openxmlformats.org/spreadsheetml/2006/main" count="2401" uniqueCount="897">
  <si>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</si>
  <si>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</si>
  <si>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</si>
  <si>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</si>
  <si>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</si>
  <si>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</si>
  <si>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</si>
  <si>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</si>
  <si>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</si>
  <si>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</si>
  <si>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</si>
  <si>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</si>
  <si>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</si>
  <si>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</si>
  <si>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</si>
  <si>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</si>
  <si>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</si>
  <si>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</si>
  <si>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</si>
  <si>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</si>
  <si>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</si>
  <si>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</si>
  <si>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</si>
  <si>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</si>
  <si>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</si>
  <si>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</si>
  <si>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</si>
  <si>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</si>
  <si>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</si>
  <si>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</si>
  <si>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</si>
  <si>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</si>
  <si>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</si>
  <si>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</si>
  <si>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</si>
  <si>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</si>
  <si>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</si>
  <si>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</si>
  <si>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</si>
  <si>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</si>
  <si>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</si>
  <si>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</si>
  <si>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</si>
  <si>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</si>
  <si>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</si>
  <si>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</si>
  <si>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</si>
  <si>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</si>
  <si>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</si>
  <si>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</si>
  <si>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</si>
  <si>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</si>
  <si>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</si>
  <si>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</si>
  <si>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</si>
  <si>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</si>
  <si>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</si>
  <si>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</si>
  <si>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</si>
  <si>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</si>
  <si>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</si>
  <si>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</si>
  <si>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</si>
  <si>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</si>
  <si>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</si>
  <si>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</si>
  <si>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</si>
  <si>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</si>
  <si>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</si>
  <si>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</si>
  <si>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</si>
  <si>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</si>
  <si>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</si>
  <si>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</si>
  <si>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</si>
  <si>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</si>
  <si>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</si>
  <si>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</si>
  <si>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</si>
  <si>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</si>
  <si>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</si>
  <si>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</si>
  <si>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</si>
  <si>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</si>
  <si>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</si>
  <si>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</si>
  <si>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</si>
  <si>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</si>
  <si>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</si>
  <si>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</si>
  <si>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</si>
  <si>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</si>
  <si>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</si>
  <si>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</si>
  <si>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</si>
  <si>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</si>
  <si>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</si>
  <si>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</si>
  <si>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</si>
  <si>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</si>
  <si>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</si>
  <si>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</si>
  <si>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</si>
  <si>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</si>
  <si>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</si>
  <si>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</si>
  <si>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</si>
  <si>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</si>
  <si>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</si>
  <si>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</si>
  <si>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</si>
  <si>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</si>
  <si>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</si>
  <si>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</si>
  <si>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</si>
  <si>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</si>
  <si>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</si>
  <si>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</si>
  <si>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</si>
  <si>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</si>
  <si>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</si>
  <si>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</si>
  <si>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</si>
  <si>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</si>
  <si>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</si>
  <si>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</si>
  <si>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</si>
  <si>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</si>
  <si>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</si>
  <si>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</si>
  <si>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</si>
  <si>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</si>
  <si>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</si>
  <si>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</si>
  <si>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</si>
  <si>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</si>
  <si>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</si>
  <si>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</si>
  <si>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</si>
  <si>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</si>
  <si>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</si>
  <si>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</si>
  <si>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</si>
  <si>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</si>
  <si>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</si>
  <si>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</si>
  <si>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</si>
  <si>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</si>
  <si>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</si>
  <si>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</si>
  <si>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</si>
  <si>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</si>
  <si>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</si>
  <si>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</si>
  <si>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</si>
  <si>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</si>
  <si>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</si>
  <si>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</si>
  <si>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</si>
  <si>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</si>
  <si>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</si>
  <si>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</si>
  <si>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</si>
  <si>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</si>
  <si>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</si>
  <si>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</si>
  <si>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</si>
  <si>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</si>
  <si>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</si>
  <si>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</si>
  <si>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</si>
  <si>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</si>
  <si>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</si>
  <si>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</si>
  <si>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</si>
  <si>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</si>
  <si>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</si>
  <si>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</si>
  <si>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</si>
  <si>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</si>
  <si>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</si>
  <si>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</si>
  <si>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</si>
  <si>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</si>
  <si>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</si>
  <si>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</si>
  <si>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</si>
  <si>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</si>
  <si>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</si>
  <si>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</si>
  <si>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</si>
  <si>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</si>
  <si>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</si>
  <si>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</si>
  <si>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</si>
  <si>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</si>
  <si>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</si>
  <si>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</si>
  <si>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</si>
  <si>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</si>
  <si>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</si>
  <si>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</si>
  <si>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</si>
  <si>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</si>
  <si>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</si>
  <si>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</si>
  <si>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</si>
  <si>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</si>
  <si>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</si>
  <si>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</si>
  <si>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</si>
  <si>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</si>
  <si>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</si>
  <si>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</si>
  <si>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</si>
  <si>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</si>
  <si>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</si>
  <si>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</si>
  <si>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</si>
  <si>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</si>
  <si>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</si>
  <si>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</si>
  <si>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</si>
  <si>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</si>
  <si>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</si>
  <si>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</si>
  <si>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</si>
  <si>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</si>
  <si>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</si>
  <si>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</si>
  <si>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</si>
  <si>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</si>
  <si>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</si>
  <si>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</si>
  <si>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</si>
  <si>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</si>
  <si>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</si>
  <si>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</si>
  <si>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</si>
  <si>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</si>
  <si>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</si>
  <si>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</si>
  <si>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</si>
  <si>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</si>
  <si>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</si>
  <si>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</si>
  <si>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</si>
  <si>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</si>
  <si>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</si>
  <si>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</si>
  <si>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</si>
  <si>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</si>
  <si>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</si>
  <si>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</si>
  <si>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</si>
  <si>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</si>
  <si>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</si>
  <si>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</si>
  <si>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</si>
  <si>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</si>
  <si>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</si>
  <si>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</si>
  <si>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</si>
  <si>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</si>
  <si>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</si>
  <si>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</si>
  <si>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</si>
  <si>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</si>
  <si>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</si>
  <si>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</si>
  <si>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</si>
  <si>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</si>
  <si>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</si>
  <si>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</si>
  <si>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</si>
  <si>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</si>
  <si>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</si>
  <si>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</si>
  <si>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</si>
  <si>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</si>
  <si>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</si>
  <si>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</si>
  <si>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</si>
  <si>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</si>
  <si>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</si>
  <si>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</si>
  <si>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</si>
  <si>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</si>
  <si>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</si>
  <si>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</si>
  <si>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</si>
  <si>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</si>
  <si>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</si>
  <si>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</si>
  <si>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</si>
  <si>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</si>
  <si>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</si>
  <si>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</si>
  <si>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</si>
  <si>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</si>
  <si>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</si>
  <si>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</si>
  <si>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</si>
  <si>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</si>
  <si>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</si>
  <si>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</si>
  <si>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</si>
  <si>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</si>
  <si>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</si>
  <si>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</si>
  <si>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</si>
  <si>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</si>
  <si>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</si>
  <si>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</si>
  <si>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</si>
  <si>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</si>
  <si>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</si>
  <si>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</si>
  <si>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</si>
  <si>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</si>
  <si>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</si>
  <si>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</si>
  <si>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</si>
  <si>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</si>
  <si>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</si>
  <si>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</si>
  <si>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</si>
  <si>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</si>
  <si>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</si>
  <si>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</si>
  <si>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</si>
  <si>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</si>
  <si>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</si>
  <si>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</si>
  <si>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</si>
  <si>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</si>
  <si>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</si>
  <si>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</si>
  <si>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</si>
  <si>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</si>
  <si>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</si>
  <si>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</si>
  <si>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</si>
  <si>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</si>
  <si>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</si>
  <si>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</si>
  <si>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</si>
  <si>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</si>
  <si>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</si>
  <si>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</si>
  <si>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</si>
  <si>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</si>
  <si>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</si>
  <si>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</si>
  <si>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</si>
  <si>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</si>
  <si>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</si>
  <si>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</si>
  <si>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</si>
  <si>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</si>
  <si>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</si>
  <si>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</si>
  <si>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</si>
  <si>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</si>
  <si>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</si>
  <si>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</si>
  <si>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</si>
  <si>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</si>
  <si>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</si>
  <si>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</si>
  <si>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</si>
  <si>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</si>
  <si>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</si>
  <si>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</si>
  <si>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</si>
  <si>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</si>
  <si>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</si>
  <si>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</si>
  <si>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</si>
  <si>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</si>
  <si>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</si>
  <si>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</si>
  <si>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</si>
  <si>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</si>
  <si>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</si>
  <si>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</si>
  <si>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</si>
  <si>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</si>
  <si>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</si>
  <si>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</si>
  <si>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</si>
  <si>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</si>
  <si>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</si>
  <si>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</si>
  <si>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</si>
  <si>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</si>
  <si>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</si>
  <si>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</si>
  <si>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</si>
  <si>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</si>
  <si>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</si>
  <si>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</si>
  <si>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</si>
  <si>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</si>
  <si>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</si>
  <si>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</si>
  <si>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</si>
  <si>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</si>
  <si>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</si>
  <si>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</si>
  <si>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</si>
  <si>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</si>
  <si>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</si>
  <si>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</si>
  <si>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</si>
  <si>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</si>
  <si>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</si>
  <si>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</si>
  <si>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</si>
  <si>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</si>
  <si>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</si>
  <si>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</si>
  <si>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</si>
  <si>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</si>
  <si>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</si>
  <si>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</si>
  <si>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</si>
  <si>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</si>
  <si>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</si>
  <si>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</si>
  <si>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</si>
  <si>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</si>
  <si>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</si>
  <si>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</si>
  <si>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</si>
  <si>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</si>
  <si>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</si>
  <si>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</si>
  <si>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</si>
  <si>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</si>
  <si>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</si>
  <si>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</si>
  <si>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</si>
  <si>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</si>
  <si>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</si>
  <si>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</si>
  <si>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</si>
  <si>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</si>
  <si>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</si>
  <si>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</si>
  <si>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</si>
  <si>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</si>
  <si>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</si>
  <si>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</si>
  <si>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</si>
  <si>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</si>
  <si>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</si>
  <si>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</si>
  <si>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</si>
  <si>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</si>
  <si>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</si>
  <si>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</si>
  <si>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</si>
  <si>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</si>
  <si>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</si>
  <si>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</si>
  <si>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</si>
  <si>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</si>
  <si>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</si>
  <si>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</si>
  <si>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</si>
  <si>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</si>
  <si>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</si>
  <si>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</si>
  <si>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</si>
  <si>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</si>
  <si>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</si>
  <si>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</si>
  <si>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</si>
  <si>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</si>
  <si>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</si>
  <si>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</si>
  <si>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</si>
  <si>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</si>
  <si>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</si>
  <si>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</si>
  <si>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</si>
  <si>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</si>
  <si>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</si>
  <si>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</si>
  <si>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</si>
  <si>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</si>
  <si>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</si>
  <si>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</si>
  <si>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</si>
  <si>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</si>
  <si>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</si>
  <si>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</si>
  <si>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</si>
  <si>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</si>
  <si>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</si>
  <si>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</si>
  <si>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</si>
  <si>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</si>
  <si>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</si>
  <si>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</si>
  <si>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</si>
  <si>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</si>
  <si>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</si>
  <si>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</si>
  <si>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</si>
  <si>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</si>
  <si>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</si>
  <si>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</si>
  <si>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</si>
  <si>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</si>
  <si>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</si>
  <si>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</si>
  <si>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</si>
  <si>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</si>
  <si>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</si>
  <si>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</si>
  <si>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</si>
  <si>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</si>
  <si>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</si>
  <si>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</si>
  <si>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</si>
  <si>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</si>
  <si>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</si>
  <si>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</si>
  <si>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</si>
  <si>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</si>
  <si>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</si>
  <si>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</si>
  <si>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</si>
  <si>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</si>
  <si>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</si>
  <si>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</si>
  <si>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</si>
  <si>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</si>
  <si>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</si>
  <si>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</si>
  <si>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</si>
  <si>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</si>
  <si>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</si>
  <si>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</si>
  <si>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</si>
  <si>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</si>
  <si>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</si>
  <si>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</si>
  <si>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</si>
  <si>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</si>
  <si>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</si>
  <si>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</si>
  <si>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</si>
  <si>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</si>
  <si>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</si>
  <si>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</si>
  <si>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</si>
  <si>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</si>
  <si>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</si>
  <si>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</si>
  <si>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</si>
  <si>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</si>
  <si>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</si>
  <si>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</si>
  <si>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</si>
  <si>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</si>
  <si>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</si>
  <si>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</si>
  <si>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</si>
  <si>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</si>
  <si>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</si>
  <si>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</si>
  <si>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</si>
  <si>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</si>
  <si>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</si>
  <si>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</si>
  <si>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</si>
  <si>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</si>
  <si>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</si>
  <si>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</si>
  <si>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</si>
  <si>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</si>
  <si>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</si>
  <si>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</si>
  <si>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</si>
  <si>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</si>
  <si>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</si>
  <si>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</si>
  <si>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</si>
  <si>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</si>
  <si>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</si>
  <si>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</si>
  <si>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</si>
  <si>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</si>
  <si>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</si>
  <si>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</si>
  <si>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</si>
  <si>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</si>
  <si>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</si>
  <si>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</si>
  <si>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</si>
  <si>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</si>
  <si>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</si>
  <si>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</si>
  <si>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</si>
  <si>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</si>
  <si>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</si>
  <si>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</si>
  <si>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</si>
  <si>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</si>
  <si>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</si>
  <si>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</si>
  <si>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</si>
  <si>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</si>
  <si>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</si>
  <si>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</si>
  <si>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</si>
  <si>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</si>
  <si>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</si>
  <si>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</si>
  <si>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</si>
  <si>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</si>
  <si>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</si>
  <si>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</si>
  <si>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</si>
  <si>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</si>
  <si>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</si>
  <si>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</si>
  <si>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</si>
  <si>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</si>
  <si>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</si>
  <si>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</si>
  <si>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</si>
  <si>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</si>
  <si>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</si>
  <si>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</si>
  <si>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</si>
  <si>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</si>
  <si>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</si>
  <si>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</si>
  <si>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</si>
  <si>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</si>
  <si>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</si>
  <si>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</si>
  <si>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</si>
  <si>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</si>
  <si>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</si>
  <si>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</si>
  <si>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</si>
  <si>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</si>
  <si>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</si>
  <si>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</si>
  <si>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</si>
  <si>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</si>
  <si>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</si>
  <si>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</si>
  <si>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</si>
  <si>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</si>
  <si>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</si>
  <si>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</si>
  <si>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</si>
  <si>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</si>
  <si>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</si>
  <si>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</si>
  <si>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</si>
  <si>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</si>
  <si>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</si>
  <si>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</si>
  <si>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</si>
  <si>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</si>
  <si>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</si>
  <si>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</si>
  <si>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</si>
  <si>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</si>
  <si>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</si>
  <si>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</si>
  <si>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</si>
  <si>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</si>
  <si>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</si>
  <si>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</si>
  <si>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</si>
  <si>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</si>
  <si>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</si>
  <si>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</si>
  <si>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</si>
  <si>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</si>
  <si>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</si>
  <si>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</si>
  <si>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</si>
  <si>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</si>
  <si>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</si>
  <si>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</si>
  <si>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</si>
  <si>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</si>
  <si>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</si>
  <si>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</si>
  <si>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</si>
  <si>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</si>
  <si>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</si>
  <si>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</si>
  <si>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</si>
  <si>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</si>
  <si>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</si>
  <si>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</si>
  <si>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</si>
  <si>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</si>
  <si>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</si>
  <si>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</si>
  <si>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</si>
  <si>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</si>
  <si>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</si>
  <si>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</si>
  <si>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</si>
  <si>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</si>
  <si>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</si>
  <si>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</si>
  <si>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</si>
  <si>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</si>
  <si>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</si>
  <si>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</si>
  <si>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</si>
  <si>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</si>
  <si>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</si>
  <si>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</si>
  <si>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</si>
  <si>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</si>
  <si>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</si>
  <si>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</si>
  <si>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</si>
  <si>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</si>
  <si>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</si>
  <si>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</si>
  <si>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</si>
  <si>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</si>
  <si>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</si>
  <si>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</si>
  <si>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</si>
  <si>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</si>
  <si>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</si>
  <si>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</si>
  <si>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</si>
  <si>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</si>
  <si>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</si>
  <si>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</si>
  <si>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</si>
  <si>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</si>
  <si>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</si>
  <si>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</si>
  <si>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</si>
  <si>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</si>
  <si>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</si>
  <si>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</si>
  <si>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</si>
  <si>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</si>
  <si>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</si>
  <si>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</si>
  <si>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</si>
  <si>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</si>
  <si>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</si>
  <si>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</si>
  <si>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</si>
  <si>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</si>
  <si>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</si>
  <si>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</si>
  <si>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</si>
  <si>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</si>
  <si>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</si>
  <si>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</si>
  <si>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</si>
  <si>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</si>
  <si>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</si>
  <si>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</si>
  <si>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</si>
  <si>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</si>
  <si>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</si>
  <si>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</si>
  <si>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</si>
  <si>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</si>
  <si>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</si>
  <si>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</si>
  <si>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</si>
  <si>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</si>
  <si>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</si>
  <si>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</si>
  <si>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</si>
  <si>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</si>
  <si>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</si>
  <si>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</si>
  <si>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</si>
  <si>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</si>
  <si>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</si>
  <si>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</si>
  <si>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</si>
  <si>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</si>
  <si>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</si>
  <si>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</si>
  <si>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</si>
  <si>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</si>
  <si>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</si>
  <si>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</si>
  <si>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</si>
  <si>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</si>
  <si>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</si>
  <si>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</si>
  <si>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</si>
  <si>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</si>
  <si>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</si>
  <si>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</si>
  <si>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</si>
  <si>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</si>
  <si>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</si>
  <si>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</si>
  <si>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</si>
  <si>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</si>
  <si>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</si>
  <si>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</si>
  <si>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</si>
  <si>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</si>
  <si>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</si>
  <si>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</si>
  <si>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</si>
  <si>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</si>
  <si>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</si>
  <si>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</si>
  <si>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</si>
  <si>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</si>
  <si>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</si>
  <si>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</si>
  <si>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</si>
  <si>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</si>
  <si>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</si>
  <si>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</si>
  <si>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</si>
  <si>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</si>
  <si>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</si>
  <si>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</si>
  <si>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</si>
  <si>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</si>
  <si>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</si>
  <si>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</si>
  <si>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</si>
  <si>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</si>
  <si>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</si>
  <si>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</si>
  <si>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</si>
  <si>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</si>
  <si>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</si>
  <si>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</si>
  <si>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</si>
  <si>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</si>
  <si>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</si>
  <si>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</si>
  <si>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</si>
  <si>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</si>
  <si>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</si>
  <si>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</si>
  <si>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</si>
  <si>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</si>
  <si>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</si>
  <si>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</si>
  <si>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</si>
  <si>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</si>
  <si>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</si>
  <si>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</si>
  <si>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</si>
  <si>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</si>
  <si>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</si>
  <si>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</si>
  <si>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</si>
  <si>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</si>
  <si>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</si>
  <si>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</si>
  <si>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</si>
  <si>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</si>
  <si>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</si>
  <si>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</si>
  <si>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</si>
  <si>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</si>
  <si>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</si>
  <si>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</si>
  <si>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37012</t>
  </si>
  <si>
    <t>RUISELEDE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</si>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</sst>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45863.060032408292</c:v>
                </c:pt>
                <c:pt idx="1">
                  <c:v>12829.172882200155</c:v>
                </c:pt>
                <c:pt idx="2">
                  <c:v>349.23700000000002</c:v>
                </c:pt>
                <c:pt idx="3">
                  <c:v>34628.590439298816</c:v>
                </c:pt>
                <c:pt idx="4">
                  <c:v>25536.443105257003</c:v>
                </c:pt>
                <c:pt idx="5">
                  <c:v>38693.248731681961</c:v>
                </c:pt>
                <c:pt idx="6">
                  <c:v>159.59957865277886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04864"/>
        <c:axId val="182806400"/>
      </c:barChart>
      <c:catAx>
        <c:axId val="182804864"/>
        <c:scaling>
          <c:orientation val="minMax"/>
        </c:scaling>
        <c:axPos val="b"/>
        <c:numFmt formatCode="General" sourceLinked="0"/>
        <c:tickLblPos val="nextTo"/>
        <c:crossAx val="182806400"/>
        <c:crosses val="autoZero"/>
        <c:auto val="1"/>
        <c:lblAlgn val="ctr"/>
        <c:lblOffset val="100"/>
      </c:catAx>
      <c:valAx>
        <c:axId val="182806400"/>
        <c:scaling>
          <c:orientation val="minMax"/>
        </c:scaling>
        <c:axPos val="l"/>
        <c:majorGridlines/>
        <c:numFmt formatCode="#,##0" sourceLinked="1"/>
        <c:tickLblPos val="nextTo"/>
        <c:crossAx val="1828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45863.060032408292</c:v>
                </c:pt>
                <c:pt idx="1">
                  <c:v>12829.172882200155</c:v>
                </c:pt>
                <c:pt idx="2">
                  <c:v>349.23700000000002</c:v>
                </c:pt>
                <c:pt idx="3">
                  <c:v>34628.590439298816</c:v>
                </c:pt>
                <c:pt idx="4">
                  <c:v>25536.443105257003</c:v>
                </c:pt>
                <c:pt idx="5">
                  <c:v>38693.248731681961</c:v>
                </c:pt>
                <c:pt idx="6">
                  <c:v>159.59957865277886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8705.7158541371773</c:v>
                </c:pt>
                <c:pt idx="2">
                  <c:v>2526.6321742724604</c:v>
                </c:pt>
                <c:pt idx="3">
                  <c:v>68.3274492759992</c:v>
                </c:pt>
                <c:pt idx="4">
                  <c:v>8151.5486174305152</c:v>
                </c:pt>
                <c:pt idx="5">
                  <c:v>4931.9440333344464</c:v>
                </c:pt>
                <c:pt idx="6">
                  <c:v>9898.6577503858334</c:v>
                </c:pt>
                <c:pt idx="7">
                  <c:v>41.331089567093969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27040"/>
        <c:axId val="183149312"/>
      </c:barChart>
      <c:catAx>
        <c:axId val="183127040"/>
        <c:scaling>
          <c:orientation val="minMax"/>
        </c:scaling>
        <c:axPos val="b"/>
        <c:numFmt formatCode="General" sourceLinked="0"/>
        <c:tickLblPos val="nextTo"/>
        <c:crossAx val="183149312"/>
        <c:crosses val="autoZero"/>
        <c:auto val="1"/>
        <c:lblAlgn val="ctr"/>
        <c:lblOffset val="100"/>
      </c:catAx>
      <c:valAx>
        <c:axId val="183149312"/>
        <c:scaling>
          <c:orientation val="minMax"/>
        </c:scaling>
        <c:axPos val="l"/>
        <c:majorGridlines/>
        <c:numFmt formatCode="#,##0" sourceLinked="1"/>
        <c:tickLblPos val="nextTo"/>
        <c:crossAx val="18312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8705.7158541371773</c:v>
                </c:pt>
                <c:pt idx="2">
                  <c:v>2526.6321742724604</c:v>
                </c:pt>
                <c:pt idx="3">
                  <c:v>68.3274492759992</c:v>
                </c:pt>
                <c:pt idx="4">
                  <c:v>8151.5486174305152</c:v>
                </c:pt>
                <c:pt idx="5">
                  <c:v>4931.9440333344464</c:v>
                </c:pt>
                <c:pt idx="6">
                  <c:v>9898.6577503858334</c:v>
                </c:pt>
                <c:pt idx="7">
                  <c:v>41.331089567093969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37012</v>
      </c>
      <c r="B6" s="415"/>
      <c r="C6" s="416"/>
    </row>
    <row r="7" spans="1:7" s="413" customFormat="1" ht="15.75" customHeight="1">
      <c r="A7" s="417" t="str">
        <f>txtMunicipality</f>
        <v>RUISELEDE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0.19564779584064459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0.19564779584064459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2132</v>
      </c>
      <c r="C9" s="342">
        <v>2122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2209.33</v>
      </c>
    </row>
    <row r="15" spans="1:6">
      <c r="A15" s="348" t="s">
        <v>184</v>
      </c>
      <c r="B15" s="334">
        <v>44</v>
      </c>
    </row>
    <row r="16" spans="1:6">
      <c r="A16" s="348" t="s">
        <v>6</v>
      </c>
      <c r="B16" s="334">
        <v>1600</v>
      </c>
    </row>
    <row r="17" spans="1:6">
      <c r="A17" s="348" t="s">
        <v>7</v>
      </c>
      <c r="B17" s="334">
        <v>799</v>
      </c>
    </row>
    <row r="18" spans="1:6">
      <c r="A18" s="348" t="s">
        <v>8</v>
      </c>
      <c r="B18" s="334">
        <v>1197</v>
      </c>
    </row>
    <row r="19" spans="1:6">
      <c r="A19" s="348" t="s">
        <v>9</v>
      </c>
      <c r="B19" s="334">
        <v>1237</v>
      </c>
    </row>
    <row r="20" spans="1:6">
      <c r="A20" s="348" t="s">
        <v>10</v>
      </c>
      <c r="B20" s="334">
        <v>954</v>
      </c>
    </row>
    <row r="21" spans="1:6">
      <c r="A21" s="348" t="s">
        <v>11</v>
      </c>
      <c r="B21" s="334">
        <v>37586</v>
      </c>
    </row>
    <row r="22" spans="1:6">
      <c r="A22" s="348" t="s">
        <v>12</v>
      </c>
      <c r="B22" s="334">
        <v>63188</v>
      </c>
    </row>
    <row r="23" spans="1:6">
      <c r="A23" s="348" t="s">
        <v>13</v>
      </c>
      <c r="B23" s="334">
        <v>1293</v>
      </c>
    </row>
    <row r="24" spans="1:6">
      <c r="A24" s="348" t="s">
        <v>14</v>
      </c>
      <c r="B24" s="334">
        <v>219</v>
      </c>
    </row>
    <row r="25" spans="1:6">
      <c r="A25" s="348" t="s">
        <v>15</v>
      </c>
      <c r="B25" s="334">
        <v>5896</v>
      </c>
    </row>
    <row r="26" spans="1:6">
      <c r="A26" s="348" t="s">
        <v>16</v>
      </c>
      <c r="B26" s="334">
        <v>79</v>
      </c>
    </row>
    <row r="27" spans="1:6">
      <c r="A27" s="348" t="s">
        <v>17</v>
      </c>
      <c r="B27" s="334">
        <v>455</v>
      </c>
    </row>
    <row r="28" spans="1:6" s="356" customFormat="1">
      <c r="A28" s="355" t="s">
        <v>18</v>
      </c>
      <c r="B28" s="355">
        <v>257034</v>
      </c>
    </row>
    <row r="29" spans="1:6">
      <c r="A29" s="355" t="s">
        <v>884</v>
      </c>
      <c r="B29" s="355">
        <v>125</v>
      </c>
      <c r="C29" s="356"/>
      <c r="D29" s="356"/>
      <c r="E29" s="356"/>
      <c r="F29" s="356"/>
    </row>
    <row r="30" spans="1:6">
      <c r="A30" s="355" t="s">
        <v>885</v>
      </c>
      <c r="B30" s="341">
        <v>28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944</v>
      </c>
      <c r="D39" s="334">
        <v>14313091.113</v>
      </c>
      <c r="E39" s="334">
        <v>1934</v>
      </c>
      <c r="F39" s="334">
        <v>9029204.2965999991</v>
      </c>
    </row>
    <row r="40" spans="1:6">
      <c r="A40" s="348" t="s">
        <v>30</v>
      </c>
      <c r="B40" s="348" t="s">
        <v>29</v>
      </c>
      <c r="C40" s="334">
        <v>0</v>
      </c>
      <c r="D40" s="334">
        <v>0</v>
      </c>
      <c r="E40" s="334">
        <v>0</v>
      </c>
      <c r="F40" s="334">
        <v>0</v>
      </c>
    </row>
    <row r="41" spans="1:6">
      <c r="A41" s="348" t="s">
        <v>32</v>
      </c>
      <c r="B41" s="348" t="s">
        <v>33</v>
      </c>
      <c r="C41" s="334">
        <v>42</v>
      </c>
      <c r="D41" s="334">
        <v>550807.67524000001</v>
      </c>
      <c r="E41" s="334">
        <v>85</v>
      </c>
      <c r="F41" s="334">
        <v>626590.80614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124268.64464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13932145.446</v>
      </c>
      <c r="E48" s="334">
        <v>42</v>
      </c>
      <c r="F48" s="334">
        <v>6761105.1374000004</v>
      </c>
    </row>
    <row r="49" spans="1:6">
      <c r="A49" s="348" t="s">
        <v>32</v>
      </c>
      <c r="B49" s="348" t="s">
        <v>40</v>
      </c>
      <c r="C49" s="334">
        <v>0</v>
      </c>
      <c r="D49" s="334">
        <v>0</v>
      </c>
      <c r="E49" s="334">
        <v>0</v>
      </c>
      <c r="F49" s="334">
        <v>0</v>
      </c>
    </row>
    <row r="50" spans="1:6">
      <c r="A50" s="348" t="s">
        <v>32</v>
      </c>
      <c r="B50" s="348" t="s">
        <v>41</v>
      </c>
      <c r="C50" s="334">
        <v>5</v>
      </c>
      <c r="D50" s="334">
        <v>315858.79226999998</v>
      </c>
      <c r="E50" s="334">
        <v>6</v>
      </c>
      <c r="F50" s="334">
        <v>282072.18121000001</v>
      </c>
    </row>
    <row r="51" spans="1:6">
      <c r="A51" s="348" t="s">
        <v>42</v>
      </c>
      <c r="B51" s="348" t="s">
        <v>43</v>
      </c>
      <c r="C51" s="334">
        <v>4</v>
      </c>
      <c r="D51" s="334">
        <v>7143981.9060000004</v>
      </c>
      <c r="E51" s="334">
        <v>135</v>
      </c>
      <c r="F51" s="334">
        <v>4533033.0118000004</v>
      </c>
    </row>
    <row r="52" spans="1:6">
      <c r="A52" s="348" t="s">
        <v>42</v>
      </c>
      <c r="B52" s="348" t="s">
        <v>29</v>
      </c>
      <c r="C52" s="334">
        <v>1</v>
      </c>
      <c r="D52" s="334">
        <v>6532386.0906999996</v>
      </c>
      <c r="E52" s="334">
        <v>5</v>
      </c>
      <c r="F52" s="334">
        <v>74309.300833000001</v>
      </c>
    </row>
    <row r="53" spans="1:6">
      <c r="A53" s="348" t="s">
        <v>44</v>
      </c>
      <c r="B53" s="348" t="s">
        <v>45</v>
      </c>
      <c r="C53" s="334">
        <v>24</v>
      </c>
      <c r="D53" s="334">
        <v>477354.93161999999</v>
      </c>
      <c r="E53" s="334">
        <v>69</v>
      </c>
      <c r="F53" s="334">
        <v>594668.64853999997</v>
      </c>
    </row>
    <row r="54" spans="1:6">
      <c r="A54" s="348" t="s">
        <v>46</v>
      </c>
      <c r="B54" s="348" t="s">
        <v>47</v>
      </c>
      <c r="C54" s="334">
        <v>0</v>
      </c>
      <c r="D54" s="334">
        <v>0</v>
      </c>
      <c r="E54" s="334">
        <v>1</v>
      </c>
      <c r="F54" s="334">
        <v>349237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586649.88304999995</v>
      </c>
      <c r="E57" s="334">
        <v>21</v>
      </c>
      <c r="F57" s="334">
        <v>483719.73791000003</v>
      </c>
    </row>
    <row r="58" spans="1:6">
      <c r="A58" s="348" t="s">
        <v>49</v>
      </c>
      <c r="B58" s="348" t="s">
        <v>51</v>
      </c>
      <c r="C58" s="334">
        <v>0</v>
      </c>
      <c r="D58" s="334">
        <v>0</v>
      </c>
      <c r="E58" s="334">
        <v>10</v>
      </c>
      <c r="F58" s="334">
        <v>70132.478363999995</v>
      </c>
    </row>
    <row r="59" spans="1:6">
      <c r="A59" s="348" t="s">
        <v>49</v>
      </c>
      <c r="B59" s="348" t="s">
        <v>52</v>
      </c>
      <c r="C59" s="334">
        <v>20</v>
      </c>
      <c r="D59" s="334">
        <v>686443.53118000005</v>
      </c>
      <c r="E59" s="334">
        <v>66</v>
      </c>
      <c r="F59" s="334">
        <v>1556548.0547</v>
      </c>
    </row>
    <row r="60" spans="1:6">
      <c r="A60" s="348" t="s">
        <v>49</v>
      </c>
      <c r="B60" s="348" t="s">
        <v>53</v>
      </c>
      <c r="C60" s="334">
        <v>9</v>
      </c>
      <c r="D60" s="334">
        <v>347942.61872999999</v>
      </c>
      <c r="E60" s="334">
        <v>13</v>
      </c>
      <c r="F60" s="334">
        <v>227651.18098999999</v>
      </c>
    </row>
    <row r="61" spans="1:6">
      <c r="A61" s="348" t="s">
        <v>49</v>
      </c>
      <c r="B61" s="348" t="s">
        <v>54</v>
      </c>
      <c r="C61" s="334">
        <v>33</v>
      </c>
      <c r="D61" s="334">
        <v>1864718.0478999999</v>
      </c>
      <c r="E61" s="334">
        <v>74</v>
      </c>
      <c r="F61" s="334">
        <v>1432376.659</v>
      </c>
    </row>
    <row r="62" spans="1:6">
      <c r="A62" s="348" t="s">
        <v>49</v>
      </c>
      <c r="B62" s="348" t="s">
        <v>55</v>
      </c>
      <c r="C62" s="334">
        <v>0</v>
      </c>
      <c r="D62" s="334">
        <v>0</v>
      </c>
      <c r="E62" s="334">
        <v>0</v>
      </c>
      <c r="F62" s="334">
        <v>0</v>
      </c>
    </row>
    <row r="63" spans="1:6">
      <c r="A63" s="348" t="s">
        <v>49</v>
      </c>
      <c r="B63" s="348" t="s">
        <v>29</v>
      </c>
      <c r="C63" s="334">
        <v>56</v>
      </c>
      <c r="D63" s="334">
        <v>1884041.36</v>
      </c>
      <c r="E63" s="334">
        <v>76</v>
      </c>
      <c r="F63" s="334">
        <v>2070155.7505000001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46428.204519999999</v>
      </c>
      <c r="E68" s="334">
        <v>6</v>
      </c>
      <c r="F68" s="334">
        <v>41386.880439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21379107</v>
      </c>
      <c r="E73" s="475">
        <v>25099801.664185368</v>
      </c>
    </row>
    <row r="74" spans="1:6">
      <c r="A74" s="348" t="s">
        <v>64</v>
      </c>
      <c r="B74" s="348" t="s">
        <v>667</v>
      </c>
      <c r="C74" s="1294" t="s">
        <v>669</v>
      </c>
      <c r="D74" s="475">
        <v>3335725.8645044761</v>
      </c>
      <c r="E74" s="475">
        <v>3752625.1657909928</v>
      </c>
    </row>
    <row r="75" spans="1:6">
      <c r="A75" s="348" t="s">
        <v>65</v>
      </c>
      <c r="B75" s="348" t="s">
        <v>666</v>
      </c>
      <c r="C75" s="1294" t="s">
        <v>670</v>
      </c>
      <c r="D75" s="475">
        <v>16960471</v>
      </c>
      <c r="E75" s="475">
        <v>19442229.297360945</v>
      </c>
    </row>
    <row r="76" spans="1:6">
      <c r="A76" s="348" t="s">
        <v>65</v>
      </c>
      <c r="B76" s="348" t="s">
        <v>667</v>
      </c>
      <c r="C76" s="1294" t="s">
        <v>671</v>
      </c>
      <c r="D76" s="475">
        <v>453219.86450447602</v>
      </c>
      <c r="E76" s="475">
        <v>494575.4286942617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42866.270991048012</v>
      </c>
      <c r="C83" s="475">
        <v>42866.270991048012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1709.16334377406</v>
      </c>
    </row>
    <row r="92" spans="1:6">
      <c r="A92" s="341" t="s">
        <v>69</v>
      </c>
      <c r="B92" s="342">
        <v>1681.0016718249465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42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29933.220546716981</v>
      </c>
      <c r="C3" s="43" t="s">
        <v>170</v>
      </c>
      <c r="D3" s="43"/>
      <c r="E3" s="154"/>
      <c r="F3" s="43"/>
      <c r="G3" s="43"/>
      <c r="H3" s="43"/>
      <c r="I3" s="43"/>
      <c r="J3" s="43"/>
      <c r="K3" s="96"/>
    </row>
    <row r="4" spans="1:11">
      <c r="A4" s="383" t="s">
        <v>171</v>
      </c>
      <c r="B4" s="49">
        <f>IF(ISERROR('SEAP template'!B78+'SEAP template'!C78),0,'SEAP template'!B78+'SEAP template'!C78)</f>
        <v>3433.8150155990065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0.19564779584064459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349.23700000000002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349.23700000000002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0.19564779584064459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68.3274492759992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9029.204296599999</v>
      </c>
      <c r="C5" s="17">
        <f>IF(ISERROR('Eigen informatie GS &amp; warmtenet'!B57),0,'Eigen informatie GS &amp; warmtenet'!B57)</f>
        <v>0</v>
      </c>
      <c r="D5" s="30">
        <f>(SUM(HH_hh_gas_kWh,HH_rest_gas_kWh)/1000)*0.902</f>
        <v>12910.408183926002</v>
      </c>
      <c r="E5" s="17">
        <f>B46*B57</f>
        <v>3700.4138675216454</v>
      </c>
      <c r="F5" s="17">
        <f>B51*B62</f>
        <v>9865.8750722290424</v>
      </c>
      <c r="G5" s="18"/>
      <c r="H5" s="17"/>
      <c r="I5" s="17"/>
      <c r="J5" s="17">
        <f>B50*B61+C50*C61</f>
        <v>1476.5334717679873</v>
      </c>
      <c r="K5" s="17"/>
      <c r="L5" s="17"/>
      <c r="M5" s="17"/>
      <c r="N5" s="17">
        <f>B48*B59+C48*C59</f>
        <v>6369.3451299228873</v>
      </c>
      <c r="O5" s="17">
        <f>B69*B70*B71</f>
        <v>211.05</v>
      </c>
      <c r="P5" s="17">
        <f>B77*B78*B79/1000-B77*B78*B79/1000/B80</f>
        <v>591.06666666666661</v>
      </c>
    </row>
    <row r="6" spans="1:16">
      <c r="A6" s="16" t="s">
        <v>624</v>
      </c>
      <c r="B6" s="788">
        <f>kWh_PV_kleiner_dan_10kW</f>
        <v>1709.16334377406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10738.367640374059</v>
      </c>
      <c r="C8" s="21">
        <f>C5</f>
        <v>0</v>
      </c>
      <c r="D8" s="21">
        <f>D5</f>
        <v>12910.408183926002</v>
      </c>
      <c r="E8" s="21">
        <f>E5</f>
        <v>3700.4138675216454</v>
      </c>
      <c r="F8" s="21">
        <f>F5</f>
        <v>9865.8750722290424</v>
      </c>
      <c r="G8" s="21"/>
      <c r="H8" s="21"/>
      <c r="I8" s="21"/>
      <c r="J8" s="21">
        <f>J5</f>
        <v>1476.5334717679873</v>
      </c>
      <c r="K8" s="21"/>
      <c r="L8" s="21">
        <f>L5</f>
        <v>0</v>
      </c>
      <c r="M8" s="21">
        <f>M5</f>
        <v>0</v>
      </c>
      <c r="N8" s="21">
        <f>N5</f>
        <v>6369.3451299228873</v>
      </c>
      <c r="O8" s="21">
        <f>O5</f>
        <v>211.05</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0.19564779584064459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2100.9379597656884</v>
      </c>
      <c r="C12" s="23">
        <f ca="1">C10*C8</f>
        <v>0</v>
      </c>
      <c r="D12" s="23">
        <f>D8*D10</f>
        <v>2607.9024531530526</v>
      </c>
      <c r="E12" s="23">
        <f>E10*E8</f>
        <v>839.9939479274135</v>
      </c>
      <c r="F12" s="23">
        <f>F10*F8</f>
        <v>2634.1886442851546</v>
      </c>
      <c r="G12" s="23"/>
      <c r="H12" s="23"/>
      <c r="I12" s="23"/>
      <c r="J12" s="23">
        <f>J10*J8</f>
        <v>522.69284900586752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2132</v>
      </c>
      <c r="C28" s="36"/>
      <c r="D28" s="228"/>
    </row>
    <row r="29" spans="1:7" s="15" customFormat="1">
      <c r="A29" s="230" t="s">
        <v>699</v>
      </c>
      <c r="B29" s="37">
        <f>SUM(HH_hh_gas_aantal,HH_rest_gas_aantal)</f>
        <v>944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944</v>
      </c>
      <c r="C32" s="167">
        <f>IF(ISERROR(B32/SUM($B$32,$B$34,$B$35,$B$36,$B$38,$B$39)*100),0,B32/SUM($B$32,$B$34,$B$35,$B$36,$B$38,$B$39)*100)</f>
        <v>44.930985245121363</v>
      </c>
      <c r="D32" s="233"/>
      <c r="G32" s="15"/>
    </row>
    <row r="33" spans="1:7">
      <c r="A33" s="171" t="s">
        <v>72</v>
      </c>
      <c r="B33" s="34" t="s">
        <v>111</v>
      </c>
      <c r="C33" s="167"/>
      <c r="D33" s="233"/>
      <c r="G33" s="15"/>
    </row>
    <row r="34" spans="1:7">
      <c r="A34" s="171" t="s">
        <v>73</v>
      </c>
      <c r="B34" s="33">
        <f>IF((($B$28-$B$32-$B$39-$B$77-$B$38)*C20/100)&lt;0,0,($B$28-$B$32-$B$39-$B$77-$B$38)*C20/100)</f>
        <v>163.6056338028169</v>
      </c>
      <c r="C34" s="167">
        <f>IF(ISERROR(B34/SUM($B$32,$B$34,$B$35,$B$36,$B$38,$B$39)*100),0,B34/SUM($B$32,$B$34,$B$35,$B$36,$B$38,$B$39)*100)</f>
        <v>7.7870363542511587</v>
      </c>
      <c r="D34" s="233"/>
      <c r="G34" s="15"/>
    </row>
    <row r="35" spans="1:7">
      <c r="A35" s="171" t="s">
        <v>74</v>
      </c>
      <c r="B35" s="33">
        <f>IF((($B$28-$B$32-$B$39-$B$77-$B$38)*C21/100)&lt;0,0,($B$28-$B$32-$B$39-$B$77-$B$38)*C21/100)</f>
        <v>441.23943661971833</v>
      </c>
      <c r="C35" s="167">
        <f>IF(ISERROR(B35/SUM($B$32,$B$34,$B$35,$B$36,$B$38,$B$39)*100),0,B35/SUM($B$32,$B$34,$B$35,$B$36,$B$38,$B$39)*100)</f>
        <v>21.001401076616766</v>
      </c>
      <c r="D35" s="233"/>
      <c r="G35" s="15"/>
    </row>
    <row r="36" spans="1:7">
      <c r="A36" s="171" t="s">
        <v>75</v>
      </c>
      <c r="B36" s="33">
        <f>IF((($B$28-$B$32-$B$39-$B$77-$B$38)*C22/100)&lt;0,0,($B$28-$B$32-$B$39-$B$77-$B$38)*C22/100)</f>
        <v>99.154929577464785</v>
      </c>
      <c r="C36" s="167">
        <f>IF(ISERROR(B36/SUM($B$32,$B$34,$B$35,$B$36,$B$38,$B$39)*100),0,B36/SUM($B$32,$B$34,$B$35,$B$36,$B$38,$B$39)*100)</f>
        <v>4.7194159722734303</v>
      </c>
      <c r="D36" s="233"/>
      <c r="G36" s="15"/>
    </row>
    <row r="37" spans="1:7">
      <c r="A37" s="171" t="s">
        <v>76</v>
      </c>
      <c r="B37" s="34" t="s">
        <v>111</v>
      </c>
      <c r="C37" s="167"/>
      <c r="D37" s="173"/>
      <c r="G37" s="15"/>
    </row>
    <row r="38" spans="1:7">
      <c r="A38" s="171" t="s">
        <v>77</v>
      </c>
      <c r="B38" s="33">
        <f>IF((B24-(B29-B18)*0.1)&lt;0,0,B24-(B29-B18)*0.1)</f>
        <v>47.699999999999996</v>
      </c>
      <c r="C38" s="167">
        <f>IF(ISERROR(B38/SUM($B$32,$B$34,$B$35,$B$36,$B$38,$B$39)*100),0,B38/SUM($B$32,$B$34,$B$35,$B$36,$B$38,$B$39)*100)</f>
        <v>2.2703474535935264</v>
      </c>
      <c r="D38" s="234"/>
      <c r="G38" s="15"/>
    </row>
    <row r="39" spans="1:7">
      <c r="A39" s="171" t="s">
        <v>78</v>
      </c>
      <c r="B39" s="33">
        <f>IF((B25-(B29-B18))&lt;0,0,B25-(B29-B18)*0.9)</f>
        <v>405.3</v>
      </c>
      <c r="C39" s="167">
        <f>IF(ISERROR(B39/SUM($B$32,$B$34,$B$35,$B$36,$B$38,$B$39)*100),0,B39/SUM($B$32,$B$34,$B$35,$B$36,$B$38,$B$39)*100)</f>
        <v>19.290813898143739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944</v>
      </c>
      <c r="C44" s="34" t="s">
        <v>111</v>
      </c>
      <c r="D44" s="174"/>
    </row>
    <row r="45" spans="1:7">
      <c r="A45" s="171" t="s">
        <v>72</v>
      </c>
      <c r="B45" s="33" t="str">
        <f t="shared" si="0"/>
        <v>-</v>
      </c>
      <c r="C45" s="34" t="s">
        <v>111</v>
      </c>
      <c r="D45" s="174"/>
    </row>
    <row r="46" spans="1:7">
      <c r="A46" s="171" t="s">
        <v>73</v>
      </c>
      <c r="B46" s="33">
        <f t="shared" si="0"/>
        <v>163.6056338028169</v>
      </c>
      <c r="C46" s="34" t="s">
        <v>111</v>
      </c>
      <c r="D46" s="174"/>
    </row>
    <row r="47" spans="1:7">
      <c r="A47" s="171" t="s">
        <v>74</v>
      </c>
      <c r="B47" s="33">
        <f t="shared" si="0"/>
        <v>441.23943661971833</v>
      </c>
      <c r="C47" s="34" t="s">
        <v>111</v>
      </c>
      <c r="D47" s="174"/>
    </row>
    <row r="48" spans="1:7">
      <c r="A48" s="171" t="s">
        <v>75</v>
      </c>
      <c r="B48" s="33">
        <f t="shared" si="0"/>
        <v>99.154929577464785</v>
      </c>
      <c r="C48" s="33">
        <f>B48*10</f>
        <v>991.54929577464782</v>
      </c>
      <c r="D48" s="234"/>
    </row>
    <row r="49" spans="1:6">
      <c r="A49" s="171" t="s">
        <v>76</v>
      </c>
      <c r="B49" s="33" t="str">
        <f t="shared" si="0"/>
        <v>-</v>
      </c>
      <c r="C49" s="34" t="s">
        <v>111</v>
      </c>
      <c r="D49" s="234"/>
    </row>
    <row r="50" spans="1:6">
      <c r="A50" s="171" t="s">
        <v>77</v>
      </c>
      <c r="B50" s="33">
        <f t="shared" si="0"/>
        <v>47.699999999999996</v>
      </c>
      <c r="C50" s="33">
        <f>B50*2</f>
        <v>95.399999999999991</v>
      </c>
      <c r="D50" s="234"/>
    </row>
    <row r="51" spans="1:6">
      <c r="A51" s="171" t="s">
        <v>78</v>
      </c>
      <c r="B51" s="33">
        <f t="shared" si="0"/>
        <v>405.3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5840.5838614639997</v>
      </c>
      <c r="C5" s="17">
        <f>IF(ISERROR('Eigen informatie GS &amp; warmtenet'!B58),0,'Eigen informatie GS &amp; warmtenet'!B58)</f>
        <v>0</v>
      </c>
      <c r="D5" s="30">
        <f>SUM(D6:D12)</f>
        <v>4843.5554876557198</v>
      </c>
      <c r="E5" s="17">
        <f>SUM(E6:E12)</f>
        <v>112.59708016643802</v>
      </c>
      <c r="F5" s="17">
        <f>SUM(F6:F12)</f>
        <v>1423.1350923234113</v>
      </c>
      <c r="G5" s="18"/>
      <c r="H5" s="17"/>
      <c r="I5" s="17"/>
      <c r="J5" s="17">
        <f>SUM(J6:J12)</f>
        <v>0</v>
      </c>
      <c r="K5" s="17"/>
      <c r="L5" s="17"/>
      <c r="M5" s="17"/>
      <c r="N5" s="17">
        <f>SUM(N6:N12)</f>
        <v>568.04136059058578</v>
      </c>
      <c r="O5" s="17">
        <f>B38*B39*B40</f>
        <v>3.1266666666666669</v>
      </c>
      <c r="P5" s="17">
        <f>B46*B47*B48/1000-B46*B47*B48/1000/B49</f>
        <v>38.133333333333333</v>
      </c>
      <c r="R5" s="32"/>
    </row>
    <row r="6" spans="1:18">
      <c r="A6" s="32" t="s">
        <v>54</v>
      </c>
      <c r="B6" s="37">
        <f>B26</f>
        <v>1432.376659</v>
      </c>
      <c r="C6" s="33"/>
      <c r="D6" s="37">
        <f>IF(ISERROR(TER_kantoor_gas_kWh/1000),0,TER_kantoor_gas_kWh/1000)*0.902</f>
        <v>1681.9756792057999</v>
      </c>
      <c r="E6" s="33">
        <f>$C$26*'E Balans VL '!I12/100/3.6*1000000</f>
        <v>18.751574898504121</v>
      </c>
      <c r="F6" s="33">
        <f>$C$26*('E Balans VL '!L12+'E Balans VL '!N12)/100/3.6*1000000</f>
        <v>365.24124641751916</v>
      </c>
      <c r="G6" s="34"/>
      <c r="H6" s="33"/>
      <c r="I6" s="33"/>
      <c r="J6" s="33">
        <f>$C$26*('E Balans VL '!D12+'E Balans VL '!E12)/100/3.6*1000000</f>
        <v>0</v>
      </c>
      <c r="K6" s="33"/>
      <c r="L6" s="33"/>
      <c r="M6" s="33"/>
      <c r="N6" s="33">
        <f>$C$26*'E Balans VL '!Y12/100/3.6*1000000</f>
        <v>1.4372001106770647</v>
      </c>
      <c r="O6" s="33"/>
      <c r="P6" s="33"/>
      <c r="R6" s="32"/>
    </row>
    <row r="7" spans="1:18">
      <c r="A7" s="32" t="s">
        <v>53</v>
      </c>
      <c r="B7" s="37">
        <f t="shared" ref="B7:B12" si="0">B27</f>
        <v>227.65118099</v>
      </c>
      <c r="C7" s="33"/>
      <c r="D7" s="37">
        <f>IF(ISERROR(TER_horeca_gas_kWh/1000),0,TER_horeca_gas_kWh/1000)*0.902</f>
        <v>313.84424209446001</v>
      </c>
      <c r="E7" s="33">
        <f>$C$27*'E Balans VL '!I9/100/3.6*1000000</f>
        <v>7.5338693350879691</v>
      </c>
      <c r="F7" s="33">
        <f>$C$27*('E Balans VL '!L9+'E Balans VL '!N9)/100/3.6*1000000</f>
        <v>97.889135360694269</v>
      </c>
      <c r="G7" s="34"/>
      <c r="H7" s="33"/>
      <c r="I7" s="33"/>
      <c r="J7" s="33">
        <f>$C$27*('E Balans VL '!D9+'E Balans VL '!E9)/100/3.6*1000000</f>
        <v>0</v>
      </c>
      <c r="K7" s="33"/>
      <c r="L7" s="33"/>
      <c r="M7" s="33"/>
      <c r="N7" s="33">
        <f>$C$27*'E Balans VL '!Y9/100/3.6*1000000</f>
        <v>5.4798945122228736E-2</v>
      </c>
      <c r="O7" s="33"/>
      <c r="P7" s="33"/>
      <c r="R7" s="32"/>
    </row>
    <row r="8" spans="1:18">
      <c r="A8" s="6" t="s">
        <v>52</v>
      </c>
      <c r="B8" s="37">
        <f t="shared" si="0"/>
        <v>1556.5480547</v>
      </c>
      <c r="C8" s="33"/>
      <c r="D8" s="37">
        <f>IF(ISERROR(TER_handel_gas_kWh/1000),0,TER_handel_gas_kWh/1000)*0.902</f>
        <v>619.17206512436007</v>
      </c>
      <c r="E8" s="33">
        <f>$C$28*'E Balans VL '!I13/100/3.6*1000000</f>
        <v>49.127034940964684</v>
      </c>
      <c r="F8" s="33">
        <f>$C$28*('E Balans VL '!L13+'E Balans VL '!N13)/100/3.6*1000000</f>
        <v>305.2664826362049</v>
      </c>
      <c r="G8" s="34"/>
      <c r="H8" s="33"/>
      <c r="I8" s="33"/>
      <c r="J8" s="33">
        <f>$C$28*('E Balans VL '!D13+'E Balans VL '!E13)/100/3.6*1000000</f>
        <v>0</v>
      </c>
      <c r="K8" s="33"/>
      <c r="L8" s="33"/>
      <c r="M8" s="33"/>
      <c r="N8" s="33">
        <f>$C$28*'E Balans VL '!Y13/100/3.6*1000000</f>
        <v>1.8473203408340291</v>
      </c>
      <c r="O8" s="33"/>
      <c r="P8" s="33"/>
      <c r="R8" s="32"/>
    </row>
    <row r="9" spans="1:18">
      <c r="A9" s="32" t="s">
        <v>51</v>
      </c>
      <c r="B9" s="37">
        <f t="shared" si="0"/>
        <v>70.132478363999994</v>
      </c>
      <c r="C9" s="33"/>
      <c r="D9" s="37">
        <f>IF(ISERROR(TER_gezond_gas_kWh/1000),0,TER_gezond_gas_kWh/1000)*0.902</f>
        <v>0</v>
      </c>
      <c r="E9" s="33">
        <f>$C$29*'E Balans VL '!I10/100/3.6*1000000</f>
        <v>8.9790089107236008E-3</v>
      </c>
      <c r="F9" s="33">
        <f>$C$29*('E Balans VL '!L10+'E Balans VL '!N10)/100/3.6*1000000</f>
        <v>14.611534764777131</v>
      </c>
      <c r="G9" s="34"/>
      <c r="H9" s="33"/>
      <c r="I9" s="33"/>
      <c r="J9" s="33">
        <f>$C$29*('E Balans VL '!D10+'E Balans VL '!E10)/100/3.6*1000000</f>
        <v>0</v>
      </c>
      <c r="K9" s="33"/>
      <c r="L9" s="33"/>
      <c r="M9" s="33"/>
      <c r="N9" s="33">
        <f>$C$29*'E Balans VL '!Y10/100/3.6*1000000</f>
        <v>0.82373910735241107</v>
      </c>
      <c r="O9" s="33"/>
      <c r="P9" s="33"/>
      <c r="R9" s="32"/>
    </row>
    <row r="10" spans="1:18">
      <c r="A10" s="32" t="s">
        <v>50</v>
      </c>
      <c r="B10" s="37">
        <f t="shared" si="0"/>
        <v>483.71973791000005</v>
      </c>
      <c r="C10" s="33"/>
      <c r="D10" s="37">
        <f>IF(ISERROR(TER_ander_gas_kWh/1000),0,TER_ander_gas_kWh/1000)*0.902</f>
        <v>529.15819451109996</v>
      </c>
      <c r="E10" s="33">
        <f>$C$30*'E Balans VL '!I14/100/3.6*1000000</f>
        <v>0.72740073158008567</v>
      </c>
      <c r="F10" s="33">
        <f>$C$30*('E Balans VL '!L14+'E Balans VL '!N14)/100/3.6*1000000</f>
        <v>106.78972561972158</v>
      </c>
      <c r="G10" s="34"/>
      <c r="H10" s="33"/>
      <c r="I10" s="33"/>
      <c r="J10" s="33">
        <f>$C$30*('E Balans VL '!D14+'E Balans VL '!E14)/100/3.6*1000000</f>
        <v>0</v>
      </c>
      <c r="K10" s="33"/>
      <c r="L10" s="33"/>
      <c r="M10" s="33"/>
      <c r="N10" s="33">
        <f>$C$30*'E Balans VL '!Y14/100/3.6*1000000</f>
        <v>381.20370658406694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2070.1557505000001</v>
      </c>
      <c r="C12" s="33"/>
      <c r="D12" s="37">
        <f>IF(ISERROR(TER_rest_gas_kWh/1000),0,TER_rest_gas_kWh/1000)*0.902</f>
        <v>1699.4053067200002</v>
      </c>
      <c r="E12" s="33">
        <f>$C$32*'E Balans VL '!I8/100/3.6*1000000</f>
        <v>36.448221251390414</v>
      </c>
      <c r="F12" s="33">
        <f>$C$32*('E Balans VL '!L8+'E Balans VL '!N8)/100/3.6*1000000</f>
        <v>533.33696752449407</v>
      </c>
      <c r="G12" s="34"/>
      <c r="H12" s="33"/>
      <c r="I12" s="33"/>
      <c r="J12" s="33">
        <f>$C$32*('E Balans VL '!D8+'E Balans VL '!E8)/100/3.6*1000000</f>
        <v>0</v>
      </c>
      <c r="K12" s="33"/>
      <c r="L12" s="33"/>
      <c r="M12" s="33"/>
      <c r="N12" s="33">
        <f>$C$32*'E Balans VL '!Y8/100/3.6*1000000</f>
        <v>182.67459550253309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5840.5838614639997</v>
      </c>
      <c r="C16" s="21">
        <f t="shared" ca="1" si="1"/>
        <v>0</v>
      </c>
      <c r="D16" s="21">
        <f t="shared" ca="1" si="1"/>
        <v>4843.5554876557198</v>
      </c>
      <c r="E16" s="21">
        <f t="shared" si="1"/>
        <v>112.59708016643802</v>
      </c>
      <c r="F16" s="21">
        <f t="shared" ca="1" si="1"/>
        <v>1423.1350923234113</v>
      </c>
      <c r="G16" s="21">
        <f t="shared" si="1"/>
        <v>0</v>
      </c>
      <c r="H16" s="21">
        <f t="shared" si="1"/>
        <v>0</v>
      </c>
      <c r="I16" s="21">
        <f t="shared" si="1"/>
        <v>0</v>
      </c>
      <c r="J16" s="21">
        <f t="shared" si="1"/>
        <v>0</v>
      </c>
      <c r="K16" s="21">
        <f t="shared" si="1"/>
        <v>0</v>
      </c>
      <c r="L16" s="21">
        <f t="shared" ca="1" si="1"/>
        <v>0</v>
      </c>
      <c r="M16" s="21">
        <f t="shared" si="1"/>
        <v>0</v>
      </c>
      <c r="N16" s="21">
        <f t="shared" ca="1" si="1"/>
        <v>568.04136059058578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0.19564779584064459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1142.6973589178722</v>
      </c>
      <c r="C20" s="23">
        <f t="shared" ref="C20:P20" ca="1" si="2">C16*C18</f>
        <v>0</v>
      </c>
      <c r="D20" s="23">
        <f t="shared" ca="1" si="2"/>
        <v>978.39820850645549</v>
      </c>
      <c r="E20" s="23">
        <f t="shared" si="2"/>
        <v>25.559537197781431</v>
      </c>
      <c r="F20" s="23">
        <f t="shared" ca="1" si="2"/>
        <v>379.97706965035081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1432.376659</v>
      </c>
      <c r="C26" s="39">
        <f>IF(ISERROR(B26*3.6/1000000/'E Balans VL '!Z12*100),0,B26*3.6/1000000/'E Balans VL '!Z12*100)</f>
        <v>3.0682620805875631E-2</v>
      </c>
      <c r="D26" s="237" t="s">
        <v>660</v>
      </c>
      <c r="F26" s="6"/>
    </row>
    <row r="27" spans="1:18">
      <c r="A27" s="231" t="s">
        <v>53</v>
      </c>
      <c r="B27" s="33">
        <f>IF(ISERROR(TER_horeca_ele_kWh/1000),0,TER_horeca_ele_kWh/1000)</f>
        <v>227.65118099</v>
      </c>
      <c r="C27" s="39">
        <f>IF(ISERROR(B27*3.6/1000000/'E Balans VL '!Z9*100),0,B27*3.6/1000000/'E Balans VL '!Z9*100)</f>
        <v>1.8268215967019382E-2</v>
      </c>
      <c r="D27" s="237" t="s">
        <v>660</v>
      </c>
      <c r="F27" s="6"/>
    </row>
    <row r="28" spans="1:18">
      <c r="A28" s="171" t="s">
        <v>52</v>
      </c>
      <c r="B28" s="33">
        <f>IF(ISERROR(TER_handel_ele_kWh/1000),0,TER_handel_ele_kWh/1000)</f>
        <v>1556.5480547</v>
      </c>
      <c r="C28" s="39">
        <f>IF(ISERROR(B28*3.6/1000000/'E Balans VL '!Z13*100),0,B28*3.6/1000000/'E Balans VL '!Z13*100)</f>
        <v>4.5909239610117371E-2</v>
      </c>
      <c r="D28" s="237" t="s">
        <v>660</v>
      </c>
      <c r="F28" s="6"/>
    </row>
    <row r="29" spans="1:18">
      <c r="A29" s="231" t="s">
        <v>51</v>
      </c>
      <c r="B29" s="33">
        <f>IF(ISERROR(TER_gezond_ele_kWh/1000),0,TER_gezond_ele_kWh/1000)</f>
        <v>70.132478363999994</v>
      </c>
      <c r="C29" s="39">
        <f>IF(ISERROR(B29*3.6/1000000/'E Balans VL '!Z10*100),0,B29*3.6/1000000/'E Balans VL '!Z10*100)</f>
        <v>7.4882683670187567E-3</v>
      </c>
      <c r="D29" s="237" t="s">
        <v>660</v>
      </c>
      <c r="F29" s="6"/>
    </row>
    <row r="30" spans="1:18">
      <c r="A30" s="231" t="s">
        <v>50</v>
      </c>
      <c r="B30" s="33">
        <f>IF(ISERROR(TER_ander_ele_kWh/1000),0,TER_ander_ele_kWh/1000)</f>
        <v>483.71973791000005</v>
      </c>
      <c r="C30" s="39">
        <f>IF(ISERROR(B30*3.6/1000000/'E Balans VL '!Z14*100),0,B30*3.6/1000000/'E Balans VL '!Z14*100)</f>
        <v>3.6537251295133938E-2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2070.1557505000001</v>
      </c>
      <c r="C32" s="39">
        <f>IF(ISERROR(B32*3.6/1000000/'E Balans VL '!Z8*100),0,B32*3.6/1000000/'E Balans VL '!Z8*100)</f>
        <v>1.7164473842731637E-2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7794.0367693900007</v>
      </c>
      <c r="C5" s="17">
        <f>IF(ISERROR('Eigen informatie GS &amp; warmtenet'!B59),0,'Eigen informatie GS &amp; warmtenet'!B59)</f>
        <v>0</v>
      </c>
      <c r="D5" s="30">
        <f>SUM(D6:D15)</f>
        <v>13348.52834598602</v>
      </c>
      <c r="E5" s="17">
        <f>SUM(E6:E15)</f>
        <v>538.47873580433725</v>
      </c>
      <c r="F5" s="17">
        <f>SUM(F6:F15)</f>
        <v>2131.1486754029283</v>
      </c>
      <c r="G5" s="18"/>
      <c r="H5" s="17"/>
      <c r="I5" s="17"/>
      <c r="J5" s="17">
        <f>SUM(J6:J15)</f>
        <v>54.8130606017274</v>
      </c>
      <c r="K5" s="17"/>
      <c r="L5" s="17"/>
      <c r="M5" s="17"/>
      <c r="N5" s="17">
        <f>SUM(N6:N15)</f>
        <v>1669.437518071994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124.26864464000001</v>
      </c>
      <c r="C8" s="33"/>
      <c r="D8" s="37">
        <f>IF( ISERROR(IND_metaal_Gas_kWH/1000),0,IND_metaal_Gas_kWH/1000)*0.902</f>
        <v>0</v>
      </c>
      <c r="E8" s="33">
        <f>C30*'E Balans VL '!I18/100/3.6*1000000</f>
        <v>4.4715617722813334</v>
      </c>
      <c r="F8" s="33">
        <f>C30*'E Balans VL '!L18/100/3.6*1000000+C30*'E Balans VL '!N18/100/3.6*1000000</f>
        <v>54.264088758239083</v>
      </c>
      <c r="G8" s="34"/>
      <c r="H8" s="33"/>
      <c r="I8" s="33"/>
      <c r="J8" s="40">
        <f>C30*'E Balans VL '!D18/100/3.6*1000000+C30*'E Balans VL '!E18/100/3.6*1000000</f>
        <v>0</v>
      </c>
      <c r="K8" s="33"/>
      <c r="L8" s="33"/>
      <c r="M8" s="33"/>
      <c r="N8" s="33">
        <f>C30*'E Balans VL '!Y18/100/3.6*1000000</f>
        <v>6.2282600198645337</v>
      </c>
      <c r="O8" s="33"/>
      <c r="P8" s="33"/>
      <c r="R8" s="32"/>
    </row>
    <row r="9" spans="1:18">
      <c r="A9" s="6" t="s">
        <v>33</v>
      </c>
      <c r="B9" s="37">
        <f t="shared" si="0"/>
        <v>626.59080614000004</v>
      </c>
      <c r="C9" s="33"/>
      <c r="D9" s="37">
        <f>IF( ISERROR(IND_andere_gas_kWh/1000),0,IND_andere_gas_kWh/1000)*0.902</f>
        <v>496.82852306647999</v>
      </c>
      <c r="E9" s="33">
        <f>C31*'E Balans VL '!I19/100/3.6*1000000</f>
        <v>159.89179671285567</v>
      </c>
      <c r="F9" s="33">
        <f>C31*'E Balans VL '!L19/100/3.6*1000000+C31*'E Balans VL '!N19/100/3.6*1000000</f>
        <v>539.4475876905999</v>
      </c>
      <c r="G9" s="34"/>
      <c r="H9" s="33"/>
      <c r="I9" s="33"/>
      <c r="J9" s="40">
        <f>C31*'E Balans VL '!D19/100/3.6*1000000+C31*'E Balans VL '!E19/100/3.6*1000000</f>
        <v>0</v>
      </c>
      <c r="K9" s="33"/>
      <c r="L9" s="33"/>
      <c r="M9" s="33"/>
      <c r="N9" s="33">
        <f>C31*'E Balans VL '!Y19/100/3.6*1000000</f>
        <v>195.95640357398938</v>
      </c>
      <c r="O9" s="33"/>
      <c r="P9" s="33"/>
      <c r="R9" s="32"/>
    </row>
    <row r="10" spans="1:18">
      <c r="A10" s="6" t="s">
        <v>41</v>
      </c>
      <c r="B10" s="37">
        <f t="shared" si="0"/>
        <v>282.07218121</v>
      </c>
      <c r="C10" s="33"/>
      <c r="D10" s="37">
        <f>IF( ISERROR(IND_voed_gas_kWh/1000),0,IND_voed_gas_kWh/1000)*0.902</f>
        <v>284.90463062753997</v>
      </c>
      <c r="E10" s="33">
        <f>C32*'E Balans VL '!I20/100/3.6*1000000</f>
        <v>7.1706621632029623</v>
      </c>
      <c r="F10" s="33">
        <f>C32*'E Balans VL '!L20/100/3.6*1000000+C32*'E Balans VL '!N20/100/3.6*1000000</f>
        <v>63.828700339219473</v>
      </c>
      <c r="G10" s="34"/>
      <c r="H10" s="33"/>
      <c r="I10" s="33"/>
      <c r="J10" s="40">
        <f>C32*'E Balans VL '!D20/100/3.6*1000000+C32*'E Balans VL '!E20/100/3.6*1000000</f>
        <v>0</v>
      </c>
      <c r="K10" s="33"/>
      <c r="L10" s="33"/>
      <c r="M10" s="33"/>
      <c r="N10" s="33">
        <f>C32*'E Balans VL '!Y20/100/3.6*1000000</f>
        <v>105.78471382096166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6761.1051374000008</v>
      </c>
      <c r="C15" s="33"/>
      <c r="D15" s="37">
        <f>IF( ISERROR(IND_rest_gas_kWh/1000),0,IND_rest_gas_kWh/1000)*0.902</f>
        <v>12566.795192292</v>
      </c>
      <c r="E15" s="33">
        <f>C37*'E Balans VL '!I15/100/3.6*1000000</f>
        <v>366.94471515599736</v>
      </c>
      <c r="F15" s="33">
        <f>C37*'E Balans VL '!L15/100/3.6*1000000+C37*'E Balans VL '!N15/100/3.6*1000000</f>
        <v>1473.6082986148699</v>
      </c>
      <c r="G15" s="34"/>
      <c r="H15" s="33"/>
      <c r="I15" s="33"/>
      <c r="J15" s="40">
        <f>C37*'E Balans VL '!D15/100/3.6*1000000+C37*'E Balans VL '!E15/100/3.6*1000000</f>
        <v>54.8130606017274</v>
      </c>
      <c r="K15" s="33"/>
      <c r="L15" s="33"/>
      <c r="M15" s="33"/>
      <c r="N15" s="33">
        <f>C37*'E Balans VL '!Y15/100/3.6*1000000</f>
        <v>1361.4681406571785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7794.0367693900007</v>
      </c>
      <c r="C18" s="21">
        <f>C5+C16</f>
        <v>0</v>
      </c>
      <c r="D18" s="21">
        <f>MAX((D5+D16),0)</f>
        <v>13348.52834598602</v>
      </c>
      <c r="E18" s="21">
        <f>MAX((E5+E16),0)</f>
        <v>538.47873580433725</v>
      </c>
      <c r="F18" s="21">
        <f>MAX((F5+F16),0)</f>
        <v>2131.1486754029283</v>
      </c>
      <c r="G18" s="21"/>
      <c r="H18" s="21"/>
      <c r="I18" s="21"/>
      <c r="J18" s="21">
        <f>MAX((J5+J16),0)</f>
        <v>54.8130606017274</v>
      </c>
      <c r="K18" s="21"/>
      <c r="L18" s="21">
        <f>MAX((L5+L16),0)</f>
        <v>0</v>
      </c>
      <c r="M18" s="21"/>
      <c r="N18" s="21">
        <f>MAX((N5+N16),0)</f>
        <v>1669.437518071994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0.19564779584064459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1524.8861146320919</v>
      </c>
      <c r="C22" s="23">
        <f ca="1">C18*C20</f>
        <v>0</v>
      </c>
      <c r="D22" s="23">
        <f>D18*D20</f>
        <v>2696.4027258891761</v>
      </c>
      <c r="E22" s="23">
        <f>E18*E20</f>
        <v>122.23467302758456</v>
      </c>
      <c r="F22" s="23">
        <f>F18*F20</f>
        <v>569.01669633258189</v>
      </c>
      <c r="G22" s="23"/>
      <c r="H22" s="23"/>
      <c r="I22" s="23"/>
      <c r="J22" s="23">
        <f>J18*J20</f>
        <v>19.403823453011498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124.26864464000001</v>
      </c>
      <c r="C30" s="39">
        <f>IF(ISERROR(B30*3.6/1000000/'E Balans VL '!Z18*100),0,B30*3.6/1000000/'E Balans VL '!Z18*100)</f>
        <v>2.6329861549692662E-2</v>
      </c>
      <c r="D30" s="237" t="s">
        <v>660</v>
      </c>
    </row>
    <row r="31" spans="1:18">
      <c r="A31" s="6" t="s">
        <v>33</v>
      </c>
      <c r="B31" s="37">
        <f>IF( ISERROR(IND_ander_ele_kWh/1000),0,IND_ander_ele_kWh/1000)</f>
        <v>626.59080614000004</v>
      </c>
      <c r="C31" s="39">
        <f>IF(ISERROR(B31*3.6/1000000/'E Balans VL '!Z19*100),0,B31*3.6/1000000/'E Balans VL '!Z19*100)</f>
        <v>2.6374629808330764E-2</v>
      </c>
      <c r="D31" s="237" t="s">
        <v>660</v>
      </c>
    </row>
    <row r="32" spans="1:18">
      <c r="A32" s="171" t="s">
        <v>41</v>
      </c>
      <c r="B32" s="37">
        <f>IF( ISERROR(IND_voed_ele_kWh/1000),0,IND_voed_ele_kWh/1000)</f>
        <v>282.07218121</v>
      </c>
      <c r="C32" s="39">
        <f>IF(ISERROR(B32*3.6/1000000/'E Balans VL '!Z20*100),0,B32*3.6/1000000/'E Balans VL '!Z20*100)</f>
        <v>4.7123349298365147E-2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6761.1051374000008</v>
      </c>
      <c r="C37" s="39">
        <f>IF(ISERROR(B37*3.6/1000000/'E Balans VL '!Z15*100),0,B37*3.6/1000000/'E Balans VL '!Z15*100)</f>
        <v>5.458501979413307E-2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4607.3423126329999</v>
      </c>
      <c r="C5" s="17">
        <f>'Eigen informatie GS &amp; warmtenet'!B60</f>
        <v>0</v>
      </c>
      <c r="D5" s="30">
        <f>IF(ISERROR(SUM(LB_lb_gas_kWh,LB_rest_gas_kWh)/1000),0,SUM(LB_lb_gas_kWh,LB_rest_gas_kWh)/1000)*0.902</f>
        <v>12336.083933023401</v>
      </c>
      <c r="E5" s="17">
        <f>B17*'E Balans VL '!I25/3.6*1000000/100</f>
        <v>118.80566809356688</v>
      </c>
      <c r="F5" s="17">
        <f>B17*('E Balans VL '!L25/3.6*1000000+'E Balans VL '!N25/3.6*1000000)/100</f>
        <v>16840.713578394225</v>
      </c>
      <c r="G5" s="18"/>
      <c r="H5" s="17"/>
      <c r="I5" s="17"/>
      <c r="J5" s="17">
        <f>('E Balans VL '!D25+'E Balans VL '!E25)/3.6*1000000*landbouw!B17/100</f>
        <v>663.28780429747417</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4607.3423126329999</v>
      </c>
      <c r="C8" s="21">
        <f>C5+C6</f>
        <v>62.357142857142847</v>
      </c>
      <c r="D8" s="21">
        <f>MAX((D5+D6),0)</f>
        <v>12336.083933023401</v>
      </c>
      <c r="E8" s="21">
        <f>MAX((E5+E6),0)</f>
        <v>118.80566809356688</v>
      </c>
      <c r="F8" s="21">
        <f>MAX((F5+F6),0)</f>
        <v>16840.713578394225</v>
      </c>
      <c r="G8" s="21"/>
      <c r="H8" s="21"/>
      <c r="I8" s="21"/>
      <c r="J8" s="21">
        <f>MAX((J5+J6),0)</f>
        <v>663.28780429747417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0.19564779584064459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901.41636814998446</v>
      </c>
      <c r="C12" s="23">
        <f ca="1">C8*C10</f>
        <v>0</v>
      </c>
      <c r="D12" s="23">
        <f>D8*D10</f>
        <v>2491.8889544707272</v>
      </c>
      <c r="E12" s="23">
        <f>E8*E10</f>
        <v>26.968886657239683</v>
      </c>
      <c r="F12" s="23">
        <f>F8*F10</f>
        <v>4496.4705254312585</v>
      </c>
      <c r="G12" s="23"/>
      <c r="H12" s="23"/>
      <c r="I12" s="23"/>
      <c r="J12" s="23">
        <f>J8*J10</f>
        <v>234.80388272130585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0.64966578443242284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624.70545597659566</v>
      </c>
      <c r="C26" s="247">
        <f>B26*'GWP N2O_CH4'!B5</f>
        <v>13118.81457550851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526.43458008556411</v>
      </c>
      <c r="C27" s="247">
        <f>B27*'GWP N2O_CH4'!B5</f>
        <v>11055.126181796846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8.9100228910978085</v>
      </c>
      <c r="C28" s="247">
        <f>B28*'GWP N2O_CH4'!B4</f>
        <v>2762.1070962403205</v>
      </c>
      <c r="D28" s="50"/>
    </row>
    <row r="29" spans="1:4">
      <c r="A29" s="41" t="s">
        <v>277</v>
      </c>
      <c r="B29" s="247">
        <f>B34*'ha_N2O bodem landbouw'!B4</f>
        <v>14.57512811705729</v>
      </c>
      <c r="C29" s="247">
        <f>B29*'GWP N2O_CH4'!B4</f>
        <v>4518.2897162877598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3.2801958618396045E-3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3.2343531537313606E-5</v>
      </c>
      <c r="C5" s="463" t="s">
        <v>211</v>
      </c>
      <c r="D5" s="448">
        <f>SUM(D6:D11)</f>
        <v>8.6176466717772973E-5</v>
      </c>
      <c r="E5" s="448">
        <f>SUM(E6:E11)</f>
        <v>3.2424249514762042E-4</v>
      </c>
      <c r="F5" s="461" t="s">
        <v>211</v>
      </c>
      <c r="G5" s="448">
        <f>SUM(G6:G11)</f>
        <v>0.11171724069011486</v>
      </c>
      <c r="H5" s="448">
        <f>SUM(H6:H11)</f>
        <v>2.2929020095573707E-2</v>
      </c>
      <c r="I5" s="463" t="s">
        <v>211</v>
      </c>
      <c r="J5" s="463" t="s">
        <v>211</v>
      </c>
      <c r="K5" s="463" t="s">
        <v>211</v>
      </c>
      <c r="L5" s="463" t="s">
        <v>211</v>
      </c>
      <c r="M5" s="448">
        <f>SUM(M6:M11)</f>
        <v>4.2066721549637734E-3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1.8035561619747147E-5</v>
      </c>
      <c r="C6" s="449"/>
      <c r="D6" s="892">
        <f>vkm_2011_GW_PW*SUMIFS(TableVerdeelsleutelVkm[CNG],TableVerdeelsleutelVkm[Voertuigtype],"Lichte voertuigen")*SUMIFS(TableECFTransport[EnergieConsumptieFactor (PJ per km)],TableECFTransport[Index],CONCATENATE($A6,"_CNG_CNG"))</f>
        <v>3.5836976858974225E-5</v>
      </c>
      <c r="E6" s="892">
        <f>vkm_2011_GW_PW*SUMIFS(TableVerdeelsleutelVkm[LPG],TableVerdeelsleutelVkm[Voertuigtype],"Lichte voertuigen")*SUMIFS(TableECFTransport[EnergieConsumptieFactor (PJ per km)],TableECFTransport[Index],CONCATENATE($A6,"_LPG_LPG"))</f>
        <v>1.4103135053322952E-4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3.3532416088990928E-2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9.7021477673379045E-3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1.3472289331431958E-3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3.1963584655363482E-2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1.0325603120504338E-5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1.0071236457746431E-3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1.4307969917566459E-5</v>
      </c>
      <c r="C8" s="449"/>
      <c r="D8" s="451">
        <f>vkm_2011_NGW_PW*SUMIFS(TableVerdeelsleutelVkm[CNG],TableVerdeelsleutelVkm[Voertuigtype],"Lichte voertuigen")*SUMIFS(TableECFTransport[EnergieConsumptieFactor (PJ per km)],TableECFTransport[Index],CONCATENATE($A8,"_CNG_CNG"))</f>
        <v>5.0339489858798755E-5</v>
      </c>
      <c r="E8" s="451">
        <f>vkm_2011_NGW_PW*SUMIFS(TableVerdeelsleutelVkm[LPG],TableVerdeelsleutelVkm[Voertuigtype],"Lichte voertuigen")*SUMIFS(TableECFTransport[EnergieConsumptieFactor (PJ per km)],TableECFTransport[Index],CONCATENATE($A8,"_LPG_LPG"))</f>
        <v>1.832111446143909E-4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4.0678024357179002E-2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1.3214853225751477E-2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1.6776642496140449E-3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5.5432155885814524E-3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1.6934993638205986E-6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1.7465532643188992E-4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8.9843143159204466</v>
      </c>
      <c r="C14" s="21"/>
      <c r="D14" s="21">
        <f t="shared" ref="D14:M14" si="0">((D5)*10^9/3600)+D12</f>
        <v>23.937907421603605</v>
      </c>
      <c r="E14" s="21">
        <f t="shared" si="0"/>
        <v>90.067359763227898</v>
      </c>
      <c r="F14" s="21"/>
      <c r="G14" s="21">
        <f t="shared" si="0"/>
        <v>31032.56685836524</v>
      </c>
      <c r="H14" s="21">
        <f t="shared" si="0"/>
        <v>6369.1722487704737</v>
      </c>
      <c r="I14" s="21"/>
      <c r="J14" s="21"/>
      <c r="K14" s="21"/>
      <c r="L14" s="21"/>
      <c r="M14" s="21">
        <f t="shared" si="0"/>
        <v>1168.5200430454927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0.19564779584064459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1.757761293049384</v>
      </c>
      <c r="C18" s="23"/>
      <c r="D18" s="23">
        <f t="shared" ref="D18:M18" si="1">D14*D16</f>
        <v>4.8354572991639282</v>
      </c>
      <c r="E18" s="23">
        <f t="shared" si="1"/>
        <v>20.445290666252735</v>
      </c>
      <c r="F18" s="23"/>
      <c r="G18" s="23">
        <f t="shared" si="1"/>
        <v>8285.69535118352</v>
      </c>
      <c r="H18" s="23">
        <f t="shared" si="1"/>
        <v>1585.9238899438481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5.5727311775857031E-4</v>
      </c>
      <c r="H50" s="321">
        <f t="shared" si="2"/>
        <v>0</v>
      </c>
      <c r="I50" s="321">
        <f t="shared" si="2"/>
        <v>0</v>
      </c>
      <c r="J50" s="321">
        <f t="shared" si="2"/>
        <v>0</v>
      </c>
      <c r="K50" s="321">
        <f t="shared" si="2"/>
        <v>0</v>
      </c>
      <c r="L50" s="321">
        <f t="shared" si="2"/>
        <v>0</v>
      </c>
      <c r="M50" s="321">
        <f t="shared" si="2"/>
        <v>1.7285365391433603E-5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5.5727311775857031E-4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1.7285365391433603E-5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154.79808826626953</v>
      </c>
      <c r="H54" s="21">
        <f t="shared" si="3"/>
        <v>0</v>
      </c>
      <c r="I54" s="21">
        <f t="shared" si="3"/>
        <v>0</v>
      </c>
      <c r="J54" s="21">
        <f t="shared" si="3"/>
        <v>0</v>
      </c>
      <c r="K54" s="21">
        <f t="shared" si="3"/>
        <v>0</v>
      </c>
      <c r="L54" s="21">
        <f t="shared" si="3"/>
        <v>0</v>
      </c>
      <c r="M54" s="21">
        <f t="shared" si="3"/>
        <v>4.8014903865093341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0.19564779584064459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41.331089567093969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6189.8208614639998</v>
      </c>
      <c r="D10" s="1012">
        <f ca="1">tertiair!C16</f>
        <v>0</v>
      </c>
      <c r="E10" s="1012">
        <f ca="1">tertiair!D16</f>
        <v>4843.5554876557198</v>
      </c>
      <c r="F10" s="1012">
        <f>tertiair!E16</f>
        <v>112.59708016643802</v>
      </c>
      <c r="G10" s="1012">
        <f ca="1">tertiair!F16</f>
        <v>1423.1350923234113</v>
      </c>
      <c r="H10" s="1012">
        <f>tertiair!G16</f>
        <v>0</v>
      </c>
      <c r="I10" s="1012">
        <f>tertiair!H16</f>
        <v>0</v>
      </c>
      <c r="J10" s="1012">
        <f>tertiair!I16</f>
        <v>0</v>
      </c>
      <c r="K10" s="1012">
        <f>tertiair!J16</f>
        <v>0</v>
      </c>
      <c r="L10" s="1012">
        <f>tertiair!K16</f>
        <v>0</v>
      </c>
      <c r="M10" s="1012">
        <f ca="1">tertiair!L16</f>
        <v>0</v>
      </c>
      <c r="N10" s="1012">
        <f>tertiair!M16</f>
        <v>0</v>
      </c>
      <c r="O10" s="1012">
        <f ca="1">tertiair!N16</f>
        <v>568.04136059058578</v>
      </c>
      <c r="P10" s="1012">
        <f>tertiair!O16</f>
        <v>3.1266666666666669</v>
      </c>
      <c r="Q10" s="1013">
        <f>tertiair!P16</f>
        <v>38.133333333333333</v>
      </c>
      <c r="R10" s="700">
        <f ca="1">SUM(C10:Q10)</f>
        <v>13178.409882200156</v>
      </c>
      <c r="S10" s="67"/>
    </row>
    <row r="11" spans="1:19" s="473" customFormat="1">
      <c r="A11" s="809" t="s">
        <v>225</v>
      </c>
      <c r="B11" s="814"/>
      <c r="C11" s="1012">
        <f>huishoudens!B8</f>
        <v>10738.367640374059</v>
      </c>
      <c r="D11" s="1012">
        <f>huishoudens!C8</f>
        <v>0</v>
      </c>
      <c r="E11" s="1012">
        <f>huishoudens!D8</f>
        <v>12910.408183926002</v>
      </c>
      <c r="F11" s="1012">
        <f>huishoudens!E8</f>
        <v>3700.4138675216454</v>
      </c>
      <c r="G11" s="1012">
        <f>huishoudens!F8</f>
        <v>9865.8750722290424</v>
      </c>
      <c r="H11" s="1012">
        <f>huishoudens!G8</f>
        <v>0</v>
      </c>
      <c r="I11" s="1012">
        <f>huishoudens!H8</f>
        <v>0</v>
      </c>
      <c r="J11" s="1012">
        <f>huishoudens!I8</f>
        <v>0</v>
      </c>
      <c r="K11" s="1012">
        <f>huishoudens!J8</f>
        <v>1476.5334717679873</v>
      </c>
      <c r="L11" s="1012">
        <f>huishoudens!K8</f>
        <v>0</v>
      </c>
      <c r="M11" s="1012">
        <f>huishoudens!L8</f>
        <v>0</v>
      </c>
      <c r="N11" s="1012">
        <f>huishoudens!M8</f>
        <v>0</v>
      </c>
      <c r="O11" s="1012">
        <f>huishoudens!N8</f>
        <v>6369.3451299228873</v>
      </c>
      <c r="P11" s="1012">
        <f>huishoudens!O8</f>
        <v>211.05</v>
      </c>
      <c r="Q11" s="1013">
        <f>huishoudens!P8</f>
        <v>591.06666666666661</v>
      </c>
      <c r="R11" s="700">
        <f>SUM(C11:Q11)</f>
        <v>45863.060032408292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7794.0367693900007</v>
      </c>
      <c r="D13" s="1012">
        <f>industrie!C18</f>
        <v>0</v>
      </c>
      <c r="E13" s="1012">
        <f>industrie!D18</f>
        <v>13348.52834598602</v>
      </c>
      <c r="F13" s="1012">
        <f>industrie!E18</f>
        <v>538.47873580433725</v>
      </c>
      <c r="G13" s="1012">
        <f>industrie!F18</f>
        <v>2131.1486754029283</v>
      </c>
      <c r="H13" s="1012">
        <f>industrie!G18</f>
        <v>0</v>
      </c>
      <c r="I13" s="1012">
        <f>industrie!H18</f>
        <v>0</v>
      </c>
      <c r="J13" s="1012">
        <f>industrie!I18</f>
        <v>0</v>
      </c>
      <c r="K13" s="1012">
        <f>industrie!J18</f>
        <v>54.8130606017274</v>
      </c>
      <c r="L13" s="1012">
        <f>industrie!K18</f>
        <v>0</v>
      </c>
      <c r="M13" s="1012">
        <f>industrie!L18</f>
        <v>0</v>
      </c>
      <c r="N13" s="1012">
        <f>industrie!M18</f>
        <v>0</v>
      </c>
      <c r="O13" s="1012">
        <f>industrie!N18</f>
        <v>1669.437518071994</v>
      </c>
      <c r="P13" s="1012">
        <f>industrie!O18</f>
        <v>0</v>
      </c>
      <c r="Q13" s="1013">
        <f>industrie!P18</f>
        <v>0</v>
      </c>
      <c r="R13" s="700">
        <f>SUM(C13:Q13)</f>
        <v>25536.443105257003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24722.225271228061</v>
      </c>
      <c r="D16" s="732">
        <f t="shared" ref="D16:R16" ca="1" si="0">SUM(D9:D15)</f>
        <v>0</v>
      </c>
      <c r="E16" s="732">
        <f t="shared" ca="1" si="0"/>
        <v>31102.49201756774</v>
      </c>
      <c r="F16" s="732">
        <f t="shared" si="0"/>
        <v>4351.4896834924202</v>
      </c>
      <c r="G16" s="732">
        <f t="shared" ca="1" si="0"/>
        <v>13420.158839955382</v>
      </c>
      <c r="H16" s="732">
        <f t="shared" si="0"/>
        <v>0</v>
      </c>
      <c r="I16" s="732">
        <f t="shared" si="0"/>
        <v>0</v>
      </c>
      <c r="J16" s="732">
        <f t="shared" si="0"/>
        <v>0</v>
      </c>
      <c r="K16" s="732">
        <f t="shared" si="0"/>
        <v>1531.3465323697146</v>
      </c>
      <c r="L16" s="732">
        <f t="shared" si="0"/>
        <v>0</v>
      </c>
      <c r="M16" s="732">
        <f t="shared" ca="1" si="0"/>
        <v>0</v>
      </c>
      <c r="N16" s="732">
        <f t="shared" si="0"/>
        <v>0</v>
      </c>
      <c r="O16" s="732">
        <f t="shared" ca="1" si="0"/>
        <v>8606.8240085854668</v>
      </c>
      <c r="P16" s="732">
        <f t="shared" si="0"/>
        <v>214.17666666666668</v>
      </c>
      <c r="Q16" s="732">
        <f t="shared" si="0"/>
        <v>629.19999999999993</v>
      </c>
      <c r="R16" s="732">
        <f t="shared" ca="1" si="0"/>
        <v>84577.913019865446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154.79808826626953</v>
      </c>
      <c r="I19" s="1012">
        <f>transport!H54</f>
        <v>0</v>
      </c>
      <c r="J19" s="1012">
        <f>transport!I54</f>
        <v>0</v>
      </c>
      <c r="K19" s="1012">
        <f>transport!J54</f>
        <v>0</v>
      </c>
      <c r="L19" s="1012">
        <f>transport!K54</f>
        <v>0</v>
      </c>
      <c r="M19" s="1012">
        <f>transport!L54</f>
        <v>0</v>
      </c>
      <c r="N19" s="1012">
        <f>transport!M54</f>
        <v>4.8014903865093341</v>
      </c>
      <c r="O19" s="1012">
        <f>transport!N54</f>
        <v>0</v>
      </c>
      <c r="P19" s="1012">
        <f>transport!O54</f>
        <v>0</v>
      </c>
      <c r="Q19" s="1013">
        <f>transport!P54</f>
        <v>0</v>
      </c>
      <c r="R19" s="700">
        <f>SUM(C19:Q19)</f>
        <v>159.59957865277886</v>
      </c>
      <c r="S19" s="67"/>
    </row>
    <row r="20" spans="1:19" s="473" customFormat="1">
      <c r="A20" s="809" t="s">
        <v>307</v>
      </c>
      <c r="B20" s="814"/>
      <c r="C20" s="1012">
        <f>transport!B14</f>
        <v>8.9843143159204466</v>
      </c>
      <c r="D20" s="1012">
        <f>transport!C14</f>
        <v>0</v>
      </c>
      <c r="E20" s="1012">
        <f>transport!D14</f>
        <v>23.937907421603605</v>
      </c>
      <c r="F20" s="1012">
        <f>transport!E14</f>
        <v>90.067359763227898</v>
      </c>
      <c r="G20" s="1012">
        <f>transport!F14</f>
        <v>0</v>
      </c>
      <c r="H20" s="1012">
        <f>transport!G14</f>
        <v>31032.56685836524</v>
      </c>
      <c r="I20" s="1012">
        <f>transport!H14</f>
        <v>6369.1722487704737</v>
      </c>
      <c r="J20" s="1012">
        <f>transport!I14</f>
        <v>0</v>
      </c>
      <c r="K20" s="1012">
        <f>transport!J14</f>
        <v>0</v>
      </c>
      <c r="L20" s="1012">
        <f>transport!K14</f>
        <v>0</v>
      </c>
      <c r="M20" s="1012">
        <f>transport!L14</f>
        <v>0</v>
      </c>
      <c r="N20" s="1012">
        <f>transport!M14</f>
        <v>1168.5200430454927</v>
      </c>
      <c r="O20" s="1012">
        <f>transport!N14</f>
        <v>0</v>
      </c>
      <c r="P20" s="1012">
        <f>transport!O14</f>
        <v>0</v>
      </c>
      <c r="Q20" s="1013">
        <f>transport!P14</f>
        <v>0</v>
      </c>
      <c r="R20" s="700">
        <f>SUM(C20:Q20)</f>
        <v>38693.248731681961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8.9843143159204466</v>
      </c>
      <c r="D22" s="812">
        <f t="shared" ref="D22:R22" si="1">SUM(D18:D21)</f>
        <v>0</v>
      </c>
      <c r="E22" s="812">
        <f t="shared" si="1"/>
        <v>23.937907421603605</v>
      </c>
      <c r="F22" s="812">
        <f t="shared" si="1"/>
        <v>90.067359763227898</v>
      </c>
      <c r="G22" s="812">
        <f t="shared" si="1"/>
        <v>0</v>
      </c>
      <c r="H22" s="812">
        <f t="shared" si="1"/>
        <v>31187.364946631511</v>
      </c>
      <c r="I22" s="812">
        <f t="shared" si="1"/>
        <v>6369.1722487704737</v>
      </c>
      <c r="J22" s="812">
        <f t="shared" si="1"/>
        <v>0</v>
      </c>
      <c r="K22" s="812">
        <f t="shared" si="1"/>
        <v>0</v>
      </c>
      <c r="L22" s="812">
        <f t="shared" si="1"/>
        <v>0</v>
      </c>
      <c r="M22" s="812">
        <f t="shared" si="1"/>
        <v>0</v>
      </c>
      <c r="N22" s="812">
        <f t="shared" si="1"/>
        <v>1173.3215334320021</v>
      </c>
      <c r="O22" s="812">
        <f t="shared" si="1"/>
        <v>0</v>
      </c>
      <c r="P22" s="812">
        <f t="shared" si="1"/>
        <v>0</v>
      </c>
      <c r="Q22" s="812">
        <f t="shared" si="1"/>
        <v>0</v>
      </c>
      <c r="R22" s="812">
        <f t="shared" si="1"/>
        <v>38852.848310334739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4607.3423126329999</v>
      </c>
      <c r="D24" s="1012">
        <f>+landbouw!C8</f>
        <v>62.357142857142847</v>
      </c>
      <c r="E24" s="1012">
        <f>+landbouw!D8</f>
        <v>12336.083933023401</v>
      </c>
      <c r="F24" s="1012">
        <f>+landbouw!E8</f>
        <v>118.80566809356688</v>
      </c>
      <c r="G24" s="1012">
        <f>+landbouw!F8</f>
        <v>16840.713578394225</v>
      </c>
      <c r="H24" s="1012">
        <f>+landbouw!G8</f>
        <v>0</v>
      </c>
      <c r="I24" s="1012">
        <f>+landbouw!H8</f>
        <v>0</v>
      </c>
      <c r="J24" s="1012">
        <f>+landbouw!I8</f>
        <v>0</v>
      </c>
      <c r="K24" s="1012">
        <f>+landbouw!J8</f>
        <v>663.28780429747417</v>
      </c>
      <c r="L24" s="1012">
        <f>+landbouw!K8</f>
        <v>0</v>
      </c>
      <c r="M24" s="1012">
        <f>+landbouw!L8</f>
        <v>0</v>
      </c>
      <c r="N24" s="1012">
        <f>+landbouw!M8</f>
        <v>0</v>
      </c>
      <c r="O24" s="1012">
        <f>+landbouw!N8</f>
        <v>0</v>
      </c>
      <c r="P24" s="1012">
        <f>+landbouw!O8</f>
        <v>0</v>
      </c>
      <c r="Q24" s="1013">
        <f>+landbouw!P8</f>
        <v>0</v>
      </c>
      <c r="R24" s="700">
        <f>SUM(C24:Q24)</f>
        <v>34628.590439298816</v>
      </c>
      <c r="S24" s="67"/>
    </row>
    <row r="25" spans="1:19" s="473" customFormat="1" ht="15" thickBot="1">
      <c r="A25" s="831" t="s">
        <v>848</v>
      </c>
      <c r="B25" s="1015"/>
      <c r="C25" s="1016">
        <f>IF(Onbekend_ele_kWh="---",0,Onbekend_ele_kWh)/1000+IF(REST_rest_ele_kWh="---",0,REST_rest_ele_kWh)/1000</f>
        <v>594.66864853999994</v>
      </c>
      <c r="D25" s="1016"/>
      <c r="E25" s="1016">
        <f>IF(onbekend_gas_kWh="---",0,onbekend_gas_kWh)/1000+IF(REST_rest_gas_kWh="---",0,REST_rest_gas_kWh)/1000</f>
        <v>477.35493162</v>
      </c>
      <c r="F25" s="1016"/>
      <c r="G25" s="1016"/>
      <c r="H25" s="1016"/>
      <c r="I25" s="1016"/>
      <c r="J25" s="1016"/>
      <c r="K25" s="1016"/>
      <c r="L25" s="1016"/>
      <c r="M25" s="1016"/>
      <c r="N25" s="1016"/>
      <c r="O25" s="1016"/>
      <c r="P25" s="1016"/>
      <c r="Q25" s="1017"/>
      <c r="R25" s="700">
        <f>SUM(C25:Q25)</f>
        <v>1072.0235801599999</v>
      </c>
      <c r="S25" s="67"/>
    </row>
    <row r="26" spans="1:19" s="473" customFormat="1" ht="15.75" thickBot="1">
      <c r="A26" s="705" t="s">
        <v>849</v>
      </c>
      <c r="B26" s="817"/>
      <c r="C26" s="812">
        <f>SUM(C24:C25)</f>
        <v>5202.0109611729995</v>
      </c>
      <c r="D26" s="812">
        <f t="shared" ref="D26:R26" si="2">SUM(D24:D25)</f>
        <v>62.357142857142847</v>
      </c>
      <c r="E26" s="812">
        <f t="shared" si="2"/>
        <v>12813.438864643402</v>
      </c>
      <c r="F26" s="812">
        <f t="shared" si="2"/>
        <v>118.80566809356688</v>
      </c>
      <c r="G26" s="812">
        <f t="shared" si="2"/>
        <v>16840.713578394225</v>
      </c>
      <c r="H26" s="812">
        <f t="shared" si="2"/>
        <v>0</v>
      </c>
      <c r="I26" s="812">
        <f t="shared" si="2"/>
        <v>0</v>
      </c>
      <c r="J26" s="812">
        <f t="shared" si="2"/>
        <v>0</v>
      </c>
      <c r="K26" s="812">
        <f t="shared" si="2"/>
        <v>663.28780429747417</v>
      </c>
      <c r="L26" s="812">
        <f t="shared" si="2"/>
        <v>0</v>
      </c>
      <c r="M26" s="812">
        <f t="shared" si="2"/>
        <v>0</v>
      </c>
      <c r="N26" s="812">
        <f t="shared" si="2"/>
        <v>0</v>
      </c>
      <c r="O26" s="812">
        <f t="shared" si="2"/>
        <v>0</v>
      </c>
      <c r="P26" s="812">
        <f t="shared" si="2"/>
        <v>0</v>
      </c>
      <c r="Q26" s="812">
        <f t="shared" si="2"/>
        <v>0</v>
      </c>
      <c r="R26" s="812">
        <f t="shared" si="2"/>
        <v>35700.614019458815</v>
      </c>
      <c r="S26" s="67"/>
    </row>
    <row r="27" spans="1:19" s="473" customFormat="1" ht="17.25" thickTop="1" thickBot="1">
      <c r="A27" s="706" t="s">
        <v>116</v>
      </c>
      <c r="B27" s="805"/>
      <c r="C27" s="707">
        <f ca="1">C22+C16+C26</f>
        <v>29933.220546716981</v>
      </c>
      <c r="D27" s="707">
        <f t="shared" ref="D27:R27" ca="1" si="3">D22+D16+D26</f>
        <v>62.357142857142847</v>
      </c>
      <c r="E27" s="707">
        <f t="shared" ca="1" si="3"/>
        <v>43939.868789632746</v>
      </c>
      <c r="F27" s="707">
        <f t="shared" si="3"/>
        <v>4560.3627113492148</v>
      </c>
      <c r="G27" s="707">
        <f t="shared" ca="1" si="3"/>
        <v>30260.872418349609</v>
      </c>
      <c r="H27" s="707">
        <f t="shared" si="3"/>
        <v>31187.364946631511</v>
      </c>
      <c r="I27" s="707">
        <f t="shared" si="3"/>
        <v>6369.1722487704737</v>
      </c>
      <c r="J27" s="707">
        <f t="shared" si="3"/>
        <v>0</v>
      </c>
      <c r="K27" s="707">
        <f t="shared" si="3"/>
        <v>2194.634336667189</v>
      </c>
      <c r="L27" s="707">
        <f t="shared" si="3"/>
        <v>0</v>
      </c>
      <c r="M27" s="707">
        <f t="shared" ca="1" si="3"/>
        <v>0</v>
      </c>
      <c r="N27" s="707">
        <f t="shared" si="3"/>
        <v>1173.3215334320021</v>
      </c>
      <c r="O27" s="707">
        <f t="shared" ca="1" si="3"/>
        <v>8606.8240085854668</v>
      </c>
      <c r="P27" s="707">
        <f t="shared" si="3"/>
        <v>214.17666666666668</v>
      </c>
      <c r="Q27" s="707">
        <f t="shared" si="3"/>
        <v>629.19999999999993</v>
      </c>
      <c r="R27" s="707">
        <f t="shared" ca="1" si="3"/>
        <v>159131.37534965901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1211.0248081938714</v>
      </c>
      <c r="D40" s="1012">
        <f ca="1">tertiair!C20</f>
        <v>0</v>
      </c>
      <c r="E40" s="1012">
        <f ca="1">tertiair!D20</f>
        <v>978.39820850645549</v>
      </c>
      <c r="F40" s="1012">
        <f>tertiair!E20</f>
        <v>25.559537197781431</v>
      </c>
      <c r="G40" s="1012">
        <f ca="1">tertiair!F20</f>
        <v>379.97706965035081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2594.9596235484596</v>
      </c>
    </row>
    <row r="41" spans="1:18">
      <c r="A41" s="822" t="s">
        <v>225</v>
      </c>
      <c r="B41" s="829"/>
      <c r="C41" s="1012">
        <f ca="1">huishoudens!B12</f>
        <v>2100.9379597656884</v>
      </c>
      <c r="D41" s="1012">
        <f ca="1">huishoudens!C12</f>
        <v>0</v>
      </c>
      <c r="E41" s="1012">
        <f>huishoudens!D12</f>
        <v>2607.9024531530526</v>
      </c>
      <c r="F41" s="1012">
        <f>huishoudens!E12</f>
        <v>839.9939479274135</v>
      </c>
      <c r="G41" s="1012">
        <f>huishoudens!F12</f>
        <v>2634.1886442851546</v>
      </c>
      <c r="H41" s="1012">
        <f>huishoudens!G12</f>
        <v>0</v>
      </c>
      <c r="I41" s="1012">
        <f>huishoudens!H12</f>
        <v>0</v>
      </c>
      <c r="J41" s="1012">
        <f>huishoudens!I12</f>
        <v>0</v>
      </c>
      <c r="K41" s="1012">
        <f>huishoudens!J12</f>
        <v>522.69284900586752</v>
      </c>
      <c r="L41" s="1012">
        <f>huishoudens!K12</f>
        <v>0</v>
      </c>
      <c r="M41" s="1012">
        <f>huishoudens!L12</f>
        <v>0</v>
      </c>
      <c r="N41" s="1012">
        <f>huishoudens!M12</f>
        <v>0</v>
      </c>
      <c r="O41" s="1012">
        <f>huishoudens!N12</f>
        <v>0</v>
      </c>
      <c r="P41" s="1012">
        <f>huishoudens!O12</f>
        <v>0</v>
      </c>
      <c r="Q41" s="774">
        <f>huishoudens!P12</f>
        <v>0</v>
      </c>
      <c r="R41" s="850">
        <f t="shared" ca="1" si="4"/>
        <v>8705.7158541371773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1524.8861146320919</v>
      </c>
      <c r="D43" s="1012">
        <f ca="1">industrie!C22</f>
        <v>0</v>
      </c>
      <c r="E43" s="1012">
        <f>industrie!D22</f>
        <v>2696.4027258891761</v>
      </c>
      <c r="F43" s="1012">
        <f>industrie!E22</f>
        <v>122.23467302758456</v>
      </c>
      <c r="G43" s="1012">
        <f>industrie!F22</f>
        <v>569.01669633258189</v>
      </c>
      <c r="H43" s="1012">
        <f>industrie!G22</f>
        <v>0</v>
      </c>
      <c r="I43" s="1012">
        <f>industrie!H22</f>
        <v>0</v>
      </c>
      <c r="J43" s="1012">
        <f>industrie!I22</f>
        <v>0</v>
      </c>
      <c r="K43" s="1012">
        <f>industrie!J22</f>
        <v>19.403823453011498</v>
      </c>
      <c r="L43" s="1012">
        <f>industrie!K22</f>
        <v>0</v>
      </c>
      <c r="M43" s="1012">
        <f>industrie!L22</f>
        <v>0</v>
      </c>
      <c r="N43" s="1012">
        <f>industrie!M22</f>
        <v>0</v>
      </c>
      <c r="O43" s="1012">
        <f>industrie!N22</f>
        <v>0</v>
      </c>
      <c r="P43" s="1012">
        <f>industrie!O22</f>
        <v>0</v>
      </c>
      <c r="Q43" s="774">
        <f>industrie!P22</f>
        <v>0</v>
      </c>
      <c r="R43" s="849">
        <f t="shared" ca="1" si="4"/>
        <v>4931.9440333344464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4836.848882591652</v>
      </c>
      <c r="D46" s="732">
        <f t="shared" ref="D46:Q46" ca="1" si="5">SUM(D39:D45)</f>
        <v>0</v>
      </c>
      <c r="E46" s="732">
        <f t="shared" ca="1" si="5"/>
        <v>6282.7033875486841</v>
      </c>
      <c r="F46" s="732">
        <f t="shared" si="5"/>
        <v>987.78815815277949</v>
      </c>
      <c r="G46" s="732">
        <f t="shared" ca="1" si="5"/>
        <v>3583.1824102680876</v>
      </c>
      <c r="H46" s="732">
        <f t="shared" si="5"/>
        <v>0</v>
      </c>
      <c r="I46" s="732">
        <f t="shared" si="5"/>
        <v>0</v>
      </c>
      <c r="J46" s="732">
        <f t="shared" si="5"/>
        <v>0</v>
      </c>
      <c r="K46" s="732">
        <f t="shared" si="5"/>
        <v>542.09667245887897</v>
      </c>
      <c r="L46" s="732">
        <f t="shared" si="5"/>
        <v>0</v>
      </c>
      <c r="M46" s="732">
        <f t="shared" ca="1" si="5"/>
        <v>0</v>
      </c>
      <c r="N46" s="732">
        <f t="shared" si="5"/>
        <v>0</v>
      </c>
      <c r="O46" s="732">
        <f t="shared" ca="1" si="5"/>
        <v>0</v>
      </c>
      <c r="P46" s="732">
        <f t="shared" si="5"/>
        <v>0</v>
      </c>
      <c r="Q46" s="732">
        <f t="shared" si="5"/>
        <v>0</v>
      </c>
      <c r="R46" s="732">
        <f ca="1">SUM(R39:R45)</f>
        <v>16232.619511020082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41.331089567093969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41.331089567093969</v>
      </c>
    </row>
    <row r="50" spans="1:18">
      <c r="A50" s="825" t="s">
        <v>307</v>
      </c>
      <c r="B50" s="835"/>
      <c r="C50" s="703">
        <f ca="1">transport!B18</f>
        <v>1.757761293049384</v>
      </c>
      <c r="D50" s="703">
        <f>transport!C18</f>
        <v>0</v>
      </c>
      <c r="E50" s="703">
        <f>transport!D18</f>
        <v>4.8354572991639282</v>
      </c>
      <c r="F50" s="703">
        <f>transport!E18</f>
        <v>20.445290666252735</v>
      </c>
      <c r="G50" s="703">
        <f>transport!F18</f>
        <v>0</v>
      </c>
      <c r="H50" s="703">
        <f>transport!G18</f>
        <v>8285.69535118352</v>
      </c>
      <c r="I50" s="703">
        <f>transport!H18</f>
        <v>1585.9238899438481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9898.6577503858334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1.757761293049384</v>
      </c>
      <c r="D52" s="732">
        <f t="shared" ref="D52:Q52" ca="1" si="6">SUM(D48:D51)</f>
        <v>0</v>
      </c>
      <c r="E52" s="732">
        <f t="shared" si="6"/>
        <v>4.8354572991639282</v>
      </c>
      <c r="F52" s="732">
        <f t="shared" si="6"/>
        <v>20.445290666252735</v>
      </c>
      <c r="G52" s="732">
        <f t="shared" si="6"/>
        <v>0</v>
      </c>
      <c r="H52" s="732">
        <f t="shared" si="6"/>
        <v>8327.0264407506147</v>
      </c>
      <c r="I52" s="732">
        <f t="shared" si="6"/>
        <v>1585.9238899438481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9939.9888399529282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901.41636814998446</v>
      </c>
      <c r="D54" s="703">
        <f ca="1">+landbouw!C12</f>
        <v>0</v>
      </c>
      <c r="E54" s="703">
        <f>+landbouw!D12</f>
        <v>2491.8889544707272</v>
      </c>
      <c r="F54" s="703">
        <f>+landbouw!E12</f>
        <v>26.968886657239683</v>
      </c>
      <c r="G54" s="703">
        <f>+landbouw!F12</f>
        <v>4496.4705254312585</v>
      </c>
      <c r="H54" s="703">
        <f>+landbouw!G12</f>
        <v>0</v>
      </c>
      <c r="I54" s="703">
        <f>+landbouw!H12</f>
        <v>0</v>
      </c>
      <c r="J54" s="703">
        <f>+landbouw!I12</f>
        <v>0</v>
      </c>
      <c r="K54" s="703">
        <f>+landbouw!J12</f>
        <v>234.80388272130585</v>
      </c>
      <c r="L54" s="703">
        <f>+landbouw!K12</f>
        <v>0</v>
      </c>
      <c r="M54" s="703">
        <f>+landbouw!L12</f>
        <v>0</v>
      </c>
      <c r="N54" s="703">
        <f>+landbouw!M12</f>
        <v>0</v>
      </c>
      <c r="O54" s="703">
        <f>+landbouw!N12</f>
        <v>0</v>
      </c>
      <c r="P54" s="703">
        <f>+landbouw!O12</f>
        <v>0</v>
      </c>
      <c r="Q54" s="704">
        <f>+landbouw!P12</f>
        <v>0</v>
      </c>
      <c r="R54" s="731">
        <f ca="1">SUM(C54:Q54)</f>
        <v>8151.5486174305152</v>
      </c>
    </row>
    <row r="55" spans="1:18" ht="15" thickBot="1">
      <c r="A55" s="825" t="s">
        <v>848</v>
      </c>
      <c r="B55" s="835"/>
      <c r="C55" s="703">
        <f ca="1">C25*'EF ele_warmte'!B12</f>
        <v>116.34561034238594</v>
      </c>
      <c r="D55" s="703"/>
      <c r="E55" s="703">
        <f>E25*EF_CO2_aardgas</f>
        <v>96.425696187240007</v>
      </c>
      <c r="F55" s="703"/>
      <c r="G55" s="703"/>
      <c r="H55" s="703"/>
      <c r="I55" s="703"/>
      <c r="J55" s="703"/>
      <c r="K55" s="703"/>
      <c r="L55" s="703"/>
      <c r="M55" s="703"/>
      <c r="N55" s="703"/>
      <c r="O55" s="703"/>
      <c r="P55" s="703"/>
      <c r="Q55" s="704"/>
      <c r="R55" s="731">
        <f ca="1">SUM(C55:Q55)</f>
        <v>212.77130652962595</v>
      </c>
    </row>
    <row r="56" spans="1:18" ht="15.75" thickBot="1">
      <c r="A56" s="823" t="s">
        <v>849</v>
      </c>
      <c r="B56" s="836"/>
      <c r="C56" s="732">
        <f ca="1">SUM(C54:C55)</f>
        <v>1017.7619784923704</v>
      </c>
      <c r="D56" s="732">
        <f t="shared" ref="D56:Q56" ca="1" si="7">SUM(D54:D55)</f>
        <v>0</v>
      </c>
      <c r="E56" s="732">
        <f t="shared" si="7"/>
        <v>2588.3146506579674</v>
      </c>
      <c r="F56" s="732">
        <f t="shared" si="7"/>
        <v>26.968886657239683</v>
      </c>
      <c r="G56" s="732">
        <f t="shared" si="7"/>
        <v>4496.4705254312585</v>
      </c>
      <c r="H56" s="732">
        <f t="shared" si="7"/>
        <v>0</v>
      </c>
      <c r="I56" s="732">
        <f t="shared" si="7"/>
        <v>0</v>
      </c>
      <c r="J56" s="732">
        <f t="shared" si="7"/>
        <v>0</v>
      </c>
      <c r="K56" s="732">
        <f t="shared" si="7"/>
        <v>234.80388272130585</v>
      </c>
      <c r="L56" s="732">
        <f t="shared" si="7"/>
        <v>0</v>
      </c>
      <c r="M56" s="732">
        <f t="shared" si="7"/>
        <v>0</v>
      </c>
      <c r="N56" s="732">
        <f t="shared" si="7"/>
        <v>0</v>
      </c>
      <c r="O56" s="732">
        <f t="shared" si="7"/>
        <v>0</v>
      </c>
      <c r="P56" s="732">
        <f t="shared" si="7"/>
        <v>0</v>
      </c>
      <c r="Q56" s="733">
        <f t="shared" si="7"/>
        <v>0</v>
      </c>
      <c r="R56" s="734">
        <f ca="1">SUM(R54:R55)</f>
        <v>8364.3199239601418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5856.368622377071</v>
      </c>
      <c r="D61" s="740">
        <f t="shared" ref="D61:Q61" ca="1" si="8">D46+D52+D56</f>
        <v>0</v>
      </c>
      <c r="E61" s="740">
        <f t="shared" ca="1" si="8"/>
        <v>8875.8534955058149</v>
      </c>
      <c r="F61" s="740">
        <f t="shared" si="8"/>
        <v>1035.2023354762719</v>
      </c>
      <c r="G61" s="740">
        <f t="shared" ca="1" si="8"/>
        <v>8079.652935699346</v>
      </c>
      <c r="H61" s="740">
        <f t="shared" si="8"/>
        <v>8327.0264407506147</v>
      </c>
      <c r="I61" s="740">
        <f t="shared" si="8"/>
        <v>1585.9238899438481</v>
      </c>
      <c r="J61" s="740">
        <f t="shared" si="8"/>
        <v>0</v>
      </c>
      <c r="K61" s="740">
        <f t="shared" si="8"/>
        <v>776.90055518018482</v>
      </c>
      <c r="L61" s="740">
        <f t="shared" si="8"/>
        <v>0</v>
      </c>
      <c r="M61" s="740">
        <f t="shared" ca="1" si="8"/>
        <v>0</v>
      </c>
      <c r="N61" s="740">
        <f t="shared" si="8"/>
        <v>0</v>
      </c>
      <c r="O61" s="740">
        <f t="shared" ca="1" si="8"/>
        <v>0</v>
      </c>
      <c r="P61" s="740">
        <f t="shared" si="8"/>
        <v>0</v>
      </c>
      <c r="Q61" s="740">
        <f t="shared" si="8"/>
        <v>0</v>
      </c>
      <c r="R61" s="740">
        <f ca="1">R46+R52+R56</f>
        <v>34536.928274933147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0.19564779584064457</v>
      </c>
      <c r="D63" s="781">
        <f t="shared" ca="1" si="9"/>
        <v>0</v>
      </c>
      <c r="E63" s="1023">
        <f t="shared" ca="1" si="9"/>
        <v>0.20200000000000001</v>
      </c>
      <c r="F63" s="781">
        <f t="shared" si="9"/>
        <v>0.22700000000000001</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3390.1650155990064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3433.8150155990065</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3390.1650155990064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3433.8150155990065</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37012</v>
      </c>
      <c r="C28" s="796">
        <v>8755</v>
      </c>
      <c r="D28" s="653" t="s">
        <v>890</v>
      </c>
      <c r="E28" s="652" t="s">
        <v>891</v>
      </c>
      <c r="F28" s="652" t="s">
        <v>892</v>
      </c>
      <c r="G28" s="652" t="s">
        <v>893</v>
      </c>
      <c r="H28" s="652" t="s">
        <v>894</v>
      </c>
      <c r="I28" s="652" t="s">
        <v>895</v>
      </c>
      <c r="J28" s="795">
        <v>41360</v>
      </c>
      <c r="K28" s="795">
        <v>41360</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10738.367640374059</v>
      </c>
      <c r="C4" s="477">
        <f>huishoudens!C8</f>
        <v>0</v>
      </c>
      <c r="D4" s="477">
        <f>huishoudens!D8</f>
        <v>12910.408183926002</v>
      </c>
      <c r="E4" s="477">
        <f>huishoudens!E8</f>
        <v>3700.4138675216454</v>
      </c>
      <c r="F4" s="477">
        <f>huishoudens!F8</f>
        <v>9865.8750722290424</v>
      </c>
      <c r="G4" s="477">
        <f>huishoudens!G8</f>
        <v>0</v>
      </c>
      <c r="H4" s="477">
        <f>huishoudens!H8</f>
        <v>0</v>
      </c>
      <c r="I4" s="477">
        <f>huishoudens!I8</f>
        <v>0</v>
      </c>
      <c r="J4" s="477">
        <f>huishoudens!J8</f>
        <v>1476.5334717679873</v>
      </c>
      <c r="K4" s="477">
        <f>huishoudens!K8</f>
        <v>0</v>
      </c>
      <c r="L4" s="477">
        <f>huishoudens!L8</f>
        <v>0</v>
      </c>
      <c r="M4" s="477">
        <f>huishoudens!M8</f>
        <v>0</v>
      </c>
      <c r="N4" s="477">
        <f>huishoudens!N8</f>
        <v>6369.3451299228873</v>
      </c>
      <c r="O4" s="477">
        <f>huishoudens!O8</f>
        <v>211.05</v>
      </c>
      <c r="P4" s="478">
        <f>huishoudens!P8</f>
        <v>591.06666666666661</v>
      </c>
      <c r="Q4" s="479">
        <f>SUM(B4:P4)</f>
        <v>45863.060032408292</v>
      </c>
    </row>
    <row r="5" spans="1:17">
      <c r="A5" s="476" t="s">
        <v>156</v>
      </c>
      <c r="B5" s="477">
        <f ca="1">tertiair!B16</f>
        <v>5840.5838614639997</v>
      </c>
      <c r="C5" s="477">
        <f ca="1">tertiair!C16</f>
        <v>0</v>
      </c>
      <c r="D5" s="477">
        <f ca="1">tertiair!D16</f>
        <v>4843.5554876557198</v>
      </c>
      <c r="E5" s="477">
        <f>tertiair!E16</f>
        <v>112.59708016643802</v>
      </c>
      <c r="F5" s="477">
        <f ca="1">tertiair!F16</f>
        <v>1423.1350923234113</v>
      </c>
      <c r="G5" s="477">
        <f>tertiair!G16</f>
        <v>0</v>
      </c>
      <c r="H5" s="477">
        <f>tertiair!H16</f>
        <v>0</v>
      </c>
      <c r="I5" s="477">
        <f>tertiair!I16</f>
        <v>0</v>
      </c>
      <c r="J5" s="477">
        <f>tertiair!J16</f>
        <v>0</v>
      </c>
      <c r="K5" s="477">
        <f>tertiair!K16</f>
        <v>0</v>
      </c>
      <c r="L5" s="477">
        <f ca="1">tertiair!L16</f>
        <v>0</v>
      </c>
      <c r="M5" s="477">
        <f>tertiair!M16</f>
        <v>0</v>
      </c>
      <c r="N5" s="477">
        <f ca="1">tertiair!N16</f>
        <v>568.04136059058578</v>
      </c>
      <c r="O5" s="477">
        <f>tertiair!O16</f>
        <v>3.1266666666666669</v>
      </c>
      <c r="P5" s="478">
        <f>tertiair!P16</f>
        <v>38.133333333333333</v>
      </c>
      <c r="Q5" s="476">
        <f t="shared" ref="Q5:Q14" ca="1" si="0">SUM(B5:P5)</f>
        <v>12829.172882200155</v>
      </c>
    </row>
    <row r="6" spans="1:17">
      <c r="A6" s="476" t="s">
        <v>194</v>
      </c>
      <c r="B6" s="477">
        <f>'openbare verlichting'!B8</f>
        <v>349.23700000000002</v>
      </c>
      <c r="C6" s="477"/>
      <c r="D6" s="477"/>
      <c r="E6" s="477"/>
      <c r="F6" s="477"/>
      <c r="G6" s="477"/>
      <c r="H6" s="477"/>
      <c r="I6" s="477"/>
      <c r="J6" s="477"/>
      <c r="K6" s="477"/>
      <c r="L6" s="477"/>
      <c r="M6" s="477"/>
      <c r="N6" s="477"/>
      <c r="O6" s="477"/>
      <c r="P6" s="478"/>
      <c r="Q6" s="476">
        <f t="shared" si="0"/>
        <v>349.23700000000002</v>
      </c>
    </row>
    <row r="7" spans="1:17">
      <c r="A7" s="476" t="s">
        <v>112</v>
      </c>
      <c r="B7" s="477">
        <f>landbouw!B8</f>
        <v>4607.3423126329999</v>
      </c>
      <c r="C7" s="477">
        <f>landbouw!C8</f>
        <v>62.357142857142847</v>
      </c>
      <c r="D7" s="477">
        <f>landbouw!D8</f>
        <v>12336.083933023401</v>
      </c>
      <c r="E7" s="477">
        <f>landbouw!E8</f>
        <v>118.80566809356688</v>
      </c>
      <c r="F7" s="477">
        <f>landbouw!F8</f>
        <v>16840.713578394225</v>
      </c>
      <c r="G7" s="477">
        <f>landbouw!G8</f>
        <v>0</v>
      </c>
      <c r="H7" s="477">
        <f>landbouw!H8</f>
        <v>0</v>
      </c>
      <c r="I7" s="477">
        <f>landbouw!I8</f>
        <v>0</v>
      </c>
      <c r="J7" s="477">
        <f>landbouw!J8</f>
        <v>663.28780429747417</v>
      </c>
      <c r="K7" s="477">
        <f>landbouw!K8</f>
        <v>0</v>
      </c>
      <c r="L7" s="477">
        <f>landbouw!L8</f>
        <v>0</v>
      </c>
      <c r="M7" s="477">
        <f>landbouw!M8</f>
        <v>0</v>
      </c>
      <c r="N7" s="477">
        <f>landbouw!N8</f>
        <v>0</v>
      </c>
      <c r="O7" s="477">
        <f>landbouw!O8</f>
        <v>0</v>
      </c>
      <c r="P7" s="478">
        <f>landbouw!P8</f>
        <v>0</v>
      </c>
      <c r="Q7" s="476">
        <f t="shared" si="0"/>
        <v>34628.590439298816</v>
      </c>
    </row>
    <row r="8" spans="1:17">
      <c r="A8" s="476" t="s">
        <v>638</v>
      </c>
      <c r="B8" s="477">
        <f>industrie!B18</f>
        <v>7794.0367693900007</v>
      </c>
      <c r="C8" s="477">
        <f>industrie!C18</f>
        <v>0</v>
      </c>
      <c r="D8" s="477">
        <f>industrie!D18</f>
        <v>13348.52834598602</v>
      </c>
      <c r="E8" s="477">
        <f>industrie!E18</f>
        <v>538.47873580433725</v>
      </c>
      <c r="F8" s="477">
        <f>industrie!F18</f>
        <v>2131.1486754029283</v>
      </c>
      <c r="G8" s="477">
        <f>industrie!G18</f>
        <v>0</v>
      </c>
      <c r="H8" s="477">
        <f>industrie!H18</f>
        <v>0</v>
      </c>
      <c r="I8" s="477">
        <f>industrie!I18</f>
        <v>0</v>
      </c>
      <c r="J8" s="477">
        <f>industrie!J18</f>
        <v>54.8130606017274</v>
      </c>
      <c r="K8" s="477">
        <f>industrie!K18</f>
        <v>0</v>
      </c>
      <c r="L8" s="477">
        <f>industrie!L18</f>
        <v>0</v>
      </c>
      <c r="M8" s="477">
        <f>industrie!M18</f>
        <v>0</v>
      </c>
      <c r="N8" s="477">
        <f>industrie!N18</f>
        <v>1669.437518071994</v>
      </c>
      <c r="O8" s="477">
        <f>industrie!O18</f>
        <v>0</v>
      </c>
      <c r="P8" s="478">
        <f>industrie!P18</f>
        <v>0</v>
      </c>
      <c r="Q8" s="476">
        <f t="shared" si="0"/>
        <v>25536.443105257003</v>
      </c>
    </row>
    <row r="9" spans="1:17" s="482" customFormat="1">
      <c r="A9" s="480" t="s">
        <v>564</v>
      </c>
      <c r="B9" s="481">
        <f>transport!B14</f>
        <v>8.9843143159204466</v>
      </c>
      <c r="C9" s="481">
        <f>transport!C14</f>
        <v>0</v>
      </c>
      <c r="D9" s="481">
        <f>transport!D14</f>
        <v>23.937907421603605</v>
      </c>
      <c r="E9" s="481">
        <f>transport!E14</f>
        <v>90.067359763227898</v>
      </c>
      <c r="F9" s="481">
        <f>transport!F14</f>
        <v>0</v>
      </c>
      <c r="G9" s="481">
        <f>transport!G14</f>
        <v>31032.56685836524</v>
      </c>
      <c r="H9" s="481">
        <f>transport!H14</f>
        <v>6369.1722487704737</v>
      </c>
      <c r="I9" s="481">
        <f>transport!I14</f>
        <v>0</v>
      </c>
      <c r="J9" s="481">
        <f>transport!J14</f>
        <v>0</v>
      </c>
      <c r="K9" s="481">
        <f>transport!K14</f>
        <v>0</v>
      </c>
      <c r="L9" s="481">
        <f>transport!L14</f>
        <v>0</v>
      </c>
      <c r="M9" s="481">
        <f>transport!M14</f>
        <v>1168.5200430454927</v>
      </c>
      <c r="N9" s="481">
        <f>transport!N14</f>
        <v>0</v>
      </c>
      <c r="O9" s="481">
        <f>transport!O14</f>
        <v>0</v>
      </c>
      <c r="P9" s="481">
        <f>transport!P14</f>
        <v>0</v>
      </c>
      <c r="Q9" s="480">
        <f>SUM(B9:P9)</f>
        <v>38693.248731681961</v>
      </c>
    </row>
    <row r="10" spans="1:17">
      <c r="A10" s="476" t="s">
        <v>554</v>
      </c>
      <c r="B10" s="477">
        <f>transport!B54</f>
        <v>0</v>
      </c>
      <c r="C10" s="477">
        <f>transport!C54</f>
        <v>0</v>
      </c>
      <c r="D10" s="477">
        <f>transport!D54</f>
        <v>0</v>
      </c>
      <c r="E10" s="477">
        <f>transport!E54</f>
        <v>0</v>
      </c>
      <c r="F10" s="477">
        <f>transport!F54</f>
        <v>0</v>
      </c>
      <c r="G10" s="477">
        <f>transport!G54</f>
        <v>154.79808826626953</v>
      </c>
      <c r="H10" s="477">
        <f>transport!H54</f>
        <v>0</v>
      </c>
      <c r="I10" s="477">
        <f>transport!I54</f>
        <v>0</v>
      </c>
      <c r="J10" s="477">
        <f>transport!J54</f>
        <v>0</v>
      </c>
      <c r="K10" s="477">
        <f>transport!K54</f>
        <v>0</v>
      </c>
      <c r="L10" s="477">
        <f>transport!L54</f>
        <v>0</v>
      </c>
      <c r="M10" s="477">
        <f>transport!M54</f>
        <v>4.8014903865093341</v>
      </c>
      <c r="N10" s="477">
        <f>transport!N54</f>
        <v>0</v>
      </c>
      <c r="O10" s="477">
        <f>transport!O54</f>
        <v>0</v>
      </c>
      <c r="P10" s="478">
        <f>transport!P54</f>
        <v>0</v>
      </c>
      <c r="Q10" s="476">
        <f t="shared" si="0"/>
        <v>159.59957865277886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594.66864853999994</v>
      </c>
      <c r="C14" s="484"/>
      <c r="D14" s="484">
        <f>'SEAP template'!E25</f>
        <v>477.35493162</v>
      </c>
      <c r="E14" s="484"/>
      <c r="F14" s="484"/>
      <c r="G14" s="484"/>
      <c r="H14" s="484"/>
      <c r="I14" s="484"/>
      <c r="J14" s="484"/>
      <c r="K14" s="484"/>
      <c r="L14" s="484"/>
      <c r="M14" s="484"/>
      <c r="N14" s="484"/>
      <c r="O14" s="484"/>
      <c r="P14" s="485"/>
      <c r="Q14" s="476">
        <f t="shared" si="0"/>
        <v>1072.0235801599999</v>
      </c>
    </row>
    <row r="15" spans="1:17" s="486" customFormat="1">
      <c r="A15" s="1038" t="s">
        <v>558</v>
      </c>
      <c r="B15" s="978">
        <f ca="1">SUM(B4:B14)</f>
        <v>29933.220546716977</v>
      </c>
      <c r="C15" s="978">
        <f t="shared" ref="C15:Q15" ca="1" si="1">SUM(C4:C14)</f>
        <v>62.357142857142847</v>
      </c>
      <c r="D15" s="978">
        <f t="shared" ca="1" si="1"/>
        <v>43939.868789632746</v>
      </c>
      <c r="E15" s="978">
        <f t="shared" si="1"/>
        <v>4560.3627113492157</v>
      </c>
      <c r="F15" s="978">
        <f t="shared" ca="1" si="1"/>
        <v>30260.872418349605</v>
      </c>
      <c r="G15" s="978">
        <f t="shared" si="1"/>
        <v>31187.364946631511</v>
      </c>
      <c r="H15" s="978">
        <f t="shared" si="1"/>
        <v>6369.1722487704737</v>
      </c>
      <c r="I15" s="978">
        <f t="shared" si="1"/>
        <v>0</v>
      </c>
      <c r="J15" s="978">
        <f t="shared" si="1"/>
        <v>2194.634336667189</v>
      </c>
      <c r="K15" s="978">
        <f t="shared" si="1"/>
        <v>0</v>
      </c>
      <c r="L15" s="978">
        <f t="shared" ca="1" si="1"/>
        <v>0</v>
      </c>
      <c r="M15" s="978">
        <f t="shared" si="1"/>
        <v>1173.3215334320021</v>
      </c>
      <c r="N15" s="978">
        <f t="shared" ca="1" si="1"/>
        <v>8606.8240085854668</v>
      </c>
      <c r="O15" s="978">
        <f t="shared" si="1"/>
        <v>214.17666666666668</v>
      </c>
      <c r="P15" s="978">
        <f t="shared" si="1"/>
        <v>629.19999999999993</v>
      </c>
      <c r="Q15" s="978">
        <f t="shared" ca="1" si="1"/>
        <v>159131.37534965901</v>
      </c>
    </row>
    <row r="17" spans="1:17">
      <c r="A17" s="487" t="s">
        <v>559</v>
      </c>
      <c r="B17" s="786">
        <f ca="1">huishoudens!B10</f>
        <v>0.19564779584064459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2100.9379597656884</v>
      </c>
      <c r="C22" s="477">
        <f t="shared" ref="C22:C32" ca="1" si="3">C4*$C$17</f>
        <v>0</v>
      </c>
      <c r="D22" s="477">
        <f t="shared" ref="D22:D32" si="4">D4*$D$17</f>
        <v>2607.9024531530526</v>
      </c>
      <c r="E22" s="477">
        <f t="shared" ref="E22:E32" si="5">E4*$E$17</f>
        <v>839.9939479274135</v>
      </c>
      <c r="F22" s="477">
        <f t="shared" ref="F22:F32" si="6">F4*$F$17</f>
        <v>2634.1886442851546</v>
      </c>
      <c r="G22" s="477">
        <f t="shared" ref="G22:G32" si="7">G4*$G$17</f>
        <v>0</v>
      </c>
      <c r="H22" s="477">
        <f t="shared" ref="H22:H32" si="8">H4*$H$17</f>
        <v>0</v>
      </c>
      <c r="I22" s="477">
        <f t="shared" ref="I22:I32" si="9">I4*$I$17</f>
        <v>0</v>
      </c>
      <c r="J22" s="477">
        <f t="shared" ref="J22:J32" si="10">J4*$J$17</f>
        <v>522.69284900586752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8705.7158541371773</v>
      </c>
    </row>
    <row r="23" spans="1:17">
      <c r="A23" s="476" t="s">
        <v>156</v>
      </c>
      <c r="B23" s="477">
        <f t="shared" ca="1" si="2"/>
        <v>1142.6973589178722</v>
      </c>
      <c r="C23" s="477">
        <f t="shared" ca="1" si="3"/>
        <v>0</v>
      </c>
      <c r="D23" s="477">
        <f t="shared" ca="1" si="4"/>
        <v>978.39820850645549</v>
      </c>
      <c r="E23" s="477">
        <f t="shared" si="5"/>
        <v>25.559537197781431</v>
      </c>
      <c r="F23" s="477">
        <f t="shared" ca="1" si="6"/>
        <v>379.97706965035081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2526.6321742724604</v>
      </c>
    </row>
    <row r="24" spans="1:17">
      <c r="A24" s="476" t="s">
        <v>194</v>
      </c>
      <c r="B24" s="477">
        <f t="shared" ca="1" si="2"/>
        <v>68.3274492759992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68.3274492759992</v>
      </c>
    </row>
    <row r="25" spans="1:17">
      <c r="A25" s="476" t="s">
        <v>112</v>
      </c>
      <c r="B25" s="477">
        <f t="shared" ca="1" si="2"/>
        <v>901.41636814998446</v>
      </c>
      <c r="C25" s="477">
        <f t="shared" ca="1" si="3"/>
        <v>0</v>
      </c>
      <c r="D25" s="477">
        <f t="shared" si="4"/>
        <v>2491.8889544707272</v>
      </c>
      <c r="E25" s="477">
        <f t="shared" si="5"/>
        <v>26.968886657239683</v>
      </c>
      <c r="F25" s="477">
        <f t="shared" si="6"/>
        <v>4496.4705254312585</v>
      </c>
      <c r="G25" s="477">
        <f t="shared" si="7"/>
        <v>0</v>
      </c>
      <c r="H25" s="477">
        <f t="shared" si="8"/>
        <v>0</v>
      </c>
      <c r="I25" s="477">
        <f t="shared" si="9"/>
        <v>0</v>
      </c>
      <c r="J25" s="477">
        <f t="shared" si="10"/>
        <v>234.80388272130585</v>
      </c>
      <c r="K25" s="477">
        <f t="shared" si="11"/>
        <v>0</v>
      </c>
      <c r="L25" s="477">
        <f t="shared" si="12"/>
        <v>0</v>
      </c>
      <c r="M25" s="477">
        <f t="shared" si="13"/>
        <v>0</v>
      </c>
      <c r="N25" s="477">
        <f t="shared" si="14"/>
        <v>0</v>
      </c>
      <c r="O25" s="477">
        <f t="shared" si="15"/>
        <v>0</v>
      </c>
      <c r="P25" s="478">
        <f t="shared" si="16"/>
        <v>0</v>
      </c>
      <c r="Q25" s="476">
        <f t="shared" ca="1" si="17"/>
        <v>8151.5486174305152</v>
      </c>
    </row>
    <row r="26" spans="1:17">
      <c r="A26" s="476" t="s">
        <v>638</v>
      </c>
      <c r="B26" s="477">
        <f t="shared" ca="1" si="2"/>
        <v>1524.8861146320919</v>
      </c>
      <c r="C26" s="477">
        <f t="shared" ca="1" si="3"/>
        <v>0</v>
      </c>
      <c r="D26" s="477">
        <f t="shared" si="4"/>
        <v>2696.4027258891761</v>
      </c>
      <c r="E26" s="477">
        <f t="shared" si="5"/>
        <v>122.23467302758456</v>
      </c>
      <c r="F26" s="477">
        <f t="shared" si="6"/>
        <v>569.01669633258189</v>
      </c>
      <c r="G26" s="477">
        <f t="shared" si="7"/>
        <v>0</v>
      </c>
      <c r="H26" s="477">
        <f t="shared" si="8"/>
        <v>0</v>
      </c>
      <c r="I26" s="477">
        <f t="shared" si="9"/>
        <v>0</v>
      </c>
      <c r="J26" s="477">
        <f t="shared" si="10"/>
        <v>19.403823453011498</v>
      </c>
      <c r="K26" s="477">
        <f t="shared" si="11"/>
        <v>0</v>
      </c>
      <c r="L26" s="477">
        <f t="shared" si="12"/>
        <v>0</v>
      </c>
      <c r="M26" s="477">
        <f t="shared" si="13"/>
        <v>0</v>
      </c>
      <c r="N26" s="477">
        <f t="shared" si="14"/>
        <v>0</v>
      </c>
      <c r="O26" s="477">
        <f t="shared" si="15"/>
        <v>0</v>
      </c>
      <c r="P26" s="478">
        <f t="shared" si="16"/>
        <v>0</v>
      </c>
      <c r="Q26" s="476">
        <f t="shared" ca="1" si="17"/>
        <v>4931.9440333344464</v>
      </c>
    </row>
    <row r="27" spans="1:17" s="482" customFormat="1">
      <c r="A27" s="480" t="s">
        <v>564</v>
      </c>
      <c r="B27" s="780">
        <f t="shared" ca="1" si="2"/>
        <v>1.757761293049384</v>
      </c>
      <c r="C27" s="481">
        <f t="shared" ca="1" si="3"/>
        <v>0</v>
      </c>
      <c r="D27" s="481">
        <f t="shared" si="4"/>
        <v>4.8354572991639282</v>
      </c>
      <c r="E27" s="481">
        <f t="shared" si="5"/>
        <v>20.445290666252735</v>
      </c>
      <c r="F27" s="481">
        <f t="shared" si="6"/>
        <v>0</v>
      </c>
      <c r="G27" s="481">
        <f t="shared" si="7"/>
        <v>8285.69535118352</v>
      </c>
      <c r="H27" s="481">
        <f t="shared" si="8"/>
        <v>1585.9238899438481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9898.6577503858334</v>
      </c>
    </row>
    <row r="28" spans="1:17">
      <c r="A28" s="476" t="s">
        <v>554</v>
      </c>
      <c r="B28" s="477">
        <f t="shared" ca="1" si="2"/>
        <v>0</v>
      </c>
      <c r="C28" s="477">
        <f t="shared" ca="1" si="3"/>
        <v>0</v>
      </c>
      <c r="D28" s="477">
        <f t="shared" si="4"/>
        <v>0</v>
      </c>
      <c r="E28" s="477">
        <f t="shared" si="5"/>
        <v>0</v>
      </c>
      <c r="F28" s="477">
        <f t="shared" si="6"/>
        <v>0</v>
      </c>
      <c r="G28" s="477">
        <f t="shared" si="7"/>
        <v>41.331089567093969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41.331089567093969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116.34561034238594</v>
      </c>
      <c r="C32" s="477">
        <f t="shared" ca="1" si="3"/>
        <v>0</v>
      </c>
      <c r="D32" s="477">
        <f t="shared" si="4"/>
        <v>96.425696187240007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212.77130652962595</v>
      </c>
    </row>
    <row r="33" spans="1:17" s="486" customFormat="1">
      <c r="A33" s="1038" t="s">
        <v>558</v>
      </c>
      <c r="B33" s="978">
        <f ca="1">SUM(B22:B32)</f>
        <v>5856.3686223770719</v>
      </c>
      <c r="C33" s="978">
        <f t="shared" ref="C33:Q33" ca="1" si="18">SUM(C22:C32)</f>
        <v>0</v>
      </c>
      <c r="D33" s="978">
        <f t="shared" ca="1" si="18"/>
        <v>8875.8534955058167</v>
      </c>
      <c r="E33" s="978">
        <f t="shared" si="18"/>
        <v>1035.2023354762719</v>
      </c>
      <c r="F33" s="978">
        <f t="shared" ca="1" si="18"/>
        <v>8079.652935699346</v>
      </c>
      <c r="G33" s="978">
        <f t="shared" si="18"/>
        <v>8327.0264407506147</v>
      </c>
      <c r="H33" s="978">
        <f t="shared" si="18"/>
        <v>1585.9238899438481</v>
      </c>
      <c r="I33" s="978">
        <f t="shared" si="18"/>
        <v>0</v>
      </c>
      <c r="J33" s="978">
        <f t="shared" si="18"/>
        <v>776.90055518018482</v>
      </c>
      <c r="K33" s="978">
        <f t="shared" si="18"/>
        <v>0</v>
      </c>
      <c r="L33" s="978">
        <f t="shared" ca="1" si="18"/>
        <v>0</v>
      </c>
      <c r="M33" s="978">
        <f t="shared" si="18"/>
        <v>0</v>
      </c>
      <c r="N33" s="978">
        <f t="shared" ca="1" si="18"/>
        <v>0</v>
      </c>
      <c r="O33" s="978">
        <f t="shared" si="18"/>
        <v>0</v>
      </c>
      <c r="P33" s="978">
        <f t="shared" si="18"/>
        <v>0</v>
      </c>
      <c r="Q33" s="978">
        <f t="shared" ca="1" si="18"/>
        <v>34536.928274933154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3390.1650155990064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3433.8150155990065</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0.19564779584064459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0.19564779584064459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2019-08-12T08:24:55Z</dcterms:modified>
</cp:coreProperties>
</file>