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<sst xmlns="http://schemas.openxmlformats.org/spreadsheetml/2006/main" count="2392" uniqueCount="890">
  <si>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</si>
  <si>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</si>
  <si>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</si>
  <si>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</si>
  <si>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</si>
  <si>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</si>
  <si>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</si>
  <si>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</si>
  <si>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</si>
  <si>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</si>
  <si>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</si>
  <si>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</si>
  <si>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</si>
  <si>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</si>
  <si>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</si>
  <si>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</si>
  <si>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</si>
  <si>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</si>
  <si>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</si>
  <si>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</si>
  <si>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</si>
  <si>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</si>
  <si>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</si>
  <si>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</si>
  <si>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</si>
  <si>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</si>
  <si>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</si>
  <si>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</si>
  <si>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</si>
  <si>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</si>
  <si>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</si>
  <si>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</si>
  <si>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</si>
  <si>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</si>
  <si>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</si>
  <si>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</si>
  <si>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</si>
  <si>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</si>
  <si>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</si>
  <si>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</si>
  <si>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</si>
  <si>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</si>
  <si>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</si>
  <si>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</si>
  <si>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</si>
  <si>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</si>
  <si>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</si>
  <si>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</si>
  <si>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</si>
  <si>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</si>
  <si>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</si>
  <si>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</si>
  <si>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</si>
  <si>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</si>
  <si>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</si>
  <si>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</si>
  <si>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</si>
  <si>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</si>
  <si>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</si>
  <si>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</si>
  <si>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</si>
  <si>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</si>
  <si>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</si>
  <si>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</si>
  <si>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</si>
  <si>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</si>
  <si>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</si>
  <si>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</si>
  <si>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</si>
  <si>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</si>
  <si>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</si>
  <si>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</si>
  <si>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</si>
  <si>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</si>
  <si>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</si>
  <si>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</si>
  <si>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</si>
  <si>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</si>
  <si>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</si>
  <si>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</si>
  <si>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</si>
  <si>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</si>
  <si>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</si>
  <si>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</si>
  <si>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</si>
  <si>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</si>
  <si>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</si>
  <si>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</si>
  <si>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</si>
  <si>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</si>
  <si>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</si>
  <si>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</si>
  <si>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</si>
  <si>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</si>
  <si>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</si>
  <si>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</si>
  <si>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</si>
  <si>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</si>
  <si>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</si>
  <si>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</si>
  <si>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</si>
  <si>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</si>
  <si>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</si>
  <si>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</si>
  <si>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</si>
  <si>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</si>
  <si>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</si>
  <si>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</si>
  <si>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</si>
  <si>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</si>
  <si>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</si>
  <si>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</si>
  <si>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</si>
  <si>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</si>
  <si>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</si>
  <si>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</si>
  <si>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</si>
  <si>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</si>
  <si>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</si>
  <si>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</si>
  <si>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</si>
  <si>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</si>
  <si>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</si>
  <si>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</si>
  <si>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</si>
  <si>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</si>
  <si>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</si>
  <si>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</si>
  <si>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</si>
  <si>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</si>
  <si>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</si>
  <si>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</si>
  <si>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</si>
  <si>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</si>
  <si>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</si>
  <si>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</si>
  <si>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</si>
  <si>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</si>
  <si>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</si>
  <si>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</si>
  <si>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</si>
  <si>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</si>
  <si>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</si>
  <si>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</si>
  <si>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</si>
  <si>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</si>
  <si>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</si>
  <si>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</si>
  <si>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</si>
  <si>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</si>
  <si>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</si>
  <si>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</si>
  <si>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</si>
  <si>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</si>
  <si>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</si>
  <si>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</si>
  <si>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</si>
  <si>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</si>
  <si>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</si>
  <si>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</si>
  <si>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</si>
  <si>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</si>
  <si>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</si>
  <si>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</si>
  <si>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</si>
  <si>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</si>
  <si>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</si>
  <si>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</si>
  <si>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</si>
  <si>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</si>
  <si>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</si>
  <si>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</si>
  <si>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</si>
  <si>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</si>
  <si>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</si>
  <si>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</si>
  <si>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</si>
  <si>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</si>
  <si>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</si>
  <si>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</si>
  <si>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</si>
  <si>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</si>
  <si>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</si>
  <si>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</si>
  <si>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</si>
  <si>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</si>
  <si>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</si>
  <si>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</si>
  <si>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</si>
  <si>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</si>
  <si>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</si>
  <si>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</si>
  <si>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</si>
  <si>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</si>
  <si>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</si>
  <si>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</si>
  <si>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</si>
  <si>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</si>
  <si>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</si>
  <si>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</si>
  <si>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</si>
  <si>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</si>
  <si>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</si>
  <si>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</si>
  <si>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</si>
  <si>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</si>
  <si>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</si>
  <si>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</si>
  <si>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</si>
  <si>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</si>
  <si>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</si>
  <si>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</si>
  <si>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</si>
  <si>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</si>
  <si>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</si>
  <si>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</si>
  <si>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</si>
  <si>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</si>
  <si>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</si>
  <si>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</si>
  <si>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</si>
  <si>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</si>
  <si>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</si>
  <si>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</si>
  <si>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</si>
  <si>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</si>
  <si>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</si>
  <si>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</si>
  <si>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</si>
  <si>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</si>
  <si>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</si>
  <si>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</si>
  <si>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</si>
  <si>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</si>
  <si>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</si>
  <si>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</si>
  <si>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</si>
  <si>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</si>
  <si>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</si>
  <si>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</si>
  <si>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</si>
  <si>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</si>
  <si>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</si>
  <si>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</si>
  <si>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</si>
  <si>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</si>
  <si>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</si>
  <si>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</si>
  <si>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</si>
  <si>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</si>
  <si>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</si>
  <si>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</si>
  <si>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</si>
  <si>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</si>
  <si>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</si>
  <si>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</si>
  <si>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</si>
  <si>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</si>
  <si>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</si>
  <si>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</si>
  <si>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</si>
  <si>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</si>
  <si>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</si>
  <si>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</si>
  <si>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</si>
  <si>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</si>
  <si>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</si>
  <si>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</si>
  <si>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</si>
  <si>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</si>
  <si>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</si>
  <si>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</si>
  <si>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</si>
  <si>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</si>
  <si>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</si>
  <si>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</si>
  <si>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</si>
  <si>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</si>
  <si>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</si>
  <si>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</si>
  <si>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</si>
  <si>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</si>
  <si>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</si>
  <si>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</si>
  <si>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</si>
  <si>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</si>
  <si>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</si>
  <si>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</si>
  <si>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</si>
  <si>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</si>
  <si>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</si>
  <si>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</si>
  <si>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</si>
  <si>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</si>
  <si>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</si>
  <si>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</si>
  <si>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</si>
  <si>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</si>
  <si>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</si>
  <si>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</si>
  <si>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</si>
  <si>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</si>
  <si>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</si>
  <si>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</si>
  <si>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</si>
  <si>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</si>
  <si>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</si>
  <si>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</si>
  <si>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</si>
  <si>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</si>
  <si>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</si>
  <si>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</si>
  <si>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</si>
  <si>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</si>
  <si>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</si>
  <si>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</si>
  <si>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</si>
  <si>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</si>
  <si>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</si>
  <si>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</si>
  <si>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</si>
  <si>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</si>
  <si>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</si>
  <si>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</si>
  <si>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</si>
  <si>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</si>
  <si>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</si>
  <si>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</si>
  <si>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</si>
  <si>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</si>
  <si>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</si>
  <si>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</si>
  <si>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</si>
  <si>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</si>
  <si>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</si>
  <si>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</si>
  <si>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</si>
  <si>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</si>
  <si>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</si>
  <si>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</si>
  <si>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</si>
  <si>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</si>
  <si>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</si>
  <si>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</si>
  <si>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</si>
  <si>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</si>
  <si>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</si>
  <si>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</si>
  <si>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</si>
  <si>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</si>
  <si>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</si>
  <si>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</si>
  <si>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</si>
  <si>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</si>
  <si>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</si>
  <si>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</si>
  <si>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</si>
  <si>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</si>
  <si>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</si>
  <si>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</si>
  <si>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</si>
  <si>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</si>
  <si>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</si>
  <si>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</si>
  <si>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</si>
  <si>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</si>
  <si>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</si>
  <si>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</si>
  <si>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</si>
  <si>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</si>
  <si>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</si>
  <si>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</si>
  <si>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</si>
  <si>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</si>
  <si>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</si>
  <si>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</si>
  <si>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</si>
  <si>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</si>
  <si>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</si>
  <si>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</si>
  <si>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</si>
  <si>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</si>
  <si>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</si>
  <si>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</si>
  <si>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</si>
  <si>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</si>
  <si>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</si>
  <si>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</si>
  <si>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</si>
  <si>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</si>
  <si>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</si>
  <si>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</si>
  <si>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</si>
  <si>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</si>
  <si>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</si>
  <si>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</si>
  <si>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</si>
  <si>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</si>
  <si>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</si>
  <si>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</si>
  <si>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</si>
  <si>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</si>
  <si>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</si>
  <si>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</si>
  <si>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</si>
  <si>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</si>
  <si>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</si>
  <si>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</si>
  <si>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</si>
  <si>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</si>
  <si>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</si>
  <si>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</si>
  <si>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</si>
  <si>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</si>
  <si>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</si>
  <si>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</si>
  <si>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</si>
  <si>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</si>
  <si>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</si>
  <si>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</si>
  <si>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</si>
  <si>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</si>
  <si>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</si>
  <si>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</si>
  <si>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</si>
  <si>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</si>
  <si>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</si>
  <si>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</si>
  <si>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</si>
  <si>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</si>
  <si>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</si>
  <si>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</si>
  <si>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</si>
  <si>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</si>
  <si>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</si>
  <si>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</si>
  <si>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</si>
  <si>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</si>
  <si>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</si>
  <si>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</si>
  <si>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</si>
  <si>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</si>
  <si>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</si>
  <si>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</si>
  <si>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</si>
  <si>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</si>
  <si>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</si>
  <si>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</si>
  <si>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</si>
  <si>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</si>
  <si>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</si>
  <si>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</si>
  <si>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</si>
  <si>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</si>
  <si>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</si>
  <si>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</si>
  <si>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</si>
  <si>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</si>
  <si>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</si>
  <si>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</si>
  <si>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</si>
  <si>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</si>
  <si>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</si>
  <si>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</si>
  <si>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</si>
  <si>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</si>
  <si>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</si>
  <si>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</si>
  <si>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</si>
  <si>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</si>
  <si>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</si>
  <si>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</si>
  <si>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</si>
  <si>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</si>
  <si>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</si>
  <si>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</si>
  <si>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</si>
  <si>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</si>
  <si>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</si>
  <si>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</si>
  <si>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</si>
  <si>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</si>
  <si>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</si>
  <si>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</si>
  <si>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</si>
  <si>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</si>
  <si>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</si>
  <si>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</si>
  <si>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</si>
  <si>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</si>
  <si>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</si>
  <si>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</si>
  <si>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</si>
  <si>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</si>
  <si>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</si>
  <si>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</si>
  <si>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</si>
  <si>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</si>
  <si>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</si>
  <si>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</si>
  <si>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</si>
  <si>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</si>
  <si>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</si>
  <si>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</si>
  <si>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</si>
  <si>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</si>
  <si>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</si>
  <si>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</si>
  <si>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</si>
  <si>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</si>
  <si>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</si>
  <si>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</si>
  <si>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</si>
  <si>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</si>
  <si>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</si>
  <si>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</si>
  <si>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</si>
  <si>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</si>
  <si>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</si>
  <si>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</si>
  <si>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</si>
  <si>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</si>
  <si>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</si>
  <si>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</si>
  <si>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</si>
  <si>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</si>
  <si>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</si>
  <si>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</si>
  <si>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</si>
  <si>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</si>
  <si>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</si>
  <si>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</si>
  <si>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</si>
  <si>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</si>
  <si>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</si>
  <si>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</si>
  <si>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</si>
  <si>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</si>
  <si>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</si>
  <si>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</si>
  <si>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</si>
  <si>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</si>
  <si>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</si>
  <si>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</si>
  <si>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</si>
  <si>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</si>
  <si>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</si>
  <si>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</si>
  <si>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</si>
  <si>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</si>
  <si>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</si>
  <si>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</si>
  <si>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</si>
  <si>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</si>
  <si>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</si>
  <si>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</si>
  <si>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</si>
  <si>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</si>
  <si>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</si>
  <si>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</si>
  <si>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</si>
  <si>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</si>
  <si>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</si>
  <si>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</si>
  <si>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</si>
  <si>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</si>
  <si>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</si>
  <si>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</si>
  <si>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</si>
  <si>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</si>
  <si>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</si>
  <si>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</si>
  <si>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</si>
  <si>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</si>
  <si>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</si>
  <si>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</si>
  <si>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</si>
  <si>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</si>
  <si>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</si>
  <si>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</si>
  <si>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</si>
  <si>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</si>
  <si>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</si>
  <si>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</si>
  <si>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</si>
  <si>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</si>
  <si>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</si>
  <si>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</si>
  <si>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</si>
  <si>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</si>
  <si>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</si>
  <si>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</si>
  <si>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</si>
  <si>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</si>
  <si>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</si>
  <si>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</si>
  <si>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</si>
  <si>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</si>
  <si>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</si>
  <si>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</si>
  <si>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</si>
  <si>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</si>
  <si>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</si>
  <si>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</si>
  <si>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</si>
  <si>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</si>
  <si>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</si>
  <si>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</si>
  <si>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</si>
  <si>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</si>
  <si>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</si>
  <si>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</si>
  <si>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</si>
  <si>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</si>
  <si>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</si>
  <si>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</si>
  <si>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</si>
  <si>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</si>
  <si>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</si>
  <si>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</si>
  <si>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</si>
  <si>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</si>
  <si>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</si>
  <si>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</si>
  <si>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</si>
  <si>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</si>
  <si>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</si>
  <si>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</si>
  <si>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</si>
  <si>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</si>
  <si>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</si>
  <si>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</si>
  <si>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</si>
  <si>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</si>
  <si>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</si>
  <si>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</si>
  <si>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</si>
  <si>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</si>
  <si>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</si>
  <si>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</si>
  <si>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</si>
  <si>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</si>
  <si>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</si>
  <si>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</si>
  <si>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</si>
  <si>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</si>
  <si>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</si>
  <si>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</si>
  <si>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</si>
  <si>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</si>
  <si>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</si>
  <si>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</si>
  <si>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</si>
  <si>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</si>
  <si>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</si>
  <si>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</si>
  <si>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</si>
  <si>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</si>
  <si>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</si>
  <si>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</si>
  <si>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</si>
  <si>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</si>
  <si>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</si>
  <si>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</si>
  <si>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</si>
  <si>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</si>
  <si>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</si>
  <si>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</si>
  <si>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</si>
  <si>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</si>
  <si>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</si>
  <si>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</si>
  <si>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</si>
  <si>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</si>
  <si>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</si>
  <si>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</si>
  <si>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</si>
  <si>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</si>
  <si>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</si>
  <si>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</si>
  <si>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</si>
  <si>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</si>
  <si>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</si>
  <si>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</si>
  <si>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</si>
  <si>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</si>
  <si>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</si>
  <si>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</si>
  <si>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</si>
  <si>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</si>
  <si>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</si>
  <si>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</si>
  <si>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</si>
  <si>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</si>
  <si>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</si>
  <si>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</si>
  <si>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</si>
  <si>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</si>
  <si>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</si>
  <si>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</si>
  <si>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</si>
  <si>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</si>
  <si>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</si>
  <si>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</si>
  <si>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</si>
  <si>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</si>
  <si>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</si>
  <si>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</si>
  <si>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</si>
  <si>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</si>
  <si>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</si>
  <si>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</si>
  <si>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</si>
  <si>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</si>
  <si>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</si>
  <si>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</si>
  <si>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</si>
  <si>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</si>
  <si>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</si>
  <si>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</si>
  <si>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</si>
  <si>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</si>
  <si>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</si>
  <si>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</si>
  <si>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</si>
  <si>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</si>
  <si>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</si>
  <si>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</si>
  <si>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</si>
  <si>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</si>
  <si>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</si>
  <si>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</si>
  <si>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</si>
  <si>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</si>
  <si>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</si>
  <si>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</si>
  <si>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</si>
  <si>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</si>
  <si>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</si>
  <si>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</si>
  <si>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</si>
  <si>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</si>
  <si>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</si>
  <si>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</si>
  <si>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</si>
  <si>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</si>
  <si>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</si>
  <si>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</si>
  <si>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</si>
  <si>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</si>
  <si>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</si>
  <si>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</si>
  <si>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</si>
  <si>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</si>
  <si>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</si>
  <si>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</si>
  <si>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</si>
  <si>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</si>
  <si>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</si>
  <si>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</si>
  <si>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</si>
  <si>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</si>
  <si>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</si>
  <si>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</si>
  <si>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</si>
  <si>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</si>
  <si>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</si>
  <si>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</si>
  <si>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</si>
  <si>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</si>
  <si>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</si>
  <si>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</si>
  <si>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</si>
  <si>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</si>
  <si>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</si>
  <si>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</si>
  <si>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</si>
  <si>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</si>
  <si>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</si>
  <si>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</si>
  <si>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</si>
  <si>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</si>
  <si>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</si>
  <si>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</si>
  <si>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</si>
  <si>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</si>
  <si>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</si>
  <si>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</si>
  <si>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</si>
  <si>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</si>
  <si>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</si>
  <si>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</si>
  <si>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</si>
  <si>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</si>
  <si>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</si>
  <si>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</si>
  <si>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</si>
  <si>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</si>
  <si>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</si>
  <si>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</si>
  <si>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</si>
  <si>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</si>
  <si>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</si>
  <si>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</si>
  <si>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</si>
  <si>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</si>
  <si>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</si>
  <si>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</si>
  <si>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</si>
  <si>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</si>
  <si>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</si>
  <si>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</si>
  <si>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</si>
  <si>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</si>
  <si>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</si>
  <si>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</si>
  <si>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</si>
  <si>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</si>
  <si>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</si>
  <si>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</si>
  <si>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</si>
  <si>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</si>
  <si>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</si>
  <si>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</si>
  <si>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</si>
  <si>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</si>
  <si>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</si>
  <si>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</si>
  <si>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</si>
  <si>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</si>
  <si>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</si>
  <si>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</si>
  <si>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</si>
  <si>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</si>
  <si>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</si>
  <si>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</si>
  <si>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</si>
  <si>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</si>
  <si>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</si>
  <si>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</si>
  <si>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</si>
  <si>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</si>
  <si>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</si>
  <si>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</si>
  <si>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</si>
  <si>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</si>
  <si>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</si>
  <si>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</si>
  <si>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</si>
  <si>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</si>
  <si>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</si>
  <si>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</si>
  <si>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</si>
  <si>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</si>
  <si>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</si>
  <si>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</si>
  <si>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</si>
  <si>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</si>
  <si>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</si>
  <si>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</si>
  <si>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</si>
  <si>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</si>
  <si>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</si>
  <si>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</si>
  <si>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</si>
  <si>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</si>
  <si>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</si>
  <si>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</si>
  <si>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</si>
  <si>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</si>
  <si>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</si>
  <si>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</si>
  <si>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</si>
  <si>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</si>
  <si>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</si>
  <si>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</si>
  <si>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</si>
  <si>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</si>
  <si>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</si>
  <si>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</si>
  <si>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</si>
  <si>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</si>
  <si>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37007</t>
  </si>
  <si>
    <t>MEULEBEKE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</si>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</sst>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92275.733676318225</c:v>
                </c:pt>
                <c:pt idx="1">
                  <c:v>32298.774858100103</c:v>
                </c:pt>
                <c:pt idx="2">
                  <c:v>686.19299999999998</c:v>
                </c:pt>
                <c:pt idx="3">
                  <c:v>18698.438525536931</c:v>
                </c:pt>
                <c:pt idx="4">
                  <c:v>59867.620177317796</c:v>
                </c:pt>
                <c:pt idx="5">
                  <c:v>41185.911109072404</c:v>
                </c:pt>
                <c:pt idx="6">
                  <c:v>407.08911683484922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13056"/>
        <c:axId val="182814592"/>
      </c:barChart>
      <c:catAx>
        <c:axId val="182813056"/>
        <c:scaling>
          <c:orientation val="minMax"/>
        </c:scaling>
        <c:axPos val="b"/>
        <c:numFmt formatCode="General" sourceLinked="0"/>
        <c:tickLblPos val="nextTo"/>
        <c:crossAx val="182814592"/>
        <c:crosses val="autoZero"/>
        <c:auto val="1"/>
        <c:lblAlgn val="ctr"/>
        <c:lblOffset val="100"/>
      </c:catAx>
      <c:valAx>
        <c:axId val="182814592"/>
        <c:scaling>
          <c:orientation val="minMax"/>
        </c:scaling>
        <c:axPos val="l"/>
        <c:majorGridlines/>
        <c:numFmt formatCode="#,##0" sourceLinked="1"/>
        <c:tickLblPos val="nextTo"/>
        <c:crossAx val="182813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92275.733676318225</c:v>
                </c:pt>
                <c:pt idx="1">
                  <c:v>32298.774858100103</c:v>
                </c:pt>
                <c:pt idx="2">
                  <c:v>686.19299999999998</c:v>
                </c:pt>
                <c:pt idx="3">
                  <c:v>18698.438525536931</c:v>
                </c:pt>
                <c:pt idx="4">
                  <c:v>59867.620177317796</c:v>
                </c:pt>
                <c:pt idx="5">
                  <c:v>41185.911109072404</c:v>
                </c:pt>
                <c:pt idx="6">
                  <c:v>407.08911683484922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17882.416646124395</c:v>
                </c:pt>
                <c:pt idx="2">
                  <c:v>6373.6049787290322</c:v>
                </c:pt>
                <c:pt idx="3">
                  <c:v>135.31964855061054</c:v>
                </c:pt>
                <c:pt idx="4">
                  <c:v>4760.2397545317572</c:v>
                </c:pt>
                <c:pt idx="5">
                  <c:v>11779.174502663447</c:v>
                </c:pt>
                <c:pt idx="6">
                  <c:v>10542.036917432419</c:v>
                </c:pt>
                <c:pt idx="7">
                  <c:v>105.42281434398622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35232"/>
        <c:axId val="183169792"/>
      </c:barChart>
      <c:catAx>
        <c:axId val="183135232"/>
        <c:scaling>
          <c:orientation val="minMax"/>
        </c:scaling>
        <c:axPos val="b"/>
        <c:numFmt formatCode="General" sourceLinked="0"/>
        <c:tickLblPos val="nextTo"/>
        <c:crossAx val="183169792"/>
        <c:crosses val="autoZero"/>
        <c:auto val="1"/>
        <c:lblAlgn val="ctr"/>
        <c:lblOffset val="100"/>
      </c:catAx>
      <c:valAx>
        <c:axId val="183169792"/>
        <c:scaling>
          <c:orientation val="minMax"/>
        </c:scaling>
        <c:axPos val="l"/>
        <c:majorGridlines/>
        <c:numFmt formatCode="#,##0" sourceLinked="1"/>
        <c:tickLblPos val="nextTo"/>
        <c:crossAx val="18313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17882.416646124395</c:v>
                </c:pt>
                <c:pt idx="2">
                  <c:v>6373.6049787290322</c:v>
                </c:pt>
                <c:pt idx="3">
                  <c:v>135.31964855061054</c:v>
                </c:pt>
                <c:pt idx="4">
                  <c:v>4760.2397545317572</c:v>
                </c:pt>
                <c:pt idx="5">
                  <c:v>11779.174502663447</c:v>
                </c:pt>
                <c:pt idx="6">
                  <c:v>10542.036917432419</c:v>
                </c:pt>
                <c:pt idx="7">
                  <c:v>105.42281434398622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37007</v>
      </c>
      <c r="B6" s="415"/>
      <c r="C6" s="416"/>
    </row>
    <row r="7" spans="1:7" s="413" customFormat="1" ht="15.75" customHeight="1">
      <c r="A7" s="417" t="str">
        <f>txtMunicipality</f>
        <v>MEULEBEKE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0.1972034814558157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0.1972034814558157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4601</v>
      </c>
      <c r="C9" s="342">
        <v>4782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1935.64</v>
      </c>
    </row>
    <row r="15" spans="1:6">
      <c r="A15" s="348" t="s">
        <v>184</v>
      </c>
      <c r="B15" s="334">
        <v>17</v>
      </c>
    </row>
    <row r="16" spans="1:6">
      <c r="A16" s="348" t="s">
        <v>6</v>
      </c>
      <c r="B16" s="334">
        <v>354</v>
      </c>
    </row>
    <row r="17" spans="1:6">
      <c r="A17" s="348" t="s">
        <v>7</v>
      </c>
      <c r="B17" s="334">
        <v>866</v>
      </c>
    </row>
    <row r="18" spans="1:6">
      <c r="A18" s="348" t="s">
        <v>8</v>
      </c>
      <c r="B18" s="334">
        <v>862</v>
      </c>
    </row>
    <row r="19" spans="1:6">
      <c r="A19" s="348" t="s">
        <v>9</v>
      </c>
      <c r="B19" s="334">
        <v>882</v>
      </c>
    </row>
    <row r="20" spans="1:6">
      <c r="A20" s="348" t="s">
        <v>10</v>
      </c>
      <c r="B20" s="334">
        <v>574</v>
      </c>
    </row>
    <row r="21" spans="1:6">
      <c r="A21" s="348" t="s">
        <v>11</v>
      </c>
      <c r="B21" s="334">
        <v>10374</v>
      </c>
    </row>
    <row r="22" spans="1:6">
      <c r="A22" s="348" t="s">
        <v>12</v>
      </c>
      <c r="B22" s="334">
        <v>39502</v>
      </c>
    </row>
    <row r="23" spans="1:6">
      <c r="A23" s="348" t="s">
        <v>13</v>
      </c>
      <c r="B23" s="334">
        <v>477</v>
      </c>
    </row>
    <row r="24" spans="1:6">
      <c r="A24" s="348" t="s">
        <v>14</v>
      </c>
      <c r="B24" s="334">
        <v>14</v>
      </c>
    </row>
    <row r="25" spans="1:6">
      <c r="A25" s="348" t="s">
        <v>15</v>
      </c>
      <c r="B25" s="334">
        <v>2432</v>
      </c>
    </row>
    <row r="26" spans="1:6">
      <c r="A26" s="348" t="s">
        <v>16</v>
      </c>
      <c r="B26" s="334">
        <v>30</v>
      </c>
    </row>
    <row r="27" spans="1:6">
      <c r="A27" s="348" t="s">
        <v>17</v>
      </c>
      <c r="B27" s="334">
        <v>0</v>
      </c>
    </row>
    <row r="28" spans="1:6" s="356" customFormat="1">
      <c r="A28" s="355" t="s">
        <v>18</v>
      </c>
      <c r="B28" s="355">
        <v>135619</v>
      </c>
    </row>
    <row r="29" spans="1:6">
      <c r="A29" s="355" t="s">
        <v>884</v>
      </c>
      <c r="B29" s="355">
        <v>32</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0</v>
      </c>
      <c r="F38" s="334">
        <v>0</v>
      </c>
    </row>
    <row r="39" spans="1:6">
      <c r="A39" s="348" t="s">
        <v>30</v>
      </c>
      <c r="B39" s="348" t="s">
        <v>31</v>
      </c>
      <c r="C39" s="334">
        <v>2679</v>
      </c>
      <c r="D39" s="334">
        <v>39381696.215000004</v>
      </c>
      <c r="E39" s="334">
        <v>4176</v>
      </c>
      <c r="F39" s="334">
        <v>15862608.096000001</v>
      </c>
    </row>
    <row r="40" spans="1:6">
      <c r="A40" s="348" t="s">
        <v>30</v>
      </c>
      <c r="B40" s="348" t="s">
        <v>29</v>
      </c>
      <c r="C40" s="334">
        <v>0</v>
      </c>
      <c r="D40" s="334">
        <v>0</v>
      </c>
      <c r="E40" s="334">
        <v>0</v>
      </c>
      <c r="F40" s="334">
        <v>0</v>
      </c>
    </row>
    <row r="41" spans="1:6">
      <c r="A41" s="348" t="s">
        <v>32</v>
      </c>
      <c r="B41" s="348" t="s">
        <v>33</v>
      </c>
      <c r="C41" s="334">
        <v>65</v>
      </c>
      <c r="D41" s="334">
        <v>1406066.9521000001</v>
      </c>
      <c r="E41" s="334">
        <v>177</v>
      </c>
      <c r="F41" s="334">
        <v>2156903.3574000001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123634.82971000001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32741.411414999999</v>
      </c>
      <c r="E47" s="334">
        <v>7</v>
      </c>
      <c r="F47" s="334">
        <v>30238.940708999999</v>
      </c>
    </row>
    <row r="48" spans="1:6">
      <c r="A48" s="348" t="s">
        <v>32</v>
      </c>
      <c r="B48" s="348" t="s">
        <v>29</v>
      </c>
      <c r="C48" s="334">
        <v>36</v>
      </c>
      <c r="D48" s="334">
        <v>29978781.919</v>
      </c>
      <c r="E48" s="334">
        <v>48</v>
      </c>
      <c r="F48" s="334">
        <v>7963678.9008999998</v>
      </c>
    </row>
    <row r="49" spans="1:6">
      <c r="A49" s="348" t="s">
        <v>32</v>
      </c>
      <c r="B49" s="348" t="s">
        <v>40</v>
      </c>
      <c r="C49" s="334">
        <v>0</v>
      </c>
      <c r="D49" s="334">
        <v>0</v>
      </c>
      <c r="E49" s="334">
        <v>5</v>
      </c>
      <c r="F49" s="334">
        <v>11916737.569</v>
      </c>
    </row>
    <row r="50" spans="1:6">
      <c r="A50" s="348" t="s">
        <v>32</v>
      </c>
      <c r="B50" s="348" t="s">
        <v>41</v>
      </c>
      <c r="C50" s="334">
        <v>10</v>
      </c>
      <c r="D50" s="334">
        <v>566306.55483000004</v>
      </c>
      <c r="E50" s="334">
        <v>21</v>
      </c>
      <c r="F50" s="334">
        <v>674937.85308000003</v>
      </c>
    </row>
    <row r="51" spans="1:6">
      <c r="A51" s="348" t="s">
        <v>42</v>
      </c>
      <c r="B51" s="348" t="s">
        <v>43</v>
      </c>
      <c r="C51" s="334">
        <v>6</v>
      </c>
      <c r="D51" s="334">
        <v>115897.16853</v>
      </c>
      <c r="E51" s="334">
        <v>141</v>
      </c>
      <c r="F51" s="334">
        <v>3561263.3714999999</v>
      </c>
    </row>
    <row r="52" spans="1:6">
      <c r="A52" s="348" t="s">
        <v>42</v>
      </c>
      <c r="B52" s="348" t="s">
        <v>29</v>
      </c>
      <c r="C52" s="334">
        <v>3</v>
      </c>
      <c r="D52" s="334">
        <v>16028.019178</v>
      </c>
      <c r="E52" s="334">
        <v>7</v>
      </c>
      <c r="F52" s="334">
        <v>289446.21668000001</v>
      </c>
    </row>
    <row r="53" spans="1:6">
      <c r="A53" s="348" t="s">
        <v>44</v>
      </c>
      <c r="B53" s="348" t="s">
        <v>45</v>
      </c>
      <c r="C53" s="334">
        <v>64</v>
      </c>
      <c r="D53" s="334">
        <v>1005179.5736</v>
      </c>
      <c r="E53" s="334">
        <v>121</v>
      </c>
      <c r="F53" s="334">
        <v>458521.91355</v>
      </c>
    </row>
    <row r="54" spans="1:6">
      <c r="A54" s="348" t="s">
        <v>46</v>
      </c>
      <c r="B54" s="348" t="s">
        <v>47</v>
      </c>
      <c r="C54" s="334">
        <v>0</v>
      </c>
      <c r="D54" s="334">
        <v>0</v>
      </c>
      <c r="E54" s="334">
        <v>1</v>
      </c>
      <c r="F54" s="334">
        <v>686193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453268.15142000001</v>
      </c>
      <c r="E57" s="334">
        <v>63</v>
      </c>
      <c r="F57" s="334">
        <v>1299903.1103999999</v>
      </c>
    </row>
    <row r="58" spans="1:6">
      <c r="A58" s="348" t="s">
        <v>49</v>
      </c>
      <c r="B58" s="348" t="s">
        <v>51</v>
      </c>
      <c r="C58" s="334">
        <v>9</v>
      </c>
      <c r="D58" s="334">
        <v>275157.37495000003</v>
      </c>
      <c r="E58" s="334">
        <v>16</v>
      </c>
      <c r="F58" s="334">
        <v>102690.46918</v>
      </c>
    </row>
    <row r="59" spans="1:6">
      <c r="A59" s="348" t="s">
        <v>49</v>
      </c>
      <c r="B59" s="348" t="s">
        <v>52</v>
      </c>
      <c r="C59" s="334">
        <v>41</v>
      </c>
      <c r="D59" s="334">
        <v>1258188.223</v>
      </c>
      <c r="E59" s="334">
        <v>134</v>
      </c>
      <c r="F59" s="334">
        <v>3525817.5690000001</v>
      </c>
    </row>
    <row r="60" spans="1:6">
      <c r="A60" s="348" t="s">
        <v>49</v>
      </c>
      <c r="B60" s="348" t="s">
        <v>53</v>
      </c>
      <c r="C60" s="334">
        <v>27</v>
      </c>
      <c r="D60" s="334">
        <v>779625.28501999995</v>
      </c>
      <c r="E60" s="334">
        <v>48</v>
      </c>
      <c r="F60" s="334">
        <v>699394.65182999999</v>
      </c>
    </row>
    <row r="61" spans="1:6">
      <c r="A61" s="348" t="s">
        <v>49</v>
      </c>
      <c r="B61" s="348" t="s">
        <v>54</v>
      </c>
      <c r="C61" s="334">
        <v>86</v>
      </c>
      <c r="D61" s="334">
        <v>5670310.5429999996</v>
      </c>
      <c r="E61" s="334">
        <v>177</v>
      </c>
      <c r="F61" s="334">
        <v>2148035.5962</v>
      </c>
    </row>
    <row r="62" spans="1:6">
      <c r="A62" s="348" t="s">
        <v>49</v>
      </c>
      <c r="B62" s="348" t="s">
        <v>55</v>
      </c>
      <c r="C62" s="334">
        <v>7</v>
      </c>
      <c r="D62" s="334">
        <v>570830.24754999997</v>
      </c>
      <c r="E62" s="334">
        <v>9</v>
      </c>
      <c r="F62" s="334">
        <v>116283.78301</v>
      </c>
    </row>
    <row r="63" spans="1:6">
      <c r="A63" s="348" t="s">
        <v>49</v>
      </c>
      <c r="B63" s="348" t="s">
        <v>29</v>
      </c>
      <c r="C63" s="334">
        <v>80</v>
      </c>
      <c r="D63" s="334">
        <v>5685523.7547000004</v>
      </c>
      <c r="E63" s="334">
        <v>96</v>
      </c>
      <c r="F63" s="334">
        <v>5907376.9217999997</v>
      </c>
    </row>
    <row r="64" spans="1:6">
      <c r="A64" s="348" t="s">
        <v>56</v>
      </c>
      <c r="B64" s="348" t="s">
        <v>57</v>
      </c>
      <c r="C64" s="334">
        <v>0</v>
      </c>
      <c r="D64" s="334">
        <v>0</v>
      </c>
      <c r="E64" s="334">
        <v>0</v>
      </c>
      <c r="F64" s="334">
        <v>0</v>
      </c>
    </row>
    <row r="65" spans="1:6">
      <c r="A65" s="348" t="s">
        <v>56</v>
      </c>
      <c r="B65" s="348" t="s">
        <v>29</v>
      </c>
      <c r="C65" s="334">
        <v>0</v>
      </c>
      <c r="D65" s="334">
        <v>0</v>
      </c>
      <c r="E65" s="334">
        <v>2</v>
      </c>
      <c r="F65" s="334">
        <v>5773.6314168999997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94288.991278000001</v>
      </c>
      <c r="E68" s="334">
        <v>11</v>
      </c>
      <c r="F68" s="334">
        <v>120972.36373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23169819</v>
      </c>
      <c r="E73" s="475">
        <v>21198987.585584331</v>
      </c>
    </row>
    <row r="74" spans="1:6">
      <c r="A74" s="348" t="s">
        <v>64</v>
      </c>
      <c r="B74" s="348" t="s">
        <v>667</v>
      </c>
      <c r="C74" s="1294" t="s">
        <v>669</v>
      </c>
      <c r="D74" s="475">
        <v>2564885.7065499411</v>
      </c>
      <c r="E74" s="475">
        <v>2415558.6118514398</v>
      </c>
    </row>
    <row r="75" spans="1:6">
      <c r="A75" s="348" t="s">
        <v>65</v>
      </c>
      <c r="B75" s="348" t="s">
        <v>666</v>
      </c>
      <c r="C75" s="1294" t="s">
        <v>670</v>
      </c>
      <c r="D75" s="475">
        <v>16378195</v>
      </c>
      <c r="E75" s="475">
        <v>14768743.286150454</v>
      </c>
    </row>
    <row r="76" spans="1:6">
      <c r="A76" s="348" t="s">
        <v>65</v>
      </c>
      <c r="B76" s="348" t="s">
        <v>667</v>
      </c>
      <c r="C76" s="1294" t="s">
        <v>671</v>
      </c>
      <c r="D76" s="475">
        <v>1622875.7065499411</v>
      </c>
      <c r="E76" s="475">
        <v>1555160.1359437404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109338.58690011784</v>
      </c>
      <c r="C83" s="475">
        <v>109338.58690011784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2755.0529775927521</v>
      </c>
    </row>
    <row r="92" spans="1:6">
      <c r="A92" s="341" t="s">
        <v>69</v>
      </c>
      <c r="B92" s="342">
        <v>3736.5496994126115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60287.986621001037</v>
      </c>
      <c r="C3" s="43" t="s">
        <v>170</v>
      </c>
      <c r="D3" s="43"/>
      <c r="E3" s="154"/>
      <c r="F3" s="43"/>
      <c r="G3" s="43"/>
      <c r="H3" s="43"/>
      <c r="I3" s="43"/>
      <c r="J3" s="43"/>
      <c r="K3" s="96"/>
    </row>
    <row r="4" spans="1:11">
      <c r="A4" s="383" t="s">
        <v>171</v>
      </c>
      <c r="B4" s="49">
        <f>IF(ISERROR('SEAP template'!B78+'SEAP template'!C78),0,'SEAP template'!B78+'SEAP template'!C78)</f>
        <v>6491.6026770053631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0.1972034814558157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686.19299999999998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686.19299999999998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0.1972034814558157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135.31964855061054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15862.608096</v>
      </c>
      <c r="C5" s="17">
        <f>IF(ISERROR('Eigen informatie GS &amp; warmtenet'!B57),0,'Eigen informatie GS &amp; warmtenet'!B57)</f>
        <v>0</v>
      </c>
      <c r="D5" s="30">
        <f>(SUM(HH_hh_gas_kWh,HH_rest_gas_kWh)/1000)*0.902</f>
        <v>35522.289985930001</v>
      </c>
      <c r="E5" s="17">
        <f>B46*B57</f>
        <v>5353.0145593325178</v>
      </c>
      <c r="F5" s="17">
        <f>B51*B62</f>
        <v>19135.367368071184</v>
      </c>
      <c r="G5" s="18"/>
      <c r="H5" s="17"/>
      <c r="I5" s="17"/>
      <c r="J5" s="17">
        <f>B50*B61+C50*C61</f>
        <v>2008.9522498478484</v>
      </c>
      <c r="K5" s="17"/>
      <c r="L5" s="17"/>
      <c r="M5" s="17"/>
      <c r="N5" s="17">
        <f>B48*B59+C48*C59</f>
        <v>11208.928439543921</v>
      </c>
      <c r="O5" s="17">
        <f>B69*B70*B71</f>
        <v>162.58666666666667</v>
      </c>
      <c r="P5" s="17">
        <f>B77*B78*B79/1000-B77*B78*B79/1000/B80</f>
        <v>266.93333333333334</v>
      </c>
    </row>
    <row r="6" spans="1:16">
      <c r="A6" s="16" t="s">
        <v>624</v>
      </c>
      <c r="B6" s="788">
        <f>kWh_PV_kleiner_dan_10kW</f>
        <v>2755.0529775927521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18617.661073592753</v>
      </c>
      <c r="C8" s="21">
        <f>C5</f>
        <v>0</v>
      </c>
      <c r="D8" s="21">
        <f>D5</f>
        <v>35522.289985930001</v>
      </c>
      <c r="E8" s="21">
        <f>E5</f>
        <v>5353.0145593325178</v>
      </c>
      <c r="F8" s="21">
        <f>F5</f>
        <v>19135.367368071184</v>
      </c>
      <c r="G8" s="21"/>
      <c r="H8" s="21"/>
      <c r="I8" s="21"/>
      <c r="J8" s="21">
        <f>J5</f>
        <v>2008.9522498478484</v>
      </c>
      <c r="K8" s="21"/>
      <c r="L8" s="21">
        <f>L5</f>
        <v>0</v>
      </c>
      <c r="M8" s="21">
        <f>M5</f>
        <v>0</v>
      </c>
      <c r="N8" s="21">
        <f>N5</f>
        <v>11208.928439543921</v>
      </c>
      <c r="O8" s="21">
        <f>O5</f>
        <v>162.58666666666667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0.1972034814558157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3671.4675802769107</v>
      </c>
      <c r="C12" s="23">
        <f ca="1">C10*C8</f>
        <v>0</v>
      </c>
      <c r="D12" s="23">
        <f>D8*D10</f>
        <v>7175.5025771578612</v>
      </c>
      <c r="E12" s="23">
        <f>E10*E8</f>
        <v>1215.1343049684815</v>
      </c>
      <c r="F12" s="23">
        <f>F10*F8</f>
        <v>5109.1430872750061</v>
      </c>
      <c r="G12" s="23"/>
      <c r="H12" s="23"/>
      <c r="I12" s="23"/>
      <c r="J12" s="23">
        <f>J10*J8</f>
        <v>711.16909644613827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4601</v>
      </c>
      <c r="C28" s="36"/>
      <c r="D28" s="228"/>
    </row>
    <row r="29" spans="1:7" s="15" customFormat="1">
      <c r="A29" s="230" t="s">
        <v>699</v>
      </c>
      <c r="B29" s="37">
        <f>SUM(HH_hh_gas_aantal,HH_rest_gas_aantal)</f>
        <v>2679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2679</v>
      </c>
      <c r="C32" s="167">
        <f>IF(ISERROR(B32/SUM($B$32,$B$34,$B$35,$B$36,$B$38,$B$39)*100),0,B32/SUM($B$32,$B$34,$B$35,$B$36,$B$38,$B$39)*100)</f>
        <v>58.404185742315242</v>
      </c>
      <c r="D32" s="233"/>
      <c r="G32" s="15"/>
    </row>
    <row r="33" spans="1:7">
      <c r="A33" s="171" t="s">
        <v>72</v>
      </c>
      <c r="B33" s="34" t="s">
        <v>111</v>
      </c>
      <c r="C33" s="167"/>
      <c r="D33" s="233"/>
      <c r="G33" s="15"/>
    </row>
    <row r="34" spans="1:7">
      <c r="A34" s="171" t="s">
        <v>73</v>
      </c>
      <c r="B34" s="33">
        <f>IF((($B$28-$B$32-$B$39-$B$77-$B$38)*C20/100)&lt;0,0,($B$28-$B$32-$B$39-$B$77-$B$38)*C20/100)</f>
        <v>236.67172675521823</v>
      </c>
      <c r="C34" s="167">
        <f>IF(ISERROR(B34/SUM($B$32,$B$34,$B$35,$B$36,$B$38,$B$39)*100),0,B34/SUM($B$32,$B$34,$B$35,$B$36,$B$38,$B$39)*100)</f>
        <v>5.1596190703121474</v>
      </c>
      <c r="D34" s="233"/>
      <c r="G34" s="15"/>
    </row>
    <row r="35" spans="1:7">
      <c r="A35" s="171" t="s">
        <v>74</v>
      </c>
      <c r="B35" s="33">
        <f>IF((($B$28-$B$32-$B$39-$B$77-$B$38)*C21/100)&lt;0,0,($B$28-$B$32-$B$39-$B$77-$B$38)*C21/100)</f>
        <v>645.83301707779879</v>
      </c>
      <c r="C35" s="167">
        <f>IF(ISERROR(B35/SUM($B$32,$B$34,$B$35,$B$36,$B$38,$B$39)*100),0,B35/SUM($B$32,$B$34,$B$35,$B$36,$B$38,$B$39)*100)</f>
        <v>14.079638480004334</v>
      </c>
      <c r="D35" s="233"/>
      <c r="G35" s="15"/>
    </row>
    <row r="36" spans="1:7">
      <c r="A36" s="171" t="s">
        <v>75</v>
      </c>
      <c r="B36" s="33">
        <f>IF((($B$28-$B$32-$B$39-$B$77-$B$38)*C22/100)&lt;0,0,($B$28-$B$32-$B$39-$B$77-$B$38)*C22/100)</f>
        <v>174.49525616698295</v>
      </c>
      <c r="C36" s="167">
        <f>IF(ISERROR(B36/SUM($B$32,$B$34,$B$35,$B$36,$B$38,$B$39)*100),0,B36/SUM($B$32,$B$34,$B$35,$B$36,$B$38,$B$39)*100)</f>
        <v>3.8041259247216694</v>
      </c>
      <c r="D36" s="233"/>
      <c r="G36" s="15"/>
    </row>
    <row r="37" spans="1:7">
      <c r="A37" s="171" t="s">
        <v>76</v>
      </c>
      <c r="B37" s="34" t="s">
        <v>111</v>
      </c>
      <c r="C37" s="167"/>
      <c r="D37" s="173"/>
      <c r="G37" s="15"/>
    </row>
    <row r="38" spans="1:7">
      <c r="A38" s="171" t="s">
        <v>77</v>
      </c>
      <c r="B38" s="33">
        <f>IF((B24-(B29-B18)*0.1)&lt;0,0,B24-(B29-B18)*0.1)</f>
        <v>64.899999999999991</v>
      </c>
      <c r="C38" s="167">
        <f>IF(ISERROR(B38/SUM($B$32,$B$34,$B$35,$B$36,$B$38,$B$39)*100),0,B38/SUM($B$32,$B$34,$B$35,$B$36,$B$38,$B$39)*100)</f>
        <v>1.4148681055155872</v>
      </c>
      <c r="D38" s="234"/>
      <c r="G38" s="15"/>
    </row>
    <row r="39" spans="1:7">
      <c r="A39" s="171" t="s">
        <v>78</v>
      </c>
      <c r="B39" s="33">
        <f>IF((B25-(B29-B18))&lt;0,0,B25-(B29-B18)*0.9)</f>
        <v>786.1</v>
      </c>
      <c r="C39" s="167">
        <f>IF(ISERROR(B39/SUM($B$32,$B$34,$B$35,$B$36,$B$38,$B$39)*100),0,B39/SUM($B$32,$B$34,$B$35,$B$36,$B$38,$B$39)*100)</f>
        <v>17.137562677131022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2679</v>
      </c>
      <c r="C44" s="34" t="s">
        <v>111</v>
      </c>
      <c r="D44" s="174"/>
    </row>
    <row r="45" spans="1:7">
      <c r="A45" s="171" t="s">
        <v>72</v>
      </c>
      <c r="B45" s="33" t="str">
        <f t="shared" si="0"/>
        <v>-</v>
      </c>
      <c r="C45" s="34" t="s">
        <v>111</v>
      </c>
      <c r="D45" s="174"/>
    </row>
    <row r="46" spans="1:7">
      <c r="A46" s="171" t="s">
        <v>73</v>
      </c>
      <c r="B46" s="33">
        <f t="shared" si="0"/>
        <v>236.67172675521823</v>
      </c>
      <c r="C46" s="34" t="s">
        <v>111</v>
      </c>
      <c r="D46" s="174"/>
    </row>
    <row r="47" spans="1:7">
      <c r="A47" s="171" t="s">
        <v>74</v>
      </c>
      <c r="B47" s="33">
        <f t="shared" si="0"/>
        <v>645.83301707779879</v>
      </c>
      <c r="C47" s="34" t="s">
        <v>111</v>
      </c>
      <c r="D47" s="174"/>
    </row>
    <row r="48" spans="1:7">
      <c r="A48" s="171" t="s">
        <v>75</v>
      </c>
      <c r="B48" s="33">
        <f t="shared" si="0"/>
        <v>174.49525616698295</v>
      </c>
      <c r="C48" s="33">
        <f>B48*10</f>
        <v>1744.9525616698295</v>
      </c>
      <c r="D48" s="234"/>
    </row>
    <row r="49" spans="1:6">
      <c r="A49" s="171" t="s">
        <v>76</v>
      </c>
      <c r="B49" s="33" t="str">
        <f t="shared" si="0"/>
        <v>-</v>
      </c>
      <c r="C49" s="34" t="s">
        <v>111</v>
      </c>
      <c r="D49" s="234"/>
    </row>
    <row r="50" spans="1:6">
      <c r="A50" s="171" t="s">
        <v>77</v>
      </c>
      <c r="B50" s="33">
        <f t="shared" si="0"/>
        <v>64.899999999999991</v>
      </c>
      <c r="C50" s="33">
        <f>B50*2</f>
        <v>129.79999999999998</v>
      </c>
      <c r="D50" s="234"/>
    </row>
    <row r="51" spans="1:6">
      <c r="A51" s="171" t="s">
        <v>78</v>
      </c>
      <c r="B51" s="33">
        <f t="shared" si="0"/>
        <v>786.1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13799.502101419999</v>
      </c>
      <c r="C5" s="17">
        <f>IF(ISERROR('Eigen informatie GS &amp; warmtenet'!B58),0,'Eigen informatie GS &amp; warmtenet'!B58)</f>
        <v>0</v>
      </c>
      <c r="D5" s="30">
        <f>SUM(D6:D12)</f>
        <v>13252.99902883528</v>
      </c>
      <c r="E5" s="17">
        <f>SUM(E6:E12)</f>
        <v>268.72731221982303</v>
      </c>
      <c r="F5" s="17">
        <f>SUM(F6:F12)</f>
        <v>3423.9259111368428</v>
      </c>
      <c r="G5" s="18"/>
      <c r="H5" s="17"/>
      <c r="I5" s="17"/>
      <c r="J5" s="17">
        <f>SUM(J6:J12)</f>
        <v>0</v>
      </c>
      <c r="K5" s="17"/>
      <c r="L5" s="17"/>
      <c r="M5" s="17"/>
      <c r="N5" s="17">
        <f>SUM(N6:N12)</f>
        <v>1553.620504488154</v>
      </c>
      <c r="O5" s="17">
        <f>B38*B39*B40</f>
        <v>0</v>
      </c>
      <c r="P5" s="17">
        <f>B46*B47*B48/1000-B46*B47*B48/1000/B49</f>
        <v>0</v>
      </c>
      <c r="R5" s="32"/>
    </row>
    <row r="6" spans="1:18">
      <c r="A6" s="32" t="s">
        <v>54</v>
      </c>
      <c r="B6" s="37">
        <f>B26</f>
        <v>2148.0355961999999</v>
      </c>
      <c r="C6" s="33"/>
      <c r="D6" s="37">
        <f>IF(ISERROR(TER_kantoor_gas_kWh/1000),0,TER_kantoor_gas_kWh/1000)*0.902</f>
        <v>5114.6201097859994</v>
      </c>
      <c r="E6" s="33">
        <f>$C$26*'E Balans VL '!I12/100/3.6*1000000</f>
        <v>28.120431950432426</v>
      </c>
      <c r="F6" s="33">
        <f>$C$26*('E Balans VL '!L12+'E Balans VL '!N12)/100/3.6*1000000</f>
        <v>547.72688006031444</v>
      </c>
      <c r="G6" s="34"/>
      <c r="H6" s="33"/>
      <c r="I6" s="33"/>
      <c r="J6" s="33">
        <f>$C$26*('E Balans VL '!D12+'E Balans VL '!E12)/100/3.6*1000000</f>
        <v>0</v>
      </c>
      <c r="K6" s="33"/>
      <c r="L6" s="33"/>
      <c r="M6" s="33"/>
      <c r="N6" s="33">
        <f>$C$26*'E Balans VL '!Y12/100/3.6*1000000</f>
        <v>2.1552689910153822</v>
      </c>
      <c r="O6" s="33"/>
      <c r="P6" s="33"/>
      <c r="R6" s="32"/>
    </row>
    <row r="7" spans="1:18">
      <c r="A7" s="32" t="s">
        <v>53</v>
      </c>
      <c r="B7" s="37">
        <f t="shared" ref="B7:B12" si="0">B27</f>
        <v>699.39465183000004</v>
      </c>
      <c r="C7" s="33"/>
      <c r="D7" s="37">
        <f>IF(ISERROR(TER_horeca_gas_kWh/1000),0,TER_horeca_gas_kWh/1000)*0.902</f>
        <v>703.22200708803996</v>
      </c>
      <c r="E7" s="33">
        <f>$C$27*'E Balans VL '!I9/100/3.6*1000000</f>
        <v>23.145708700619579</v>
      </c>
      <c r="F7" s="33">
        <f>$C$27*('E Balans VL '!L9+'E Balans VL '!N9)/100/3.6*1000000</f>
        <v>300.73701988192153</v>
      </c>
      <c r="G7" s="34"/>
      <c r="H7" s="33"/>
      <c r="I7" s="33"/>
      <c r="J7" s="33">
        <f>$C$27*('E Balans VL '!D9+'E Balans VL '!E9)/100/3.6*1000000</f>
        <v>0</v>
      </c>
      <c r="K7" s="33"/>
      <c r="L7" s="33"/>
      <c r="M7" s="33"/>
      <c r="N7" s="33">
        <f>$C$27*'E Balans VL '!Y9/100/3.6*1000000</f>
        <v>0.16835444902038962</v>
      </c>
      <c r="O7" s="33"/>
      <c r="P7" s="33"/>
      <c r="R7" s="32"/>
    </row>
    <row r="8" spans="1:18">
      <c r="A8" s="6" t="s">
        <v>52</v>
      </c>
      <c r="B8" s="37">
        <f t="shared" si="0"/>
        <v>3525.8175690000003</v>
      </c>
      <c r="C8" s="33"/>
      <c r="D8" s="37">
        <f>IF(ISERROR(TER_handel_gas_kWh/1000),0,TER_handel_gas_kWh/1000)*0.902</f>
        <v>1134.8857771460002</v>
      </c>
      <c r="E8" s="33">
        <f>$C$28*'E Balans VL '!I13/100/3.6*1000000</f>
        <v>111.28018976652423</v>
      </c>
      <c r="F8" s="33">
        <f>$C$28*('E Balans VL '!L13+'E Balans VL '!N13)/100/3.6*1000000</f>
        <v>691.47491107366238</v>
      </c>
      <c r="G8" s="34"/>
      <c r="H8" s="33"/>
      <c r="I8" s="33"/>
      <c r="J8" s="33">
        <f>$C$28*('E Balans VL '!D13+'E Balans VL '!E13)/100/3.6*1000000</f>
        <v>0</v>
      </c>
      <c r="K8" s="33"/>
      <c r="L8" s="33"/>
      <c r="M8" s="33"/>
      <c r="N8" s="33">
        <f>$C$28*'E Balans VL '!Y13/100/3.6*1000000</f>
        <v>4.1844609253255767</v>
      </c>
      <c r="O8" s="33"/>
      <c r="P8" s="33"/>
      <c r="R8" s="32"/>
    </row>
    <row r="9" spans="1:18">
      <c r="A9" s="32" t="s">
        <v>51</v>
      </c>
      <c r="B9" s="37">
        <f t="shared" si="0"/>
        <v>102.69046917999999</v>
      </c>
      <c r="C9" s="33"/>
      <c r="D9" s="37">
        <f>IF(ISERROR(TER_gezond_gas_kWh/1000),0,TER_gezond_gas_kWh/1000)*0.902</f>
        <v>248.19195220490002</v>
      </c>
      <c r="E9" s="33">
        <f>$C$29*'E Balans VL '!I10/100/3.6*1000000</f>
        <v>1.3147384198059558E-2</v>
      </c>
      <c r="F9" s="33">
        <f>$C$29*('E Balans VL '!L10+'E Balans VL '!N10)/100/3.6*1000000</f>
        <v>21.39472888220438</v>
      </c>
      <c r="G9" s="34"/>
      <c r="H9" s="33"/>
      <c r="I9" s="33"/>
      <c r="J9" s="33">
        <f>$C$29*('E Balans VL '!D10+'E Balans VL '!E10)/100/3.6*1000000</f>
        <v>0</v>
      </c>
      <c r="K9" s="33"/>
      <c r="L9" s="33"/>
      <c r="M9" s="33"/>
      <c r="N9" s="33">
        <f>$C$29*'E Balans VL '!Y10/100/3.6*1000000</f>
        <v>1.206148098415909</v>
      </c>
      <c r="O9" s="33"/>
      <c r="P9" s="33"/>
      <c r="R9" s="32"/>
    </row>
    <row r="10" spans="1:18">
      <c r="A10" s="32" t="s">
        <v>50</v>
      </c>
      <c r="B10" s="37">
        <f t="shared" si="0"/>
        <v>1299.9031103999998</v>
      </c>
      <c r="C10" s="33"/>
      <c r="D10" s="37">
        <f>IF(ISERROR(TER_ander_gas_kWh/1000),0,TER_ander_gas_kWh/1000)*0.902</f>
        <v>408.84787258083998</v>
      </c>
      <c r="E10" s="33">
        <f>$C$30*'E Balans VL '!I14/100/3.6*1000000</f>
        <v>1.9547485855624025</v>
      </c>
      <c r="F10" s="33">
        <f>$C$30*('E Balans VL '!L14+'E Balans VL '!N14)/100/3.6*1000000</f>
        <v>286.97670492343337</v>
      </c>
      <c r="G10" s="34"/>
      <c r="H10" s="33"/>
      <c r="I10" s="33"/>
      <c r="J10" s="33">
        <f>$C$30*('E Balans VL '!D14+'E Balans VL '!E14)/100/3.6*1000000</f>
        <v>0</v>
      </c>
      <c r="K10" s="33"/>
      <c r="L10" s="33"/>
      <c r="M10" s="33"/>
      <c r="N10" s="33">
        <f>$C$30*'E Balans VL '!Y14/100/3.6*1000000</f>
        <v>1024.4111311761983</v>
      </c>
      <c r="O10" s="33"/>
      <c r="P10" s="33"/>
      <c r="R10" s="32"/>
    </row>
    <row r="11" spans="1:18">
      <c r="A11" s="32" t="s">
        <v>55</v>
      </c>
      <c r="B11" s="37">
        <f t="shared" si="0"/>
        <v>116.28378300999999</v>
      </c>
      <c r="C11" s="33"/>
      <c r="D11" s="37">
        <f>IF(ISERROR(TER_onderwijs_gas_kWh/1000),0,TER_onderwijs_gas_kWh/1000)*0.902</f>
        <v>514.88888329010001</v>
      </c>
      <c r="E11" s="33">
        <f>$C$31*'E Balans VL '!I11/100/3.6*1000000</f>
        <v>0.20478548642794284</v>
      </c>
      <c r="F11" s="33">
        <f>$C$31*('E Balans VL '!L11+'E Balans VL '!N11)/100/3.6*1000000</f>
        <v>53.690326767290451</v>
      </c>
      <c r="G11" s="34"/>
      <c r="H11" s="33"/>
      <c r="I11" s="33"/>
      <c r="J11" s="33">
        <f>$C$31*('E Balans VL '!D11+'E Balans VL '!E11)/100/3.6*1000000</f>
        <v>0</v>
      </c>
      <c r="K11" s="33"/>
      <c r="L11" s="33"/>
      <c r="M11" s="33"/>
      <c r="N11" s="33">
        <f>$C$31*'E Balans VL '!Y11/100/3.6*1000000</f>
        <v>0.21663829581033289</v>
      </c>
      <c r="O11" s="33"/>
      <c r="P11" s="33"/>
      <c r="R11" s="32"/>
    </row>
    <row r="12" spans="1:18">
      <c r="A12" s="32" t="s">
        <v>260</v>
      </c>
      <c r="B12" s="37">
        <f t="shared" si="0"/>
        <v>5907.3769217999998</v>
      </c>
      <c r="C12" s="33"/>
      <c r="D12" s="37">
        <f>IF(ISERROR(TER_rest_gas_kWh/1000),0,TER_rest_gas_kWh/1000)*0.902</f>
        <v>5128.3424267394003</v>
      </c>
      <c r="E12" s="33">
        <f>$C$32*'E Balans VL '!I8/100/3.6*1000000</f>
        <v>104.00830034605843</v>
      </c>
      <c r="F12" s="33">
        <f>$C$32*('E Balans VL '!L8+'E Balans VL '!N8)/100/3.6*1000000</f>
        <v>1521.9253395480166</v>
      </c>
      <c r="G12" s="34"/>
      <c r="H12" s="33"/>
      <c r="I12" s="33"/>
      <c r="J12" s="33">
        <f>$C$32*('E Balans VL '!D8+'E Balans VL '!E8)/100/3.6*1000000</f>
        <v>0</v>
      </c>
      <c r="K12" s="33"/>
      <c r="L12" s="33"/>
      <c r="M12" s="33"/>
      <c r="N12" s="33">
        <f>$C$32*'E Balans VL '!Y8/100/3.6*1000000</f>
        <v>521.27850255236808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13799.502101419999</v>
      </c>
      <c r="C16" s="21">
        <f t="shared" ca="1" si="1"/>
        <v>0</v>
      </c>
      <c r="D16" s="21">
        <f t="shared" ca="1" si="1"/>
        <v>13252.99902883528</v>
      </c>
      <c r="E16" s="21">
        <f t="shared" si="1"/>
        <v>268.72731221982303</v>
      </c>
      <c r="F16" s="21">
        <f t="shared" ca="1" si="1"/>
        <v>3423.9259111368428</v>
      </c>
      <c r="G16" s="21">
        <f t="shared" si="1"/>
        <v>0</v>
      </c>
      <c r="H16" s="21">
        <f t="shared" si="1"/>
        <v>0</v>
      </c>
      <c r="I16" s="21">
        <f t="shared" si="1"/>
        <v>0</v>
      </c>
      <c r="J16" s="21">
        <f t="shared" si="1"/>
        <v>0</v>
      </c>
      <c r="K16" s="21">
        <f t="shared" si="1"/>
        <v>0</v>
      </c>
      <c r="L16" s="21">
        <f t="shared" ca="1" si="1"/>
        <v>0</v>
      </c>
      <c r="M16" s="21">
        <f t="shared" si="1"/>
        <v>0</v>
      </c>
      <c r="N16" s="21">
        <f t="shared" ca="1" si="1"/>
        <v>1553.620504488154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0.1972034814558157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2721.3098567568686</v>
      </c>
      <c r="C20" s="23">
        <f t="shared" ref="C20:P20" ca="1" si="2">C16*C18</f>
        <v>0</v>
      </c>
      <c r="D20" s="23">
        <f t="shared" ca="1" si="2"/>
        <v>2677.1058038247265</v>
      </c>
      <c r="E20" s="23">
        <f t="shared" si="2"/>
        <v>61.001099873899832</v>
      </c>
      <c r="F20" s="23">
        <f t="shared" ca="1" si="2"/>
        <v>914.18821827353713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2148.0355961999999</v>
      </c>
      <c r="C26" s="39">
        <f>IF(ISERROR(B26*3.6/1000000/'E Balans VL '!Z12*100),0,B26*3.6/1000000/'E Balans VL '!Z12*100)</f>
        <v>4.6012591214478586E-2</v>
      </c>
      <c r="D26" s="237" t="s">
        <v>660</v>
      </c>
      <c r="F26" s="6"/>
    </row>
    <row r="27" spans="1:18">
      <c r="A27" s="231" t="s">
        <v>53</v>
      </c>
      <c r="B27" s="33">
        <f>IF(ISERROR(TER_horeca_ele_kWh/1000),0,TER_horeca_ele_kWh/1000)</f>
        <v>699.39465183000004</v>
      </c>
      <c r="C27" s="39">
        <f>IF(ISERROR(B27*3.6/1000000/'E Balans VL '!Z9*100),0,B27*3.6/1000000/'E Balans VL '!Z9*100)</f>
        <v>5.6123989738362093E-2</v>
      </c>
      <c r="D27" s="237" t="s">
        <v>660</v>
      </c>
      <c r="F27" s="6"/>
    </row>
    <row r="28" spans="1:18">
      <c r="A28" s="171" t="s">
        <v>52</v>
      </c>
      <c r="B28" s="33">
        <f>IF(ISERROR(TER_handel_ele_kWh/1000),0,TER_handel_ele_kWh/1000)</f>
        <v>3525.8175690000003</v>
      </c>
      <c r="C28" s="39">
        <f>IF(ISERROR(B28*3.6/1000000/'E Balans VL '!Z13*100),0,B28*3.6/1000000/'E Balans VL '!Z13*100)</f>
        <v>0.10399139500256545</v>
      </c>
      <c r="D28" s="237" t="s">
        <v>660</v>
      </c>
      <c r="F28" s="6"/>
    </row>
    <row r="29" spans="1:18">
      <c r="A29" s="231" t="s">
        <v>51</v>
      </c>
      <c r="B29" s="33">
        <f>IF(ISERROR(TER_gezond_ele_kWh/1000),0,TER_gezond_ele_kWh/1000)</f>
        <v>102.69046917999999</v>
      </c>
      <c r="C29" s="39">
        <f>IF(ISERROR(B29*3.6/1000000/'E Balans VL '!Z10*100),0,B29*3.6/1000000/'E Balans VL '!Z10*100)</f>
        <v>1.0964588873699832E-2</v>
      </c>
      <c r="D29" s="237" t="s">
        <v>660</v>
      </c>
      <c r="F29" s="6"/>
    </row>
    <row r="30" spans="1:18">
      <c r="A30" s="231" t="s">
        <v>50</v>
      </c>
      <c r="B30" s="33">
        <f>IF(ISERROR(TER_ander_ele_kWh/1000),0,TER_ander_ele_kWh/1000)</f>
        <v>1299.9031103999998</v>
      </c>
      <c r="C30" s="39">
        <f>IF(ISERROR(B30*3.6/1000000/'E Balans VL '!Z14*100),0,B30*3.6/1000000/'E Balans VL '!Z14*100)</f>
        <v>9.8186786442127416E-2</v>
      </c>
      <c r="D30" s="237" t="s">
        <v>660</v>
      </c>
      <c r="F30" s="6"/>
    </row>
    <row r="31" spans="1:18">
      <c r="A31" s="231" t="s">
        <v>55</v>
      </c>
      <c r="B31" s="33">
        <f>IF(ISERROR(TER_onderwijs_ele_kWh/1000),0,TER_onderwijs_ele_kWh/1000)</f>
        <v>116.28378300999999</v>
      </c>
      <c r="C31" s="39">
        <f>IF(ISERROR(B31*3.6/1000000/'E Balans VL '!Z11*100),0,B31*3.6/1000000/'E Balans VL '!Z11*100)</f>
        <v>2.3481577642285333E-2</v>
      </c>
      <c r="D31" s="237" t="s">
        <v>660</v>
      </c>
    </row>
    <row r="32" spans="1:18">
      <c r="A32" s="231" t="s">
        <v>260</v>
      </c>
      <c r="B32" s="33">
        <f>IF(ISERROR(TER_rest_ele_kWh/1000),0,TER_rest_ele_kWh/1000)</f>
        <v>5907.3769217999998</v>
      </c>
      <c r="C32" s="39">
        <f>IF(ISERROR(B32*3.6/1000000/'E Balans VL '!Z8*100),0,B32*3.6/1000000/'E Balans VL '!Z8*100)</f>
        <v>4.8980380644742513E-2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22866.131450798999</v>
      </c>
      <c r="C5" s="17">
        <f>IF(ISERROR('Eigen informatie GS &amp; warmtenet'!B59),0,'Eigen informatie GS &amp; warmtenet'!B59)</f>
        <v>0</v>
      </c>
      <c r="D5" s="30">
        <f>SUM(D6:D15)</f>
        <v>28849.474947285191</v>
      </c>
      <c r="E5" s="17">
        <f>SUM(E6:E15)</f>
        <v>1037.0557417131517</v>
      </c>
      <c r="F5" s="17">
        <f>SUM(F6:F15)</f>
        <v>4431.8968334576439</v>
      </c>
      <c r="G5" s="18"/>
      <c r="H5" s="17"/>
      <c r="I5" s="17"/>
      <c r="J5" s="17">
        <f>SUM(J6:J15)</f>
        <v>66.586796287788232</v>
      </c>
      <c r="K5" s="17"/>
      <c r="L5" s="17"/>
      <c r="M5" s="17"/>
      <c r="N5" s="17">
        <f>SUM(N6:N15)</f>
        <v>2616.4744077750306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123.63482971000001</v>
      </c>
      <c r="C8" s="33"/>
      <c r="D8" s="37">
        <f>IF( ISERROR(IND_metaal_Gas_kWH/1000),0,IND_metaal_Gas_kWH/1000)*0.902</f>
        <v>0</v>
      </c>
      <c r="E8" s="33">
        <f>C30*'E Balans VL '!I18/100/3.6*1000000</f>
        <v>4.4487551936797907</v>
      </c>
      <c r="F8" s="33">
        <f>C30*'E Balans VL '!L18/100/3.6*1000000+C30*'E Balans VL '!N18/100/3.6*1000000</f>
        <v>53.987322324377566</v>
      </c>
      <c r="G8" s="34"/>
      <c r="H8" s="33"/>
      <c r="I8" s="33"/>
      <c r="J8" s="40">
        <f>C30*'E Balans VL '!D18/100/3.6*1000000+C30*'E Balans VL '!E18/100/3.6*1000000</f>
        <v>0</v>
      </c>
      <c r="K8" s="33"/>
      <c r="L8" s="33"/>
      <c r="M8" s="33"/>
      <c r="N8" s="33">
        <f>C30*'E Balans VL '!Y18/100/3.6*1000000</f>
        <v>6.196493646295818</v>
      </c>
      <c r="O8" s="33"/>
      <c r="P8" s="33"/>
      <c r="R8" s="32"/>
    </row>
    <row r="9" spans="1:18">
      <c r="A9" s="6" t="s">
        <v>33</v>
      </c>
      <c r="B9" s="37">
        <f t="shared" si="0"/>
        <v>2156.9033574</v>
      </c>
      <c r="C9" s="33"/>
      <c r="D9" s="37">
        <f>IF( ISERROR(IND_andere_gas_kWh/1000),0,IND_andere_gas_kWh/1000)*0.902</f>
        <v>1268.2723907942002</v>
      </c>
      <c r="E9" s="33">
        <f>C31*'E Balans VL '!I19/100/3.6*1000000</f>
        <v>550.39293550314505</v>
      </c>
      <c r="F9" s="33">
        <f>C31*'E Balans VL '!L19/100/3.6*1000000+C31*'E Balans VL '!N19/100/3.6*1000000</f>
        <v>1856.9316715624066</v>
      </c>
      <c r="G9" s="34"/>
      <c r="H9" s="33"/>
      <c r="I9" s="33"/>
      <c r="J9" s="40">
        <f>C31*'E Balans VL '!D19/100/3.6*1000000+C31*'E Balans VL '!E19/100/3.6*1000000</f>
        <v>0</v>
      </c>
      <c r="K9" s="33"/>
      <c r="L9" s="33"/>
      <c r="M9" s="33"/>
      <c r="N9" s="33">
        <f>C31*'E Balans VL '!Y19/100/3.6*1000000</f>
        <v>674.53754608447252</v>
      </c>
      <c r="O9" s="33"/>
      <c r="P9" s="33"/>
      <c r="R9" s="32"/>
    </row>
    <row r="10" spans="1:18">
      <c r="A10" s="6" t="s">
        <v>41</v>
      </c>
      <c r="B10" s="37">
        <f t="shared" si="0"/>
        <v>674.93785308000008</v>
      </c>
      <c r="C10" s="33"/>
      <c r="D10" s="37">
        <f>IF( ISERROR(IND_voed_gas_kWh/1000),0,IND_voed_gas_kWh/1000)*0.902</f>
        <v>510.80851245665997</v>
      </c>
      <c r="E10" s="33">
        <f>C32*'E Balans VL '!I20/100/3.6*1000000</f>
        <v>17.157846990912756</v>
      </c>
      <c r="F10" s="33">
        <f>C32*'E Balans VL '!L20/100/3.6*1000000+C32*'E Balans VL '!N20/100/3.6*1000000</f>
        <v>152.7283044610717</v>
      </c>
      <c r="G10" s="34"/>
      <c r="H10" s="33"/>
      <c r="I10" s="33"/>
      <c r="J10" s="40">
        <f>C32*'E Balans VL '!D20/100/3.6*1000000+C32*'E Balans VL '!E20/100/3.6*1000000</f>
        <v>0</v>
      </c>
      <c r="K10" s="33"/>
      <c r="L10" s="33"/>
      <c r="M10" s="33"/>
      <c r="N10" s="33">
        <f>C32*'E Balans VL '!Y20/100/3.6*1000000</f>
        <v>253.11998981511351</v>
      </c>
      <c r="O10" s="33"/>
      <c r="P10" s="33"/>
      <c r="R10" s="32"/>
    </row>
    <row r="11" spans="1:18">
      <c r="A11" s="6" t="s">
        <v>40</v>
      </c>
      <c r="B11" s="37">
        <f t="shared" si="0"/>
        <v>11916.737569000001</v>
      </c>
      <c r="C11" s="33"/>
      <c r="D11" s="37">
        <f>IF( ISERROR(IND_textiel_gas_kWh/1000),0,IND_textiel_gas_kWh/1000)*0.902</f>
        <v>0</v>
      </c>
      <c r="E11" s="33">
        <f>C33*'E Balans VL '!I21/100/3.6*1000000</f>
        <v>32.714649309936981</v>
      </c>
      <c r="F11" s="33">
        <f>C33*'E Balans VL '!L21/100/3.6*1000000+C33*'E Balans VL '!N21/100/3.6*1000000</f>
        <v>631.77576246359922</v>
      </c>
      <c r="G11" s="34"/>
      <c r="H11" s="33"/>
      <c r="I11" s="33"/>
      <c r="J11" s="40">
        <f>C33*'E Balans VL '!D21/100/3.6*1000000+C33*'E Balans VL '!E21/100/3.6*1000000</f>
        <v>0</v>
      </c>
      <c r="K11" s="33"/>
      <c r="L11" s="33"/>
      <c r="M11" s="33"/>
      <c r="N11" s="33">
        <f>C33*'E Balans VL '!Y21/100/3.6*1000000</f>
        <v>23.950670500899005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30.238940708999998</v>
      </c>
      <c r="C13" s="33"/>
      <c r="D13" s="37">
        <f>IF( ISERROR(IND_papier_gas_kWh/1000),0,IND_papier_gas_kWh/1000)*0.902</f>
        <v>29.532753096330001</v>
      </c>
      <c r="E13" s="33">
        <f>C35*'E Balans VL '!I23/100/3.6*1000000</f>
        <v>0.12968601965529242</v>
      </c>
      <c r="F13" s="33">
        <f>C35*'E Balans VL '!L23/100/3.6*1000000+C35*'E Balans VL '!N23/100/3.6*1000000</f>
        <v>0.75999843571427284</v>
      </c>
      <c r="G13" s="34"/>
      <c r="H13" s="33"/>
      <c r="I13" s="33"/>
      <c r="J13" s="40">
        <f>C35*'E Balans VL '!D23/100/3.6*1000000+C35*'E Balans VL '!E23/100/3.6*1000000</f>
        <v>2.0243312267003146</v>
      </c>
      <c r="K13" s="33"/>
      <c r="L13" s="33"/>
      <c r="M13" s="33"/>
      <c r="N13" s="33">
        <f>C35*'E Balans VL '!Y23/100/3.6*1000000</f>
        <v>55.042063184837886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7963.6789008999995</v>
      </c>
      <c r="C15" s="33"/>
      <c r="D15" s="37">
        <f>IF( ISERROR(IND_rest_gas_kWh/1000),0,IND_rest_gas_kWh/1000)*0.902</f>
        <v>27040.861290938003</v>
      </c>
      <c r="E15" s="33">
        <f>C37*'E Balans VL '!I15/100/3.6*1000000</f>
        <v>432.21186869582198</v>
      </c>
      <c r="F15" s="33">
        <f>C37*'E Balans VL '!L15/100/3.6*1000000+C37*'E Balans VL '!N15/100/3.6*1000000</f>
        <v>1735.7137742104744</v>
      </c>
      <c r="G15" s="34"/>
      <c r="H15" s="33"/>
      <c r="I15" s="33"/>
      <c r="J15" s="40">
        <f>C37*'E Balans VL '!D15/100/3.6*1000000+C37*'E Balans VL '!E15/100/3.6*1000000</f>
        <v>64.56246506108792</v>
      </c>
      <c r="K15" s="33"/>
      <c r="L15" s="33"/>
      <c r="M15" s="33"/>
      <c r="N15" s="33">
        <f>C37*'E Balans VL '!Y15/100/3.6*1000000</f>
        <v>1603.6276445434119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22866.131450798999</v>
      </c>
      <c r="C18" s="21">
        <f>C5+C16</f>
        <v>0</v>
      </c>
      <c r="D18" s="21">
        <f>MAX((D5+D16),0)</f>
        <v>28849.474947285191</v>
      </c>
      <c r="E18" s="21">
        <f>MAX((E5+E16),0)</f>
        <v>1037.0557417131517</v>
      </c>
      <c r="F18" s="21">
        <f>MAX((F5+F16),0)</f>
        <v>4431.8968334576439</v>
      </c>
      <c r="G18" s="21"/>
      <c r="H18" s="21"/>
      <c r="I18" s="21"/>
      <c r="J18" s="21">
        <f>MAX((J5+J16),0)</f>
        <v>66.586796287788232</v>
      </c>
      <c r="K18" s="21"/>
      <c r="L18" s="21">
        <f>MAX((L5+L16),0)</f>
        <v>0</v>
      </c>
      <c r="M18" s="21"/>
      <c r="N18" s="21">
        <f>MAX((N5+N16),0)</f>
        <v>2616.4744077750306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0.1972034814558157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4509.2807295238845</v>
      </c>
      <c r="C22" s="23">
        <f ca="1">C18*C20</f>
        <v>0</v>
      </c>
      <c r="D22" s="23">
        <f>D18*D20</f>
        <v>5827.5939393516092</v>
      </c>
      <c r="E22" s="23">
        <f>E18*E20</f>
        <v>235.41165336888545</v>
      </c>
      <c r="F22" s="23">
        <f>F18*F20</f>
        <v>1183.3164545331911</v>
      </c>
      <c r="G22" s="23"/>
      <c r="H22" s="23"/>
      <c r="I22" s="23"/>
      <c r="J22" s="23">
        <f>J18*J20</f>
        <v>23.571725885877033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123.63482971000001</v>
      </c>
      <c r="C30" s="39">
        <f>IF(ISERROR(B30*3.6/1000000/'E Balans VL '!Z18*100),0,B30*3.6/1000000/'E Balans VL '!Z18*100)</f>
        <v>2.6195569754659625E-2</v>
      </c>
      <c r="D30" s="237" t="s">
        <v>660</v>
      </c>
    </row>
    <row r="31" spans="1:18">
      <c r="A31" s="6" t="s">
        <v>33</v>
      </c>
      <c r="B31" s="37">
        <f>IF( ISERROR(IND_ander_ele_kWh/1000),0,IND_ander_ele_kWh/1000)</f>
        <v>2156.9033574</v>
      </c>
      <c r="C31" s="39">
        <f>IF(ISERROR(B31*3.6/1000000/'E Balans VL '!Z19*100),0,B31*3.6/1000000/'E Balans VL '!Z19*100)</f>
        <v>9.0788959918221807E-2</v>
      </c>
      <c r="D31" s="237" t="s">
        <v>660</v>
      </c>
    </row>
    <row r="32" spans="1:18">
      <c r="A32" s="171" t="s">
        <v>41</v>
      </c>
      <c r="B32" s="37">
        <f>IF( ISERROR(IND_voed_ele_kWh/1000),0,IND_voed_ele_kWh/1000)</f>
        <v>674.93785308000008</v>
      </c>
      <c r="C32" s="39">
        <f>IF(ISERROR(B32*3.6/1000000/'E Balans VL '!Z20*100),0,B32*3.6/1000000/'E Balans VL '!Z20*100)</f>
        <v>0.11275600475361565</v>
      </c>
      <c r="D32" s="237" t="s">
        <v>660</v>
      </c>
    </row>
    <row r="33" spans="1:5">
      <c r="A33" s="171" t="s">
        <v>40</v>
      </c>
      <c r="B33" s="37">
        <f>IF( ISERROR(IND_textiel_ele_kWh/1000),0,IND_textiel_ele_kWh/1000)</f>
        <v>11916.737569000001</v>
      </c>
      <c r="C33" s="39">
        <f>IF(ISERROR(B33*3.6/1000000/'E Balans VL '!Z21*100),0,B33*3.6/1000000/'E Balans VL '!Z21*100)</f>
        <v>0.69573480031660151</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30.238940708999998</v>
      </c>
      <c r="C35" s="39">
        <f>IF(ISERROR(B35*3.6/1000000/'E Balans VL '!Z22*100),0,B35*3.6/1000000/'E Balans VL '!Z22*100)</f>
        <v>3.8329488129913484E-3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7963.6789008999995</v>
      </c>
      <c r="C37" s="39">
        <f>IF(ISERROR(B37*3.6/1000000/'E Balans VL '!Z15*100),0,B37*3.6/1000000/'E Balans VL '!Z15*100)</f>
        <v>6.4293863444772628E-2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3850.7095881800001</v>
      </c>
      <c r="C5" s="17">
        <f>'Eigen informatie GS &amp; warmtenet'!B60</f>
        <v>0</v>
      </c>
      <c r="D5" s="30">
        <f>IF(ISERROR(SUM(LB_lb_gas_kWh,LB_rest_gas_kWh)/1000),0,SUM(LB_lb_gas_kWh,LB_rest_gas_kWh)/1000)*0.902</f>
        <v>118.99651931261599</v>
      </c>
      <c r="E5" s="17">
        <f>B17*'E Balans VL '!I25/3.6*1000000/100</f>
        <v>99.295015263709558</v>
      </c>
      <c r="F5" s="17">
        <f>B17*('E Balans VL '!L25/3.6*1000000+'E Balans VL '!N25/3.6*1000000)/100</f>
        <v>14075.076876815798</v>
      </c>
      <c r="G5" s="18"/>
      <c r="H5" s="17"/>
      <c r="I5" s="17"/>
      <c r="J5" s="17">
        <f>('E Balans VL '!D25+'E Balans VL '!E25)/3.6*1000000*landbouw!B17/100</f>
        <v>554.36052596480772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3850.7095881800001</v>
      </c>
      <c r="C8" s="21">
        <f>C5+C6</f>
        <v>0</v>
      </c>
      <c r="D8" s="21">
        <f>MAX((D5+D6),0)</f>
        <v>118.99651931261599</v>
      </c>
      <c r="E8" s="21">
        <f>MAX((E5+E6),0)</f>
        <v>99.295015263709558</v>
      </c>
      <c r="F8" s="21">
        <f>MAX((F5+F6),0)</f>
        <v>14075.076876815798</v>
      </c>
      <c r="G8" s="21"/>
      <c r="H8" s="21"/>
      <c r="I8" s="21"/>
      <c r="J8" s="21">
        <f>MAX((J5+J6),0)</f>
        <v>554.36052596480772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0.1972034814558157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759.37333686438637</v>
      </c>
      <c r="C12" s="23">
        <f ca="1">C8*C10</f>
        <v>0</v>
      </c>
      <c r="D12" s="23">
        <f>D8*D10</f>
        <v>24.03729690114843</v>
      </c>
      <c r="E12" s="23">
        <f>E8*E10</f>
        <v>22.539968464862071</v>
      </c>
      <c r="F12" s="23">
        <f>F8*F10</f>
        <v>3758.0455261098182</v>
      </c>
      <c r="G12" s="23"/>
      <c r="H12" s="23"/>
      <c r="I12" s="23"/>
      <c r="J12" s="23">
        <f>J8*J10</f>
        <v>196.24362619154192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0.54297555846176249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311.70078888411268</v>
      </c>
      <c r="C26" s="247">
        <f>B26*'GWP N2O_CH4'!B5</f>
        <v>6545.7165665663661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266.76041521406495</v>
      </c>
      <c r="C27" s="247">
        <f>B27*'GWP N2O_CH4'!B5</f>
        <v>5601.968719495364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4.9597809334312091</v>
      </c>
      <c r="C28" s="247">
        <f>B28*'GWP N2O_CH4'!B4</f>
        <v>1537.5320893636749</v>
      </c>
      <c r="D28" s="50"/>
    </row>
    <row r="29" spans="1:4">
      <c r="A29" s="41" t="s">
        <v>277</v>
      </c>
      <c r="B29" s="247">
        <f>B34*'ha_N2O bodem landbouw'!B4</f>
        <v>12.769573123300173</v>
      </c>
      <c r="C29" s="247">
        <f>B29*'GWP N2O_CH4'!B4</f>
        <v>3958.5676682230537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2.8738478715317371E-3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3.33629764533955E-5</v>
      </c>
      <c r="C5" s="463" t="s">
        <v>211</v>
      </c>
      <c r="D5" s="448">
        <f>SUM(D6:D11)</f>
        <v>8.7449945500381624E-5</v>
      </c>
      <c r="E5" s="448">
        <f>SUM(E6:E11)</f>
        <v>3.2976538048315191E-4</v>
      </c>
      <c r="F5" s="461" t="s">
        <v>211</v>
      </c>
      <c r="G5" s="448">
        <f>SUM(G6:G11)</f>
        <v>0.12004879788468394</v>
      </c>
      <c r="H5" s="448">
        <f>SUM(H6:H11)</f>
        <v>2.3289971654927761E-2</v>
      </c>
      <c r="I5" s="463" t="s">
        <v>211</v>
      </c>
      <c r="J5" s="463" t="s">
        <v>211</v>
      </c>
      <c r="K5" s="463" t="s">
        <v>211</v>
      </c>
      <c r="L5" s="463" t="s">
        <v>211</v>
      </c>
      <c r="M5" s="448">
        <f>SUM(M6:M11)</f>
        <v>4.4799321506120045E-3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1.9546218571846256E-5</v>
      </c>
      <c r="C6" s="449"/>
      <c r="D6" s="892">
        <f>vkm_2011_GW_PW*SUMIFS(TableVerdeelsleutelVkm[CNG],TableVerdeelsleutelVkm[Voertuigtype],"Lichte voertuigen")*SUMIFS(TableECFTransport[EnergieConsumptieFactor (PJ per km)],TableECFTransport[Index],CONCATENATE($A6,"_CNG_CNG"))</f>
        <v>3.883867868426971E-5</v>
      </c>
      <c r="E6" s="892">
        <f>vkm_2011_GW_PW*SUMIFS(TableVerdeelsleutelVkm[LPG],TableVerdeelsleutelVkm[Voertuigtype],"Lichte voertuigen")*SUMIFS(TableECFTransport[EnergieConsumptieFactor (PJ per km)],TableECFTransport[Index],CONCATENATE($A6,"_LPG_LPG"))</f>
        <v>1.5284412324520762E-4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3.6341088120032693E-2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1.0514798755648371E-2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1.4600727024047799E-3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2.4577241878603665E-2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7.9394989070012387E-6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7.7439128654523831E-4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1.3816757881549245E-5</v>
      </c>
      <c r="C8" s="449"/>
      <c r="D8" s="451">
        <f>vkm_2011_NGW_PW*SUMIFS(TableVerdeelsleutelVkm[CNG],TableVerdeelsleutelVkm[Voertuigtype],"Lichte voertuigen")*SUMIFS(TableECFTransport[EnergieConsumptieFactor (PJ per km)],TableECFTransport[Index],CONCATENATE($A8,"_CNG_CNG"))</f>
        <v>4.8611266816111908E-5</v>
      </c>
      <c r="E8" s="451">
        <f>vkm_2011_NGW_PW*SUMIFS(TableVerdeelsleutelVkm[LPG],TableVerdeelsleutelVkm[Voertuigtype],"Lichte voertuigen")*SUMIFS(TableECFTransport[EnergieConsumptieFactor (PJ per km)],TableECFTransport[Index],CONCATENATE($A8,"_LPG_LPG"))</f>
        <v>1.7692125723794429E-4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3.9281492544436254E-2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1.2761169370103975E-2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1.6200677578298093E-3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1.9848975341611327E-2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6.0640302684153129E-6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6.2540040383217725E-4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9.2674934592765279</v>
      </c>
      <c r="C14" s="21"/>
      <c r="D14" s="21">
        <f t="shared" ref="D14:M14" si="0">((D5)*10^9/3600)+D12</f>
        <v>24.291651527883786</v>
      </c>
      <c r="E14" s="21">
        <f t="shared" si="0"/>
        <v>91.601494578653316</v>
      </c>
      <c r="F14" s="21"/>
      <c r="G14" s="21">
        <f t="shared" si="0"/>
        <v>33346.888301301093</v>
      </c>
      <c r="H14" s="21">
        <f t="shared" si="0"/>
        <v>6469.4365708132664</v>
      </c>
      <c r="I14" s="21"/>
      <c r="J14" s="21"/>
      <c r="K14" s="21"/>
      <c r="L14" s="21"/>
      <c r="M14" s="21">
        <f t="shared" si="0"/>
        <v>1244.4255973922234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0.1972034814558157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1.8275819745383322</v>
      </c>
      <c r="C18" s="23"/>
      <c r="D18" s="23">
        <f t="shared" ref="D18:M18" si="1">D14*D16</f>
        <v>4.9069136086325251</v>
      </c>
      <c r="E18" s="23">
        <f t="shared" si="1"/>
        <v>20.793539269354305</v>
      </c>
      <c r="F18" s="23"/>
      <c r="G18" s="23">
        <f t="shared" si="1"/>
        <v>8903.6191764473915</v>
      </c>
      <c r="H18" s="23">
        <f t="shared" si="1"/>
        <v>1610.8897061325033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1.4214312046380165E-3</v>
      </c>
      <c r="H50" s="321">
        <f t="shared" si="2"/>
        <v>0</v>
      </c>
      <c r="I50" s="321">
        <f t="shared" si="2"/>
        <v>0</v>
      </c>
      <c r="J50" s="321">
        <f t="shared" si="2"/>
        <v>0</v>
      </c>
      <c r="K50" s="321">
        <f t="shared" si="2"/>
        <v>0</v>
      </c>
      <c r="L50" s="321">
        <f t="shared" si="2"/>
        <v>0</v>
      </c>
      <c r="M50" s="321">
        <f t="shared" si="2"/>
        <v>4.4089615967440741E-5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1.4214312046380165E-3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4.4089615967440741E-5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394.84200128833788</v>
      </c>
      <c r="H54" s="21">
        <f t="shared" si="3"/>
        <v>0</v>
      </c>
      <c r="I54" s="21">
        <f t="shared" si="3"/>
        <v>0</v>
      </c>
      <c r="J54" s="21">
        <f t="shared" si="3"/>
        <v>0</v>
      </c>
      <c r="K54" s="21">
        <f t="shared" si="3"/>
        <v>0</v>
      </c>
      <c r="L54" s="21">
        <f t="shared" si="3"/>
        <v>0</v>
      </c>
      <c r="M54" s="21">
        <f t="shared" si="3"/>
        <v>12.247115546511317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0.1972034814558157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105.42281434398622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14485.695101419999</v>
      </c>
      <c r="D10" s="1012">
        <f ca="1">tertiair!C16</f>
        <v>0</v>
      </c>
      <c r="E10" s="1012">
        <f ca="1">tertiair!D16</f>
        <v>13252.99902883528</v>
      </c>
      <c r="F10" s="1012">
        <f>tertiair!E16</f>
        <v>268.72731221982303</v>
      </c>
      <c r="G10" s="1012">
        <f ca="1">tertiair!F16</f>
        <v>3423.9259111368428</v>
      </c>
      <c r="H10" s="1012">
        <f>tertiair!G16</f>
        <v>0</v>
      </c>
      <c r="I10" s="1012">
        <f>tertiair!H16</f>
        <v>0</v>
      </c>
      <c r="J10" s="1012">
        <f>tertiair!I16</f>
        <v>0</v>
      </c>
      <c r="K10" s="1012">
        <f>tertiair!J16</f>
        <v>0</v>
      </c>
      <c r="L10" s="1012">
        <f>tertiair!K16</f>
        <v>0</v>
      </c>
      <c r="M10" s="1012">
        <f ca="1">tertiair!L16</f>
        <v>0</v>
      </c>
      <c r="N10" s="1012">
        <f>tertiair!M16</f>
        <v>0</v>
      </c>
      <c r="O10" s="1012">
        <f ca="1">tertiair!N16</f>
        <v>1553.620504488154</v>
      </c>
      <c r="P10" s="1012">
        <f>tertiair!O16</f>
        <v>0</v>
      </c>
      <c r="Q10" s="1013">
        <f>tertiair!P16</f>
        <v>0</v>
      </c>
      <c r="R10" s="700">
        <f ca="1">SUM(C10:Q10)</f>
        <v>32984.967858100106</v>
      </c>
      <c r="S10" s="67"/>
    </row>
    <row r="11" spans="1:19" s="473" customFormat="1">
      <c r="A11" s="809" t="s">
        <v>225</v>
      </c>
      <c r="B11" s="814"/>
      <c r="C11" s="1012">
        <f>huishoudens!B8</f>
        <v>18617.661073592753</v>
      </c>
      <c r="D11" s="1012">
        <f>huishoudens!C8</f>
        <v>0</v>
      </c>
      <c r="E11" s="1012">
        <f>huishoudens!D8</f>
        <v>35522.289985930001</v>
      </c>
      <c r="F11" s="1012">
        <f>huishoudens!E8</f>
        <v>5353.0145593325178</v>
      </c>
      <c r="G11" s="1012">
        <f>huishoudens!F8</f>
        <v>19135.367368071184</v>
      </c>
      <c r="H11" s="1012">
        <f>huishoudens!G8</f>
        <v>0</v>
      </c>
      <c r="I11" s="1012">
        <f>huishoudens!H8</f>
        <v>0</v>
      </c>
      <c r="J11" s="1012">
        <f>huishoudens!I8</f>
        <v>0</v>
      </c>
      <c r="K11" s="1012">
        <f>huishoudens!J8</f>
        <v>2008.9522498478484</v>
      </c>
      <c r="L11" s="1012">
        <f>huishoudens!K8</f>
        <v>0</v>
      </c>
      <c r="M11" s="1012">
        <f>huishoudens!L8</f>
        <v>0</v>
      </c>
      <c r="N11" s="1012">
        <f>huishoudens!M8</f>
        <v>0</v>
      </c>
      <c r="O11" s="1012">
        <f>huishoudens!N8</f>
        <v>11208.928439543921</v>
      </c>
      <c r="P11" s="1012">
        <f>huishoudens!O8</f>
        <v>162.58666666666667</v>
      </c>
      <c r="Q11" s="1013">
        <f>huishoudens!P8</f>
        <v>266.93333333333334</v>
      </c>
      <c r="R11" s="700">
        <f>SUM(C11:Q11)</f>
        <v>92275.733676318225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22866.131450798999</v>
      </c>
      <c r="D13" s="1012">
        <f>industrie!C18</f>
        <v>0</v>
      </c>
      <c r="E13" s="1012">
        <f>industrie!D18</f>
        <v>28849.474947285191</v>
      </c>
      <c r="F13" s="1012">
        <f>industrie!E18</f>
        <v>1037.0557417131517</v>
      </c>
      <c r="G13" s="1012">
        <f>industrie!F18</f>
        <v>4431.8968334576439</v>
      </c>
      <c r="H13" s="1012">
        <f>industrie!G18</f>
        <v>0</v>
      </c>
      <c r="I13" s="1012">
        <f>industrie!H18</f>
        <v>0</v>
      </c>
      <c r="J13" s="1012">
        <f>industrie!I18</f>
        <v>0</v>
      </c>
      <c r="K13" s="1012">
        <f>industrie!J18</f>
        <v>66.586796287788232</v>
      </c>
      <c r="L13" s="1012">
        <f>industrie!K18</f>
        <v>0</v>
      </c>
      <c r="M13" s="1012">
        <f>industrie!L18</f>
        <v>0</v>
      </c>
      <c r="N13" s="1012">
        <f>industrie!M18</f>
        <v>0</v>
      </c>
      <c r="O13" s="1012">
        <f>industrie!N18</f>
        <v>2616.4744077750306</v>
      </c>
      <c r="P13" s="1012">
        <f>industrie!O18</f>
        <v>0</v>
      </c>
      <c r="Q13" s="1013">
        <f>industrie!P18</f>
        <v>0</v>
      </c>
      <c r="R13" s="700">
        <f>SUM(C13:Q13)</f>
        <v>59867.620177317796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55969.487625811758</v>
      </c>
      <c r="D16" s="732">
        <f t="shared" ref="D16:R16" ca="1" si="0">SUM(D9:D15)</f>
        <v>0</v>
      </c>
      <c r="E16" s="732">
        <f t="shared" ca="1" si="0"/>
        <v>77624.763962050463</v>
      </c>
      <c r="F16" s="732">
        <f t="shared" si="0"/>
        <v>6658.7976132654931</v>
      </c>
      <c r="G16" s="732">
        <f t="shared" ca="1" si="0"/>
        <v>26991.190112665667</v>
      </c>
      <c r="H16" s="732">
        <f t="shared" si="0"/>
        <v>0</v>
      </c>
      <c r="I16" s="732">
        <f t="shared" si="0"/>
        <v>0</v>
      </c>
      <c r="J16" s="732">
        <f t="shared" si="0"/>
        <v>0</v>
      </c>
      <c r="K16" s="732">
        <f t="shared" si="0"/>
        <v>2075.5390461356365</v>
      </c>
      <c r="L16" s="732">
        <f t="shared" si="0"/>
        <v>0</v>
      </c>
      <c r="M16" s="732">
        <f t="shared" ca="1" si="0"/>
        <v>0</v>
      </c>
      <c r="N16" s="732">
        <f t="shared" si="0"/>
        <v>0</v>
      </c>
      <c r="O16" s="732">
        <f t="shared" ca="1" si="0"/>
        <v>15379.023351807105</v>
      </c>
      <c r="P16" s="732">
        <f t="shared" si="0"/>
        <v>162.58666666666667</v>
      </c>
      <c r="Q16" s="732">
        <f t="shared" si="0"/>
        <v>266.93333333333334</v>
      </c>
      <c r="R16" s="732">
        <f t="shared" ca="1" si="0"/>
        <v>185128.32171173612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394.84200128833788</v>
      </c>
      <c r="I19" s="1012">
        <f>transport!H54</f>
        <v>0</v>
      </c>
      <c r="J19" s="1012">
        <f>transport!I54</f>
        <v>0</v>
      </c>
      <c r="K19" s="1012">
        <f>transport!J54</f>
        <v>0</v>
      </c>
      <c r="L19" s="1012">
        <f>transport!K54</f>
        <v>0</v>
      </c>
      <c r="M19" s="1012">
        <f>transport!L54</f>
        <v>0</v>
      </c>
      <c r="N19" s="1012">
        <f>transport!M54</f>
        <v>12.247115546511317</v>
      </c>
      <c r="O19" s="1012">
        <f>transport!N54</f>
        <v>0</v>
      </c>
      <c r="P19" s="1012">
        <f>transport!O54</f>
        <v>0</v>
      </c>
      <c r="Q19" s="1013">
        <f>transport!P54</f>
        <v>0</v>
      </c>
      <c r="R19" s="700">
        <f>SUM(C19:Q19)</f>
        <v>407.08911683484922</v>
      </c>
      <c r="S19" s="67"/>
    </row>
    <row r="20" spans="1:19" s="473" customFormat="1">
      <c r="A20" s="809" t="s">
        <v>307</v>
      </c>
      <c r="B20" s="814"/>
      <c r="C20" s="1012">
        <f>transport!B14</f>
        <v>9.2674934592765279</v>
      </c>
      <c r="D20" s="1012">
        <f>transport!C14</f>
        <v>0</v>
      </c>
      <c r="E20" s="1012">
        <f>transport!D14</f>
        <v>24.291651527883786</v>
      </c>
      <c r="F20" s="1012">
        <f>transport!E14</f>
        <v>91.601494578653316</v>
      </c>
      <c r="G20" s="1012">
        <f>transport!F14</f>
        <v>0</v>
      </c>
      <c r="H20" s="1012">
        <f>transport!G14</f>
        <v>33346.888301301093</v>
      </c>
      <c r="I20" s="1012">
        <f>transport!H14</f>
        <v>6469.4365708132664</v>
      </c>
      <c r="J20" s="1012">
        <f>transport!I14</f>
        <v>0</v>
      </c>
      <c r="K20" s="1012">
        <f>transport!J14</f>
        <v>0</v>
      </c>
      <c r="L20" s="1012">
        <f>transport!K14</f>
        <v>0</v>
      </c>
      <c r="M20" s="1012">
        <f>transport!L14</f>
        <v>0</v>
      </c>
      <c r="N20" s="1012">
        <f>transport!M14</f>
        <v>1244.4255973922234</v>
      </c>
      <c r="O20" s="1012">
        <f>transport!N14</f>
        <v>0</v>
      </c>
      <c r="P20" s="1012">
        <f>transport!O14</f>
        <v>0</v>
      </c>
      <c r="Q20" s="1013">
        <f>transport!P14</f>
        <v>0</v>
      </c>
      <c r="R20" s="700">
        <f>SUM(C20:Q20)</f>
        <v>41185.911109072404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9.2674934592765279</v>
      </c>
      <c r="D22" s="812">
        <f t="shared" ref="D22:R22" si="1">SUM(D18:D21)</f>
        <v>0</v>
      </c>
      <c r="E22" s="812">
        <f t="shared" si="1"/>
        <v>24.291651527883786</v>
      </c>
      <c r="F22" s="812">
        <f t="shared" si="1"/>
        <v>91.601494578653316</v>
      </c>
      <c r="G22" s="812">
        <f t="shared" si="1"/>
        <v>0</v>
      </c>
      <c r="H22" s="812">
        <f t="shared" si="1"/>
        <v>33741.730302589429</v>
      </c>
      <c r="I22" s="812">
        <f t="shared" si="1"/>
        <v>6469.4365708132664</v>
      </c>
      <c r="J22" s="812">
        <f t="shared" si="1"/>
        <v>0</v>
      </c>
      <c r="K22" s="812">
        <f t="shared" si="1"/>
        <v>0</v>
      </c>
      <c r="L22" s="812">
        <f t="shared" si="1"/>
        <v>0</v>
      </c>
      <c r="M22" s="812">
        <f t="shared" si="1"/>
        <v>0</v>
      </c>
      <c r="N22" s="812">
        <f t="shared" si="1"/>
        <v>1256.6727129387348</v>
      </c>
      <c r="O22" s="812">
        <f t="shared" si="1"/>
        <v>0</v>
      </c>
      <c r="P22" s="812">
        <f t="shared" si="1"/>
        <v>0</v>
      </c>
      <c r="Q22" s="812">
        <f t="shared" si="1"/>
        <v>0</v>
      </c>
      <c r="R22" s="812">
        <f t="shared" si="1"/>
        <v>41593.00022590725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3850.7095881800001</v>
      </c>
      <c r="D24" s="1012">
        <f>+landbouw!C8</f>
        <v>0</v>
      </c>
      <c r="E24" s="1012">
        <f>+landbouw!D8</f>
        <v>118.99651931261599</v>
      </c>
      <c r="F24" s="1012">
        <f>+landbouw!E8</f>
        <v>99.295015263709558</v>
      </c>
      <c r="G24" s="1012">
        <f>+landbouw!F8</f>
        <v>14075.076876815798</v>
      </c>
      <c r="H24" s="1012">
        <f>+landbouw!G8</f>
        <v>0</v>
      </c>
      <c r="I24" s="1012">
        <f>+landbouw!H8</f>
        <v>0</v>
      </c>
      <c r="J24" s="1012">
        <f>+landbouw!I8</f>
        <v>0</v>
      </c>
      <c r="K24" s="1012">
        <f>+landbouw!J8</f>
        <v>554.36052596480772</v>
      </c>
      <c r="L24" s="1012">
        <f>+landbouw!K8</f>
        <v>0</v>
      </c>
      <c r="M24" s="1012">
        <f>+landbouw!L8</f>
        <v>0</v>
      </c>
      <c r="N24" s="1012">
        <f>+landbouw!M8</f>
        <v>0</v>
      </c>
      <c r="O24" s="1012">
        <f>+landbouw!N8</f>
        <v>0</v>
      </c>
      <c r="P24" s="1012">
        <f>+landbouw!O8</f>
        <v>0</v>
      </c>
      <c r="Q24" s="1013">
        <f>+landbouw!P8</f>
        <v>0</v>
      </c>
      <c r="R24" s="700">
        <f>SUM(C24:Q24)</f>
        <v>18698.438525536931</v>
      </c>
      <c r="S24" s="67"/>
    </row>
    <row r="25" spans="1:19" s="473" customFormat="1" ht="15" thickBot="1">
      <c r="A25" s="831" t="s">
        <v>848</v>
      </c>
      <c r="B25" s="1015"/>
      <c r="C25" s="1016">
        <f>IF(Onbekend_ele_kWh="---",0,Onbekend_ele_kWh)/1000+IF(REST_rest_ele_kWh="---",0,REST_rest_ele_kWh)/1000</f>
        <v>458.52191355000002</v>
      </c>
      <c r="D25" s="1016"/>
      <c r="E25" s="1016">
        <f>IF(onbekend_gas_kWh="---",0,onbekend_gas_kWh)/1000+IF(REST_rest_gas_kWh="---",0,REST_rest_gas_kWh)/1000</f>
        <v>1005.1795736</v>
      </c>
      <c r="F25" s="1016"/>
      <c r="G25" s="1016"/>
      <c r="H25" s="1016"/>
      <c r="I25" s="1016"/>
      <c r="J25" s="1016"/>
      <c r="K25" s="1016"/>
      <c r="L25" s="1016"/>
      <c r="M25" s="1016"/>
      <c r="N25" s="1016"/>
      <c r="O25" s="1016"/>
      <c r="P25" s="1016"/>
      <c r="Q25" s="1017"/>
      <c r="R25" s="700">
        <f>SUM(C25:Q25)</f>
        <v>1463.70148715</v>
      </c>
      <c r="S25" s="67"/>
    </row>
    <row r="26" spans="1:19" s="473" customFormat="1" ht="15.75" thickBot="1">
      <c r="A26" s="705" t="s">
        <v>849</v>
      </c>
      <c r="B26" s="817"/>
      <c r="C26" s="812">
        <f>SUM(C24:C25)</f>
        <v>4309.2315017299998</v>
      </c>
      <c r="D26" s="812">
        <f t="shared" ref="D26:R26" si="2">SUM(D24:D25)</f>
        <v>0</v>
      </c>
      <c r="E26" s="812">
        <f t="shared" si="2"/>
        <v>1124.176092912616</v>
      </c>
      <c r="F26" s="812">
        <f t="shared" si="2"/>
        <v>99.295015263709558</v>
      </c>
      <c r="G26" s="812">
        <f t="shared" si="2"/>
        <v>14075.076876815798</v>
      </c>
      <c r="H26" s="812">
        <f t="shared" si="2"/>
        <v>0</v>
      </c>
      <c r="I26" s="812">
        <f t="shared" si="2"/>
        <v>0</v>
      </c>
      <c r="J26" s="812">
        <f t="shared" si="2"/>
        <v>0</v>
      </c>
      <c r="K26" s="812">
        <f t="shared" si="2"/>
        <v>554.36052596480772</v>
      </c>
      <c r="L26" s="812">
        <f t="shared" si="2"/>
        <v>0</v>
      </c>
      <c r="M26" s="812">
        <f t="shared" si="2"/>
        <v>0</v>
      </c>
      <c r="N26" s="812">
        <f t="shared" si="2"/>
        <v>0</v>
      </c>
      <c r="O26" s="812">
        <f t="shared" si="2"/>
        <v>0</v>
      </c>
      <c r="P26" s="812">
        <f t="shared" si="2"/>
        <v>0</v>
      </c>
      <c r="Q26" s="812">
        <f t="shared" si="2"/>
        <v>0</v>
      </c>
      <c r="R26" s="812">
        <f t="shared" si="2"/>
        <v>20162.14001268693</v>
      </c>
      <c r="S26" s="67"/>
    </row>
    <row r="27" spans="1:19" s="473" customFormat="1" ht="17.25" thickTop="1" thickBot="1">
      <c r="A27" s="706" t="s">
        <v>116</v>
      </c>
      <c r="B27" s="805"/>
      <c r="C27" s="707">
        <f ca="1">C22+C16+C26</f>
        <v>60287.986621001037</v>
      </c>
      <c r="D27" s="707">
        <f t="shared" ref="D27:R27" ca="1" si="3">D22+D16+D26</f>
        <v>0</v>
      </c>
      <c r="E27" s="707">
        <f t="shared" ca="1" si="3"/>
        <v>78773.231706490958</v>
      </c>
      <c r="F27" s="707">
        <f t="shared" si="3"/>
        <v>6849.6941231078563</v>
      </c>
      <c r="G27" s="707">
        <f t="shared" ca="1" si="3"/>
        <v>41066.266989481461</v>
      </c>
      <c r="H27" s="707">
        <f t="shared" si="3"/>
        <v>33741.730302589429</v>
      </c>
      <c r="I27" s="707">
        <f t="shared" si="3"/>
        <v>6469.4365708132664</v>
      </c>
      <c r="J27" s="707">
        <f t="shared" si="3"/>
        <v>0</v>
      </c>
      <c r="K27" s="707">
        <f t="shared" si="3"/>
        <v>2629.8995721004439</v>
      </c>
      <c r="L27" s="707">
        <f t="shared" si="3"/>
        <v>0</v>
      </c>
      <c r="M27" s="707">
        <f t="shared" ca="1" si="3"/>
        <v>0</v>
      </c>
      <c r="N27" s="707">
        <f t="shared" si="3"/>
        <v>1256.6727129387348</v>
      </c>
      <c r="O27" s="707">
        <f t="shared" ca="1" si="3"/>
        <v>15379.023351807105</v>
      </c>
      <c r="P27" s="707">
        <f t="shared" si="3"/>
        <v>162.58666666666667</v>
      </c>
      <c r="Q27" s="707">
        <f t="shared" si="3"/>
        <v>266.93333333333334</v>
      </c>
      <c r="R27" s="707">
        <f t="shared" ca="1" si="3"/>
        <v>246883.4619503303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2856.6295053074791</v>
      </c>
      <c r="D40" s="1012">
        <f ca="1">tertiair!C20</f>
        <v>0</v>
      </c>
      <c r="E40" s="1012">
        <f ca="1">tertiair!D20</f>
        <v>2677.1058038247265</v>
      </c>
      <c r="F40" s="1012">
        <f>tertiair!E20</f>
        <v>61.001099873899832</v>
      </c>
      <c r="G40" s="1012">
        <f ca="1">tertiair!F20</f>
        <v>914.18821827353713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6508.9246272796427</v>
      </c>
    </row>
    <row r="41" spans="1:18">
      <c r="A41" s="822" t="s">
        <v>225</v>
      </c>
      <c r="B41" s="829"/>
      <c r="C41" s="1012">
        <f ca="1">huishoudens!B12</f>
        <v>3671.4675802769107</v>
      </c>
      <c r="D41" s="1012">
        <f ca="1">huishoudens!C12</f>
        <v>0</v>
      </c>
      <c r="E41" s="1012">
        <f>huishoudens!D12</f>
        <v>7175.5025771578612</v>
      </c>
      <c r="F41" s="1012">
        <f>huishoudens!E12</f>
        <v>1215.1343049684815</v>
      </c>
      <c r="G41" s="1012">
        <f>huishoudens!F12</f>
        <v>5109.1430872750061</v>
      </c>
      <c r="H41" s="1012">
        <f>huishoudens!G12</f>
        <v>0</v>
      </c>
      <c r="I41" s="1012">
        <f>huishoudens!H12</f>
        <v>0</v>
      </c>
      <c r="J41" s="1012">
        <f>huishoudens!I12</f>
        <v>0</v>
      </c>
      <c r="K41" s="1012">
        <f>huishoudens!J12</f>
        <v>711.16909644613827</v>
      </c>
      <c r="L41" s="1012">
        <f>huishoudens!K12</f>
        <v>0</v>
      </c>
      <c r="M41" s="1012">
        <f>huishoudens!L12</f>
        <v>0</v>
      </c>
      <c r="N41" s="1012">
        <f>huishoudens!M12</f>
        <v>0</v>
      </c>
      <c r="O41" s="1012">
        <f>huishoudens!N12</f>
        <v>0</v>
      </c>
      <c r="P41" s="1012">
        <f>huishoudens!O12</f>
        <v>0</v>
      </c>
      <c r="Q41" s="774">
        <f>huishoudens!P12</f>
        <v>0</v>
      </c>
      <c r="R41" s="850">
        <f t="shared" ca="1" si="4"/>
        <v>17882.416646124395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4509.2807295238845</v>
      </c>
      <c r="D43" s="1012">
        <f ca="1">industrie!C22</f>
        <v>0</v>
      </c>
      <c r="E43" s="1012">
        <f>industrie!D22</f>
        <v>5827.5939393516092</v>
      </c>
      <c r="F43" s="1012">
        <f>industrie!E22</f>
        <v>235.41165336888545</v>
      </c>
      <c r="G43" s="1012">
        <f>industrie!F22</f>
        <v>1183.3164545331911</v>
      </c>
      <c r="H43" s="1012">
        <f>industrie!G22</f>
        <v>0</v>
      </c>
      <c r="I43" s="1012">
        <f>industrie!H22</f>
        <v>0</v>
      </c>
      <c r="J43" s="1012">
        <f>industrie!I22</f>
        <v>0</v>
      </c>
      <c r="K43" s="1012">
        <f>industrie!J22</f>
        <v>23.571725885877033</v>
      </c>
      <c r="L43" s="1012">
        <f>industrie!K22</f>
        <v>0</v>
      </c>
      <c r="M43" s="1012">
        <f>industrie!L22</f>
        <v>0</v>
      </c>
      <c r="N43" s="1012">
        <f>industrie!M22</f>
        <v>0</v>
      </c>
      <c r="O43" s="1012">
        <f>industrie!N22</f>
        <v>0</v>
      </c>
      <c r="P43" s="1012">
        <f>industrie!O22</f>
        <v>0</v>
      </c>
      <c r="Q43" s="774">
        <f>industrie!P22</f>
        <v>0</v>
      </c>
      <c r="R43" s="849">
        <f t="shared" ca="1" si="4"/>
        <v>11779.174502663447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11037.377815108273</v>
      </c>
      <c r="D46" s="732">
        <f t="shared" ref="D46:Q46" ca="1" si="5">SUM(D39:D45)</f>
        <v>0</v>
      </c>
      <c r="E46" s="732">
        <f t="shared" ca="1" si="5"/>
        <v>15680.202320334196</v>
      </c>
      <c r="F46" s="732">
        <f t="shared" si="5"/>
        <v>1511.5470582112669</v>
      </c>
      <c r="G46" s="732">
        <f t="shared" ca="1" si="5"/>
        <v>7206.6477600817343</v>
      </c>
      <c r="H46" s="732">
        <f t="shared" si="5"/>
        <v>0</v>
      </c>
      <c r="I46" s="732">
        <f t="shared" si="5"/>
        <v>0</v>
      </c>
      <c r="J46" s="732">
        <f t="shared" si="5"/>
        <v>0</v>
      </c>
      <c r="K46" s="732">
        <f t="shared" si="5"/>
        <v>734.74082233201534</v>
      </c>
      <c r="L46" s="732">
        <f t="shared" si="5"/>
        <v>0</v>
      </c>
      <c r="M46" s="732">
        <f t="shared" ca="1" si="5"/>
        <v>0</v>
      </c>
      <c r="N46" s="732">
        <f t="shared" si="5"/>
        <v>0</v>
      </c>
      <c r="O46" s="732">
        <f t="shared" ca="1" si="5"/>
        <v>0</v>
      </c>
      <c r="P46" s="732">
        <f t="shared" si="5"/>
        <v>0</v>
      </c>
      <c r="Q46" s="732">
        <f t="shared" si="5"/>
        <v>0</v>
      </c>
      <c r="R46" s="732">
        <f ca="1">SUM(R39:R45)</f>
        <v>36170.515776067485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105.42281434398622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105.42281434398622</v>
      </c>
    </row>
    <row r="50" spans="1:18">
      <c r="A50" s="825" t="s">
        <v>307</v>
      </c>
      <c r="B50" s="835"/>
      <c r="C50" s="703">
        <f ca="1">transport!B18</f>
        <v>1.8275819745383322</v>
      </c>
      <c r="D50" s="703">
        <f>transport!C18</f>
        <v>0</v>
      </c>
      <c r="E50" s="703">
        <f>transport!D18</f>
        <v>4.9069136086325251</v>
      </c>
      <c r="F50" s="703">
        <f>transport!E18</f>
        <v>20.793539269354305</v>
      </c>
      <c r="G50" s="703">
        <f>transport!F18</f>
        <v>0</v>
      </c>
      <c r="H50" s="703">
        <f>transport!G18</f>
        <v>8903.6191764473915</v>
      </c>
      <c r="I50" s="703">
        <f>transport!H18</f>
        <v>1610.8897061325033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10542.036917432419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1.8275819745383322</v>
      </c>
      <c r="D52" s="732">
        <f t="shared" ref="D52:Q52" ca="1" si="6">SUM(D48:D51)</f>
        <v>0</v>
      </c>
      <c r="E52" s="732">
        <f t="shared" si="6"/>
        <v>4.9069136086325251</v>
      </c>
      <c r="F52" s="732">
        <f t="shared" si="6"/>
        <v>20.793539269354305</v>
      </c>
      <c r="G52" s="732">
        <f t="shared" si="6"/>
        <v>0</v>
      </c>
      <c r="H52" s="732">
        <f t="shared" si="6"/>
        <v>9009.0419907913783</v>
      </c>
      <c r="I52" s="732">
        <f t="shared" si="6"/>
        <v>1610.8897061325033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10647.459731776406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759.37333686438637</v>
      </c>
      <c r="D54" s="703">
        <f ca="1">+landbouw!C12</f>
        <v>0</v>
      </c>
      <c r="E54" s="703">
        <f>+landbouw!D12</f>
        <v>24.03729690114843</v>
      </c>
      <c r="F54" s="703">
        <f>+landbouw!E12</f>
        <v>22.539968464862071</v>
      </c>
      <c r="G54" s="703">
        <f>+landbouw!F12</f>
        <v>3758.0455261098182</v>
      </c>
      <c r="H54" s="703">
        <f>+landbouw!G12</f>
        <v>0</v>
      </c>
      <c r="I54" s="703">
        <f>+landbouw!H12</f>
        <v>0</v>
      </c>
      <c r="J54" s="703">
        <f>+landbouw!I12</f>
        <v>0</v>
      </c>
      <c r="K54" s="703">
        <f>+landbouw!J12</f>
        <v>196.24362619154192</v>
      </c>
      <c r="L54" s="703">
        <f>+landbouw!K12</f>
        <v>0</v>
      </c>
      <c r="M54" s="703">
        <f>+landbouw!L12</f>
        <v>0</v>
      </c>
      <c r="N54" s="703">
        <f>+landbouw!M12</f>
        <v>0</v>
      </c>
      <c r="O54" s="703">
        <f>+landbouw!N12</f>
        <v>0</v>
      </c>
      <c r="P54" s="703">
        <f>+landbouw!O12</f>
        <v>0</v>
      </c>
      <c r="Q54" s="704">
        <f>+landbouw!P12</f>
        <v>0</v>
      </c>
      <c r="R54" s="731">
        <f ca="1">SUM(C54:Q54)</f>
        <v>4760.2397545317572</v>
      </c>
    </row>
    <row r="55" spans="1:18" ht="15" thickBot="1">
      <c r="A55" s="825" t="s">
        <v>848</v>
      </c>
      <c r="B55" s="835"/>
      <c r="C55" s="703">
        <f ca="1">C25*'EF ele_warmte'!B12</f>
        <v>90.422117675842557</v>
      </c>
      <c r="D55" s="703"/>
      <c r="E55" s="703">
        <f>E25*EF_CO2_aardgas</f>
        <v>203.04627386720003</v>
      </c>
      <c r="F55" s="703"/>
      <c r="G55" s="703"/>
      <c r="H55" s="703"/>
      <c r="I55" s="703"/>
      <c r="J55" s="703"/>
      <c r="K55" s="703"/>
      <c r="L55" s="703"/>
      <c r="M55" s="703"/>
      <c r="N55" s="703"/>
      <c r="O55" s="703"/>
      <c r="P55" s="703"/>
      <c r="Q55" s="704"/>
      <c r="R55" s="731">
        <f ca="1">SUM(C55:Q55)</f>
        <v>293.46839154304257</v>
      </c>
    </row>
    <row r="56" spans="1:18" ht="15.75" thickBot="1">
      <c r="A56" s="823" t="s">
        <v>849</v>
      </c>
      <c r="B56" s="836"/>
      <c r="C56" s="732">
        <f ca="1">SUM(C54:C55)</f>
        <v>849.79545454022889</v>
      </c>
      <c r="D56" s="732">
        <f t="shared" ref="D56:Q56" ca="1" si="7">SUM(D54:D55)</f>
        <v>0</v>
      </c>
      <c r="E56" s="732">
        <f t="shared" si="7"/>
        <v>227.08357076834847</v>
      </c>
      <c r="F56" s="732">
        <f t="shared" si="7"/>
        <v>22.539968464862071</v>
      </c>
      <c r="G56" s="732">
        <f t="shared" si="7"/>
        <v>3758.0455261098182</v>
      </c>
      <c r="H56" s="732">
        <f t="shared" si="7"/>
        <v>0</v>
      </c>
      <c r="I56" s="732">
        <f t="shared" si="7"/>
        <v>0</v>
      </c>
      <c r="J56" s="732">
        <f t="shared" si="7"/>
        <v>0</v>
      </c>
      <c r="K56" s="732">
        <f t="shared" si="7"/>
        <v>196.24362619154192</v>
      </c>
      <c r="L56" s="732">
        <f t="shared" si="7"/>
        <v>0</v>
      </c>
      <c r="M56" s="732">
        <f t="shared" si="7"/>
        <v>0</v>
      </c>
      <c r="N56" s="732">
        <f t="shared" si="7"/>
        <v>0</v>
      </c>
      <c r="O56" s="732">
        <f t="shared" si="7"/>
        <v>0</v>
      </c>
      <c r="P56" s="732">
        <f t="shared" si="7"/>
        <v>0</v>
      </c>
      <c r="Q56" s="733">
        <f t="shared" si="7"/>
        <v>0</v>
      </c>
      <c r="R56" s="734">
        <f ca="1">SUM(R54:R55)</f>
        <v>5053.7081460747995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11889.000851623039</v>
      </c>
      <c r="D61" s="740">
        <f t="shared" ref="D61:Q61" ca="1" si="8">D46+D52+D56</f>
        <v>0</v>
      </c>
      <c r="E61" s="740">
        <f t="shared" ca="1" si="8"/>
        <v>15912.192804711178</v>
      </c>
      <c r="F61" s="740">
        <f t="shared" si="8"/>
        <v>1554.8805659454833</v>
      </c>
      <c r="G61" s="740">
        <f t="shared" ca="1" si="8"/>
        <v>10964.693286191552</v>
      </c>
      <c r="H61" s="740">
        <f t="shared" si="8"/>
        <v>9009.0419907913783</v>
      </c>
      <c r="I61" s="740">
        <f t="shared" si="8"/>
        <v>1610.8897061325033</v>
      </c>
      <c r="J61" s="740">
        <f t="shared" si="8"/>
        <v>0</v>
      </c>
      <c r="K61" s="740">
        <f t="shared" si="8"/>
        <v>930.98444852355726</v>
      </c>
      <c r="L61" s="740">
        <f t="shared" si="8"/>
        <v>0</v>
      </c>
      <c r="M61" s="740">
        <f t="shared" ca="1" si="8"/>
        <v>0</v>
      </c>
      <c r="N61" s="740">
        <f t="shared" si="8"/>
        <v>0</v>
      </c>
      <c r="O61" s="740">
        <f t="shared" ca="1" si="8"/>
        <v>0</v>
      </c>
      <c r="P61" s="740">
        <f t="shared" si="8"/>
        <v>0</v>
      </c>
      <c r="Q61" s="740">
        <f t="shared" si="8"/>
        <v>0</v>
      </c>
      <c r="R61" s="740">
        <f ca="1">R46+R52+R56</f>
        <v>51871.683653918692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0.19720348145581565</v>
      </c>
      <c r="D63" s="781">
        <f t="shared" ca="1" si="9"/>
        <v>0</v>
      </c>
      <c r="E63" s="1023">
        <f t="shared" ca="1" si="9"/>
        <v>0.20200000000000004</v>
      </c>
      <c r="F63" s="781">
        <f t="shared" si="9"/>
        <v>0.22700000000000001</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6491.6026770053631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6491.6026770053631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6491.6026770053631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6491.6026770053631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18617.661073592753</v>
      </c>
      <c r="C4" s="477">
        <f>huishoudens!C8</f>
        <v>0</v>
      </c>
      <c r="D4" s="477">
        <f>huishoudens!D8</f>
        <v>35522.289985930001</v>
      </c>
      <c r="E4" s="477">
        <f>huishoudens!E8</f>
        <v>5353.0145593325178</v>
      </c>
      <c r="F4" s="477">
        <f>huishoudens!F8</f>
        <v>19135.367368071184</v>
      </c>
      <c r="G4" s="477">
        <f>huishoudens!G8</f>
        <v>0</v>
      </c>
      <c r="H4" s="477">
        <f>huishoudens!H8</f>
        <v>0</v>
      </c>
      <c r="I4" s="477">
        <f>huishoudens!I8</f>
        <v>0</v>
      </c>
      <c r="J4" s="477">
        <f>huishoudens!J8</f>
        <v>2008.9522498478484</v>
      </c>
      <c r="K4" s="477">
        <f>huishoudens!K8</f>
        <v>0</v>
      </c>
      <c r="L4" s="477">
        <f>huishoudens!L8</f>
        <v>0</v>
      </c>
      <c r="M4" s="477">
        <f>huishoudens!M8</f>
        <v>0</v>
      </c>
      <c r="N4" s="477">
        <f>huishoudens!N8</f>
        <v>11208.928439543921</v>
      </c>
      <c r="O4" s="477">
        <f>huishoudens!O8</f>
        <v>162.58666666666667</v>
      </c>
      <c r="P4" s="478">
        <f>huishoudens!P8</f>
        <v>266.93333333333334</v>
      </c>
      <c r="Q4" s="479">
        <f>SUM(B4:P4)</f>
        <v>92275.733676318225</v>
      </c>
    </row>
    <row r="5" spans="1:17">
      <c r="A5" s="476" t="s">
        <v>156</v>
      </c>
      <c r="B5" s="477">
        <f ca="1">tertiair!B16</f>
        <v>13799.502101419999</v>
      </c>
      <c r="C5" s="477">
        <f ca="1">tertiair!C16</f>
        <v>0</v>
      </c>
      <c r="D5" s="477">
        <f ca="1">tertiair!D16</f>
        <v>13252.99902883528</v>
      </c>
      <c r="E5" s="477">
        <f>tertiair!E16</f>
        <v>268.72731221982303</v>
      </c>
      <c r="F5" s="477">
        <f ca="1">tertiair!F16</f>
        <v>3423.9259111368428</v>
      </c>
      <c r="G5" s="477">
        <f>tertiair!G16</f>
        <v>0</v>
      </c>
      <c r="H5" s="477">
        <f>tertiair!H16</f>
        <v>0</v>
      </c>
      <c r="I5" s="477">
        <f>tertiair!I16</f>
        <v>0</v>
      </c>
      <c r="J5" s="477">
        <f>tertiair!J16</f>
        <v>0</v>
      </c>
      <c r="K5" s="477">
        <f>tertiair!K16</f>
        <v>0</v>
      </c>
      <c r="L5" s="477">
        <f ca="1">tertiair!L16</f>
        <v>0</v>
      </c>
      <c r="M5" s="477">
        <f>tertiair!M16</f>
        <v>0</v>
      </c>
      <c r="N5" s="477">
        <f ca="1">tertiair!N16</f>
        <v>1553.620504488154</v>
      </c>
      <c r="O5" s="477">
        <f>tertiair!O16</f>
        <v>0</v>
      </c>
      <c r="P5" s="478">
        <f>tertiair!P16</f>
        <v>0</v>
      </c>
      <c r="Q5" s="476">
        <f t="shared" ref="Q5:Q14" ca="1" si="0">SUM(B5:P5)</f>
        <v>32298.774858100103</v>
      </c>
    </row>
    <row r="6" spans="1:17">
      <c r="A6" s="476" t="s">
        <v>194</v>
      </c>
      <c r="B6" s="477">
        <f>'openbare verlichting'!B8</f>
        <v>686.19299999999998</v>
      </c>
      <c r="C6" s="477"/>
      <c r="D6" s="477"/>
      <c r="E6" s="477"/>
      <c r="F6" s="477"/>
      <c r="G6" s="477"/>
      <c r="H6" s="477"/>
      <c r="I6" s="477"/>
      <c r="J6" s="477"/>
      <c r="K6" s="477"/>
      <c r="L6" s="477"/>
      <c r="M6" s="477"/>
      <c r="N6" s="477"/>
      <c r="O6" s="477"/>
      <c r="P6" s="478"/>
      <c r="Q6" s="476">
        <f t="shared" si="0"/>
        <v>686.19299999999998</v>
      </c>
    </row>
    <row r="7" spans="1:17">
      <c r="A7" s="476" t="s">
        <v>112</v>
      </c>
      <c r="B7" s="477">
        <f>landbouw!B8</f>
        <v>3850.7095881800001</v>
      </c>
      <c r="C7" s="477">
        <f>landbouw!C8</f>
        <v>0</v>
      </c>
      <c r="D7" s="477">
        <f>landbouw!D8</f>
        <v>118.99651931261599</v>
      </c>
      <c r="E7" s="477">
        <f>landbouw!E8</f>
        <v>99.295015263709558</v>
      </c>
      <c r="F7" s="477">
        <f>landbouw!F8</f>
        <v>14075.076876815798</v>
      </c>
      <c r="G7" s="477">
        <f>landbouw!G8</f>
        <v>0</v>
      </c>
      <c r="H7" s="477">
        <f>landbouw!H8</f>
        <v>0</v>
      </c>
      <c r="I7" s="477">
        <f>landbouw!I8</f>
        <v>0</v>
      </c>
      <c r="J7" s="477">
        <f>landbouw!J8</f>
        <v>554.36052596480772</v>
      </c>
      <c r="K7" s="477">
        <f>landbouw!K8</f>
        <v>0</v>
      </c>
      <c r="L7" s="477">
        <f>landbouw!L8</f>
        <v>0</v>
      </c>
      <c r="M7" s="477">
        <f>landbouw!M8</f>
        <v>0</v>
      </c>
      <c r="N7" s="477">
        <f>landbouw!N8</f>
        <v>0</v>
      </c>
      <c r="O7" s="477">
        <f>landbouw!O8</f>
        <v>0</v>
      </c>
      <c r="P7" s="478">
        <f>landbouw!P8</f>
        <v>0</v>
      </c>
      <c r="Q7" s="476">
        <f t="shared" si="0"/>
        <v>18698.438525536931</v>
      </c>
    </row>
    <row r="8" spans="1:17">
      <c r="A8" s="476" t="s">
        <v>638</v>
      </c>
      <c r="B8" s="477">
        <f>industrie!B18</f>
        <v>22866.131450798999</v>
      </c>
      <c r="C8" s="477">
        <f>industrie!C18</f>
        <v>0</v>
      </c>
      <c r="D8" s="477">
        <f>industrie!D18</f>
        <v>28849.474947285191</v>
      </c>
      <c r="E8" s="477">
        <f>industrie!E18</f>
        <v>1037.0557417131517</v>
      </c>
      <c r="F8" s="477">
        <f>industrie!F18</f>
        <v>4431.8968334576439</v>
      </c>
      <c r="G8" s="477">
        <f>industrie!G18</f>
        <v>0</v>
      </c>
      <c r="H8" s="477">
        <f>industrie!H18</f>
        <v>0</v>
      </c>
      <c r="I8" s="477">
        <f>industrie!I18</f>
        <v>0</v>
      </c>
      <c r="J8" s="477">
        <f>industrie!J18</f>
        <v>66.586796287788232</v>
      </c>
      <c r="K8" s="477">
        <f>industrie!K18</f>
        <v>0</v>
      </c>
      <c r="L8" s="477">
        <f>industrie!L18</f>
        <v>0</v>
      </c>
      <c r="M8" s="477">
        <f>industrie!M18</f>
        <v>0</v>
      </c>
      <c r="N8" s="477">
        <f>industrie!N18</f>
        <v>2616.4744077750306</v>
      </c>
      <c r="O8" s="477">
        <f>industrie!O18</f>
        <v>0</v>
      </c>
      <c r="P8" s="478">
        <f>industrie!P18</f>
        <v>0</v>
      </c>
      <c r="Q8" s="476">
        <f t="shared" si="0"/>
        <v>59867.620177317796</v>
      </c>
    </row>
    <row r="9" spans="1:17" s="482" customFormat="1">
      <c r="A9" s="480" t="s">
        <v>564</v>
      </c>
      <c r="B9" s="481">
        <f>transport!B14</f>
        <v>9.2674934592765279</v>
      </c>
      <c r="C9" s="481">
        <f>transport!C14</f>
        <v>0</v>
      </c>
      <c r="D9" s="481">
        <f>transport!D14</f>
        <v>24.291651527883786</v>
      </c>
      <c r="E9" s="481">
        <f>transport!E14</f>
        <v>91.601494578653316</v>
      </c>
      <c r="F9" s="481">
        <f>transport!F14</f>
        <v>0</v>
      </c>
      <c r="G9" s="481">
        <f>transport!G14</f>
        <v>33346.888301301093</v>
      </c>
      <c r="H9" s="481">
        <f>transport!H14</f>
        <v>6469.4365708132664</v>
      </c>
      <c r="I9" s="481">
        <f>transport!I14</f>
        <v>0</v>
      </c>
      <c r="J9" s="481">
        <f>transport!J14</f>
        <v>0</v>
      </c>
      <c r="K9" s="481">
        <f>transport!K14</f>
        <v>0</v>
      </c>
      <c r="L9" s="481">
        <f>transport!L14</f>
        <v>0</v>
      </c>
      <c r="M9" s="481">
        <f>transport!M14</f>
        <v>1244.4255973922234</v>
      </c>
      <c r="N9" s="481">
        <f>transport!N14</f>
        <v>0</v>
      </c>
      <c r="O9" s="481">
        <f>transport!O14</f>
        <v>0</v>
      </c>
      <c r="P9" s="481">
        <f>transport!P14</f>
        <v>0</v>
      </c>
      <c r="Q9" s="480">
        <f>SUM(B9:P9)</f>
        <v>41185.911109072404</v>
      </c>
    </row>
    <row r="10" spans="1:17">
      <c r="A10" s="476" t="s">
        <v>554</v>
      </c>
      <c r="B10" s="477">
        <f>transport!B54</f>
        <v>0</v>
      </c>
      <c r="C10" s="477">
        <f>transport!C54</f>
        <v>0</v>
      </c>
      <c r="D10" s="477">
        <f>transport!D54</f>
        <v>0</v>
      </c>
      <c r="E10" s="477">
        <f>transport!E54</f>
        <v>0</v>
      </c>
      <c r="F10" s="477">
        <f>transport!F54</f>
        <v>0</v>
      </c>
      <c r="G10" s="477">
        <f>transport!G54</f>
        <v>394.84200128833788</v>
      </c>
      <c r="H10" s="477">
        <f>transport!H54</f>
        <v>0</v>
      </c>
      <c r="I10" s="477">
        <f>transport!I54</f>
        <v>0</v>
      </c>
      <c r="J10" s="477">
        <f>transport!J54</f>
        <v>0</v>
      </c>
      <c r="K10" s="477">
        <f>transport!K54</f>
        <v>0</v>
      </c>
      <c r="L10" s="477">
        <f>transport!L54</f>
        <v>0</v>
      </c>
      <c r="M10" s="477">
        <f>transport!M54</f>
        <v>12.247115546511317</v>
      </c>
      <c r="N10" s="477">
        <f>transport!N54</f>
        <v>0</v>
      </c>
      <c r="O10" s="477">
        <f>transport!O54</f>
        <v>0</v>
      </c>
      <c r="P10" s="478">
        <f>transport!P54</f>
        <v>0</v>
      </c>
      <c r="Q10" s="476">
        <f t="shared" si="0"/>
        <v>407.08911683484922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458.52191355000002</v>
      </c>
      <c r="C14" s="484"/>
      <c r="D14" s="484">
        <f>'SEAP template'!E25</f>
        <v>1005.1795736</v>
      </c>
      <c r="E14" s="484"/>
      <c r="F14" s="484"/>
      <c r="G14" s="484"/>
      <c r="H14" s="484"/>
      <c r="I14" s="484"/>
      <c r="J14" s="484"/>
      <c r="K14" s="484"/>
      <c r="L14" s="484"/>
      <c r="M14" s="484"/>
      <c r="N14" s="484"/>
      <c r="O14" s="484"/>
      <c r="P14" s="485"/>
      <c r="Q14" s="476">
        <f t="shared" si="0"/>
        <v>1463.70148715</v>
      </c>
    </row>
    <row r="15" spans="1:17" s="486" customFormat="1">
      <c r="A15" s="1038" t="s">
        <v>558</v>
      </c>
      <c r="B15" s="978">
        <f ca="1">SUM(B4:B14)</f>
        <v>60287.98662100103</v>
      </c>
      <c r="C15" s="978">
        <f t="shared" ref="C15:Q15" ca="1" si="1">SUM(C4:C14)</f>
        <v>0</v>
      </c>
      <c r="D15" s="978">
        <f t="shared" ca="1" si="1"/>
        <v>78773.231706490973</v>
      </c>
      <c r="E15" s="978">
        <f t="shared" si="1"/>
        <v>6849.6941231078563</v>
      </c>
      <c r="F15" s="978">
        <f t="shared" ca="1" si="1"/>
        <v>41066.266989481468</v>
      </c>
      <c r="G15" s="978">
        <f t="shared" si="1"/>
        <v>33741.730302589429</v>
      </c>
      <c r="H15" s="978">
        <f t="shared" si="1"/>
        <v>6469.4365708132664</v>
      </c>
      <c r="I15" s="978">
        <f t="shared" si="1"/>
        <v>0</v>
      </c>
      <c r="J15" s="978">
        <f t="shared" si="1"/>
        <v>2629.8995721004444</v>
      </c>
      <c r="K15" s="978">
        <f t="shared" si="1"/>
        <v>0</v>
      </c>
      <c r="L15" s="978">
        <f t="shared" ca="1" si="1"/>
        <v>0</v>
      </c>
      <c r="M15" s="978">
        <f t="shared" si="1"/>
        <v>1256.6727129387348</v>
      </c>
      <c r="N15" s="978">
        <f t="shared" ca="1" si="1"/>
        <v>15379.023351807105</v>
      </c>
      <c r="O15" s="978">
        <f t="shared" si="1"/>
        <v>162.58666666666667</v>
      </c>
      <c r="P15" s="978">
        <f t="shared" si="1"/>
        <v>266.93333333333334</v>
      </c>
      <c r="Q15" s="978">
        <f t="shared" ca="1" si="1"/>
        <v>246883.46195033033</v>
      </c>
    </row>
    <row r="17" spans="1:17">
      <c r="A17" s="487" t="s">
        <v>559</v>
      </c>
      <c r="B17" s="786">
        <f ca="1">huishoudens!B10</f>
        <v>0.1972034814558157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3671.4675802769107</v>
      </c>
      <c r="C22" s="477">
        <f t="shared" ref="C22:C32" ca="1" si="3">C4*$C$17</f>
        <v>0</v>
      </c>
      <c r="D22" s="477">
        <f t="shared" ref="D22:D32" si="4">D4*$D$17</f>
        <v>7175.5025771578612</v>
      </c>
      <c r="E22" s="477">
        <f t="shared" ref="E22:E32" si="5">E4*$E$17</f>
        <v>1215.1343049684815</v>
      </c>
      <c r="F22" s="477">
        <f t="shared" ref="F22:F32" si="6">F4*$F$17</f>
        <v>5109.1430872750061</v>
      </c>
      <c r="G22" s="477">
        <f t="shared" ref="G22:G32" si="7">G4*$G$17</f>
        <v>0</v>
      </c>
      <c r="H22" s="477">
        <f t="shared" ref="H22:H32" si="8">H4*$H$17</f>
        <v>0</v>
      </c>
      <c r="I22" s="477">
        <f t="shared" ref="I22:I32" si="9">I4*$I$17</f>
        <v>0</v>
      </c>
      <c r="J22" s="477">
        <f t="shared" ref="J22:J32" si="10">J4*$J$17</f>
        <v>711.16909644613827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17882.416646124395</v>
      </c>
    </row>
    <row r="23" spans="1:17">
      <c r="A23" s="476" t="s">
        <v>156</v>
      </c>
      <c r="B23" s="477">
        <f t="shared" ca="1" si="2"/>
        <v>2721.3098567568686</v>
      </c>
      <c r="C23" s="477">
        <f t="shared" ca="1" si="3"/>
        <v>0</v>
      </c>
      <c r="D23" s="477">
        <f t="shared" ca="1" si="4"/>
        <v>2677.1058038247265</v>
      </c>
      <c r="E23" s="477">
        <f t="shared" si="5"/>
        <v>61.001099873899832</v>
      </c>
      <c r="F23" s="477">
        <f t="shared" ca="1" si="6"/>
        <v>914.18821827353713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6373.6049787290322</v>
      </c>
    </row>
    <row r="24" spans="1:17">
      <c r="A24" s="476" t="s">
        <v>194</v>
      </c>
      <c r="B24" s="477">
        <f t="shared" ca="1" si="2"/>
        <v>135.31964855061054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135.31964855061054</v>
      </c>
    </row>
    <row r="25" spans="1:17">
      <c r="A25" s="476" t="s">
        <v>112</v>
      </c>
      <c r="B25" s="477">
        <f t="shared" ca="1" si="2"/>
        <v>759.37333686438637</v>
      </c>
      <c r="C25" s="477">
        <f t="shared" ca="1" si="3"/>
        <v>0</v>
      </c>
      <c r="D25" s="477">
        <f t="shared" si="4"/>
        <v>24.03729690114843</v>
      </c>
      <c r="E25" s="477">
        <f t="shared" si="5"/>
        <v>22.539968464862071</v>
      </c>
      <c r="F25" s="477">
        <f t="shared" si="6"/>
        <v>3758.0455261098182</v>
      </c>
      <c r="G25" s="477">
        <f t="shared" si="7"/>
        <v>0</v>
      </c>
      <c r="H25" s="477">
        <f t="shared" si="8"/>
        <v>0</v>
      </c>
      <c r="I25" s="477">
        <f t="shared" si="9"/>
        <v>0</v>
      </c>
      <c r="J25" s="477">
        <f t="shared" si="10"/>
        <v>196.24362619154192</v>
      </c>
      <c r="K25" s="477">
        <f t="shared" si="11"/>
        <v>0</v>
      </c>
      <c r="L25" s="477">
        <f t="shared" si="12"/>
        <v>0</v>
      </c>
      <c r="M25" s="477">
        <f t="shared" si="13"/>
        <v>0</v>
      </c>
      <c r="N25" s="477">
        <f t="shared" si="14"/>
        <v>0</v>
      </c>
      <c r="O25" s="477">
        <f t="shared" si="15"/>
        <v>0</v>
      </c>
      <c r="P25" s="478">
        <f t="shared" si="16"/>
        <v>0</v>
      </c>
      <c r="Q25" s="476">
        <f t="shared" ca="1" si="17"/>
        <v>4760.2397545317572</v>
      </c>
    </row>
    <row r="26" spans="1:17">
      <c r="A26" s="476" t="s">
        <v>638</v>
      </c>
      <c r="B26" s="477">
        <f t="shared" ca="1" si="2"/>
        <v>4509.2807295238845</v>
      </c>
      <c r="C26" s="477">
        <f t="shared" ca="1" si="3"/>
        <v>0</v>
      </c>
      <c r="D26" s="477">
        <f t="shared" si="4"/>
        <v>5827.5939393516092</v>
      </c>
      <c r="E26" s="477">
        <f t="shared" si="5"/>
        <v>235.41165336888545</v>
      </c>
      <c r="F26" s="477">
        <f t="shared" si="6"/>
        <v>1183.3164545331911</v>
      </c>
      <c r="G26" s="477">
        <f t="shared" si="7"/>
        <v>0</v>
      </c>
      <c r="H26" s="477">
        <f t="shared" si="8"/>
        <v>0</v>
      </c>
      <c r="I26" s="477">
        <f t="shared" si="9"/>
        <v>0</v>
      </c>
      <c r="J26" s="477">
        <f t="shared" si="10"/>
        <v>23.571725885877033</v>
      </c>
      <c r="K26" s="477">
        <f t="shared" si="11"/>
        <v>0</v>
      </c>
      <c r="L26" s="477">
        <f t="shared" si="12"/>
        <v>0</v>
      </c>
      <c r="M26" s="477">
        <f t="shared" si="13"/>
        <v>0</v>
      </c>
      <c r="N26" s="477">
        <f t="shared" si="14"/>
        <v>0</v>
      </c>
      <c r="O26" s="477">
        <f t="shared" si="15"/>
        <v>0</v>
      </c>
      <c r="P26" s="478">
        <f t="shared" si="16"/>
        <v>0</v>
      </c>
      <c r="Q26" s="476">
        <f t="shared" ca="1" si="17"/>
        <v>11779.174502663447</v>
      </c>
    </row>
    <row r="27" spans="1:17" s="482" customFormat="1">
      <c r="A27" s="480" t="s">
        <v>564</v>
      </c>
      <c r="B27" s="780">
        <f t="shared" ca="1" si="2"/>
        <v>1.8275819745383322</v>
      </c>
      <c r="C27" s="481">
        <f t="shared" ca="1" si="3"/>
        <v>0</v>
      </c>
      <c r="D27" s="481">
        <f t="shared" si="4"/>
        <v>4.9069136086325251</v>
      </c>
      <c r="E27" s="481">
        <f t="shared" si="5"/>
        <v>20.793539269354305</v>
      </c>
      <c r="F27" s="481">
        <f t="shared" si="6"/>
        <v>0</v>
      </c>
      <c r="G27" s="481">
        <f t="shared" si="7"/>
        <v>8903.6191764473915</v>
      </c>
      <c r="H27" s="481">
        <f t="shared" si="8"/>
        <v>1610.8897061325033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10542.036917432419</v>
      </c>
    </row>
    <row r="28" spans="1:17">
      <c r="A28" s="476" t="s">
        <v>554</v>
      </c>
      <c r="B28" s="477">
        <f t="shared" ca="1" si="2"/>
        <v>0</v>
      </c>
      <c r="C28" s="477">
        <f t="shared" ca="1" si="3"/>
        <v>0</v>
      </c>
      <c r="D28" s="477">
        <f t="shared" si="4"/>
        <v>0</v>
      </c>
      <c r="E28" s="477">
        <f t="shared" si="5"/>
        <v>0</v>
      </c>
      <c r="F28" s="477">
        <f t="shared" si="6"/>
        <v>0</v>
      </c>
      <c r="G28" s="477">
        <f t="shared" si="7"/>
        <v>105.42281434398622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105.42281434398622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90.422117675842557</v>
      </c>
      <c r="C32" s="477">
        <f t="shared" ca="1" si="3"/>
        <v>0</v>
      </c>
      <c r="D32" s="477">
        <f t="shared" si="4"/>
        <v>203.04627386720003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293.46839154304257</v>
      </c>
    </row>
    <row r="33" spans="1:17" s="486" customFormat="1">
      <c r="A33" s="1038" t="s">
        <v>558</v>
      </c>
      <c r="B33" s="978">
        <f ca="1">SUM(B22:B32)</f>
        <v>11889.000851623041</v>
      </c>
      <c r="C33" s="978">
        <f t="shared" ref="C33:Q33" ca="1" si="18">SUM(C22:C32)</f>
        <v>0</v>
      </c>
      <c r="D33" s="978">
        <f t="shared" ca="1" si="18"/>
        <v>15912.192804711176</v>
      </c>
      <c r="E33" s="978">
        <f t="shared" si="18"/>
        <v>1554.8805659454833</v>
      </c>
      <c r="F33" s="978">
        <f t="shared" ca="1" si="18"/>
        <v>10964.693286191552</v>
      </c>
      <c r="G33" s="978">
        <f t="shared" si="18"/>
        <v>9009.0419907913783</v>
      </c>
      <c r="H33" s="978">
        <f t="shared" si="18"/>
        <v>1610.8897061325033</v>
      </c>
      <c r="I33" s="978">
        <f t="shared" si="18"/>
        <v>0</v>
      </c>
      <c r="J33" s="978">
        <f t="shared" si="18"/>
        <v>930.98444852355726</v>
      </c>
      <c r="K33" s="978">
        <f t="shared" si="18"/>
        <v>0</v>
      </c>
      <c r="L33" s="978">
        <f t="shared" ca="1" si="18"/>
        <v>0</v>
      </c>
      <c r="M33" s="978">
        <f t="shared" si="18"/>
        <v>0</v>
      </c>
      <c r="N33" s="978">
        <f t="shared" ca="1" si="18"/>
        <v>0</v>
      </c>
      <c r="O33" s="978">
        <f t="shared" si="18"/>
        <v>0</v>
      </c>
      <c r="P33" s="978">
        <f t="shared" si="18"/>
        <v>0</v>
      </c>
      <c r="Q33" s="978">
        <f t="shared" ca="1" si="18"/>
        <v>51871.683653918684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6491.6026770053631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6491.6026770053631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0.1972034814558157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0.1972034814558157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2019-08-12T08:24:52Z</dcterms:modified>
</cp:coreProperties>
</file>