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<sst xmlns="http://schemas.openxmlformats.org/spreadsheetml/2006/main" count="2446" uniqueCount="916">
  <si>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</si>
  <si>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</si>
  <si>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</si>
  <si>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</si>
  <si>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</si>
  <si>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</si>
  <si>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</si>
  <si>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</si>
  <si>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</si>
  <si>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</si>
  <si>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</si>
  <si>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</si>
  <si>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</si>
  <si>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</si>
  <si>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</si>
  <si>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</si>
  <si>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</si>
  <si>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</si>
  <si>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</si>
  <si>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</si>
  <si>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</si>
  <si>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</si>
  <si>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</si>
  <si>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</si>
  <si>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</si>
  <si>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</si>
  <si>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</si>
  <si>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</si>
  <si>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</si>
  <si>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</si>
  <si>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</si>
  <si>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</si>
  <si>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</si>
  <si>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</si>
  <si>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</si>
  <si>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</si>
  <si>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</si>
  <si>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</si>
  <si>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</si>
  <si>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</si>
  <si>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</si>
  <si>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</si>
  <si>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</si>
  <si>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</si>
  <si>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</si>
  <si>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</si>
  <si>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</si>
  <si>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</si>
  <si>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</si>
  <si>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</si>
  <si>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</si>
  <si>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</si>
  <si>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</si>
  <si>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</si>
  <si>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</si>
  <si>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</si>
  <si>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</si>
  <si>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</si>
  <si>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</si>
  <si>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</si>
  <si>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</si>
  <si>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</si>
  <si>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</si>
  <si>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</si>
  <si>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</si>
  <si>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</si>
  <si>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</si>
  <si>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</si>
  <si>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</si>
  <si>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</si>
  <si>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</si>
  <si>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</si>
  <si>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</si>
  <si>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</si>
  <si>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</si>
  <si>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</si>
  <si>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</si>
  <si>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</si>
  <si>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</si>
  <si>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</si>
  <si>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</si>
  <si>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</si>
  <si>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</si>
  <si>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</si>
  <si>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</si>
  <si>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</si>
  <si>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</si>
  <si>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</si>
  <si>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</si>
  <si>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</si>
  <si>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</si>
  <si>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</si>
  <si>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</si>
  <si>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</si>
  <si>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</si>
  <si>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</si>
  <si>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</si>
  <si>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</si>
  <si>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</si>
  <si>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</si>
  <si>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</si>
  <si>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</si>
  <si>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</si>
  <si>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</si>
  <si>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</si>
  <si>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</si>
  <si>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</si>
  <si>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</si>
  <si>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</si>
  <si>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</si>
  <si>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</si>
  <si>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</si>
  <si>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</si>
  <si>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</si>
  <si>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</si>
  <si>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</si>
  <si>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</si>
  <si>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</si>
  <si>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</si>
  <si>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</si>
  <si>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</si>
  <si>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</si>
  <si>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</si>
  <si>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</si>
  <si>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</si>
  <si>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</si>
  <si>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</si>
  <si>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</si>
  <si>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</si>
  <si>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</si>
  <si>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</si>
  <si>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</si>
  <si>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</si>
  <si>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</si>
  <si>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</si>
  <si>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</si>
  <si>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</si>
  <si>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</si>
  <si>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</si>
  <si>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</si>
  <si>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</si>
  <si>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</si>
  <si>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</si>
  <si>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</si>
  <si>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</si>
  <si>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</si>
  <si>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</si>
  <si>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</si>
  <si>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</si>
  <si>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</si>
  <si>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</si>
  <si>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</si>
  <si>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</si>
  <si>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</si>
  <si>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</si>
  <si>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</si>
  <si>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</si>
  <si>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</si>
  <si>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</si>
  <si>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</si>
  <si>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</si>
  <si>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</si>
  <si>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</si>
  <si>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</si>
  <si>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</si>
  <si>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</si>
  <si>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</si>
  <si>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</si>
  <si>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</si>
  <si>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</si>
  <si>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</si>
  <si>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</si>
  <si>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</si>
  <si>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</si>
  <si>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</si>
  <si>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</si>
  <si>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</si>
  <si>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</si>
  <si>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</si>
  <si>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</si>
  <si>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</si>
  <si>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</si>
  <si>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</si>
  <si>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</si>
  <si>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</si>
  <si>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</si>
  <si>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</si>
  <si>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</si>
  <si>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</si>
  <si>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</si>
  <si>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</si>
  <si>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</si>
  <si>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</si>
  <si>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</si>
  <si>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</si>
  <si>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</si>
  <si>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</si>
  <si>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</si>
  <si>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</si>
  <si>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</si>
  <si>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</si>
  <si>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</si>
  <si>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</si>
  <si>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</si>
  <si>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</si>
  <si>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</si>
  <si>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</si>
  <si>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</si>
  <si>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</si>
  <si>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</si>
  <si>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</si>
  <si>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</si>
  <si>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</si>
  <si>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</si>
  <si>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</si>
  <si>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</si>
  <si>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</si>
  <si>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</si>
  <si>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</si>
  <si>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</si>
  <si>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</si>
  <si>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</si>
  <si>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</si>
  <si>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</si>
  <si>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</si>
  <si>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</si>
  <si>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</si>
  <si>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</si>
  <si>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</si>
  <si>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</si>
  <si>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</si>
  <si>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</si>
  <si>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</si>
  <si>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</si>
  <si>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</si>
  <si>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</si>
  <si>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</si>
  <si>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</si>
  <si>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</si>
  <si>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</si>
  <si>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</si>
  <si>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</si>
  <si>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</si>
  <si>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</si>
  <si>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</si>
  <si>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</si>
  <si>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</si>
  <si>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</si>
  <si>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</si>
  <si>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</si>
  <si>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</si>
  <si>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</si>
  <si>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</si>
  <si>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</si>
  <si>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</si>
  <si>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</si>
  <si>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</si>
  <si>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</si>
  <si>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</si>
  <si>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</si>
  <si>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</si>
  <si>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</si>
  <si>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</si>
  <si>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</si>
  <si>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</si>
  <si>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</si>
  <si>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</si>
  <si>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</si>
  <si>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</si>
  <si>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</si>
  <si>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</si>
  <si>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</si>
  <si>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</si>
  <si>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</si>
  <si>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</si>
  <si>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</si>
  <si>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</si>
  <si>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</si>
  <si>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</si>
  <si>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</si>
  <si>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</si>
  <si>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</si>
  <si>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</si>
  <si>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</si>
  <si>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</si>
  <si>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</si>
  <si>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</si>
  <si>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</si>
  <si>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</si>
  <si>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</si>
  <si>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</si>
  <si>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</si>
  <si>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</si>
  <si>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</si>
  <si>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</si>
  <si>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</si>
  <si>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</si>
  <si>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</si>
  <si>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</si>
  <si>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</si>
  <si>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</si>
  <si>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</si>
  <si>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</si>
  <si>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</si>
  <si>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</si>
  <si>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</si>
  <si>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</si>
  <si>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</si>
  <si>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</si>
  <si>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</si>
  <si>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</si>
  <si>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</si>
  <si>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</si>
  <si>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</si>
  <si>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</si>
  <si>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</si>
  <si>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</si>
  <si>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</si>
  <si>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</si>
  <si>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</si>
  <si>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</si>
  <si>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</si>
  <si>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</si>
  <si>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</si>
  <si>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</si>
  <si>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</si>
  <si>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</si>
  <si>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</si>
  <si>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</si>
  <si>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</si>
  <si>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</si>
  <si>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</si>
  <si>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</si>
  <si>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</si>
  <si>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</si>
  <si>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</si>
  <si>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</si>
  <si>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</si>
  <si>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</si>
  <si>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</si>
  <si>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</si>
  <si>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</si>
  <si>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</si>
  <si>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</si>
  <si>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</si>
  <si>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</si>
  <si>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</si>
  <si>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</si>
  <si>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</si>
  <si>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</si>
  <si>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</si>
  <si>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</si>
  <si>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</si>
  <si>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</si>
  <si>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</si>
  <si>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</si>
  <si>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</si>
  <si>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</si>
  <si>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</si>
  <si>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</si>
  <si>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</si>
  <si>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</si>
  <si>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</si>
  <si>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</si>
  <si>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</si>
  <si>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</si>
  <si>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</si>
  <si>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</si>
  <si>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</si>
  <si>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</si>
  <si>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</si>
  <si>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</si>
  <si>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</si>
  <si>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</si>
  <si>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</si>
  <si>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</si>
  <si>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</si>
  <si>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</si>
  <si>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</si>
  <si>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</si>
  <si>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</si>
  <si>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</si>
  <si>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</si>
  <si>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</si>
  <si>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</si>
  <si>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</si>
  <si>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</si>
  <si>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</si>
  <si>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</si>
  <si>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</si>
  <si>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</si>
  <si>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</si>
  <si>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</si>
  <si>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</si>
  <si>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</si>
  <si>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</si>
  <si>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</si>
  <si>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</si>
  <si>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</si>
  <si>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</si>
  <si>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</si>
  <si>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</si>
  <si>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</si>
  <si>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</si>
  <si>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</si>
  <si>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</si>
  <si>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</si>
  <si>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</si>
  <si>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</si>
  <si>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</si>
  <si>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</si>
  <si>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</si>
  <si>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</si>
  <si>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</si>
  <si>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</si>
  <si>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</si>
  <si>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</si>
  <si>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</si>
  <si>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</si>
  <si>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</si>
  <si>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</si>
  <si>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</si>
  <si>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</si>
  <si>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</si>
  <si>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</si>
  <si>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</si>
  <si>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</si>
  <si>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</si>
  <si>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</si>
  <si>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</si>
  <si>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</si>
  <si>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</si>
  <si>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</si>
  <si>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</si>
  <si>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</si>
  <si>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</si>
  <si>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</si>
  <si>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</si>
  <si>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</si>
  <si>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</si>
  <si>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</si>
  <si>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</si>
  <si>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</si>
  <si>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</si>
  <si>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</si>
  <si>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</si>
  <si>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</si>
  <si>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</si>
  <si>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</si>
  <si>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</si>
  <si>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</si>
  <si>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</si>
  <si>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</si>
  <si>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</si>
  <si>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</si>
  <si>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</si>
  <si>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</si>
  <si>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</si>
  <si>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</si>
  <si>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</si>
  <si>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</si>
  <si>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</si>
  <si>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</si>
  <si>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</si>
  <si>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</si>
  <si>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</si>
  <si>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</si>
  <si>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</si>
  <si>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</si>
  <si>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</si>
  <si>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</si>
  <si>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</si>
  <si>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</si>
  <si>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</si>
  <si>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</si>
  <si>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</si>
  <si>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</si>
  <si>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</si>
  <si>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</si>
  <si>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</si>
  <si>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</si>
  <si>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</si>
  <si>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</si>
  <si>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</si>
  <si>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</si>
  <si>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</si>
  <si>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</si>
  <si>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</si>
  <si>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</si>
  <si>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</si>
  <si>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</si>
  <si>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</si>
  <si>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</si>
  <si>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</si>
  <si>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</si>
  <si>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</si>
  <si>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</si>
  <si>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</si>
  <si>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</si>
  <si>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</si>
  <si>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</si>
  <si>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</si>
  <si>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</si>
  <si>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</si>
  <si>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</si>
  <si>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</si>
  <si>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</si>
  <si>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</si>
  <si>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</si>
  <si>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</si>
  <si>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</si>
  <si>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</si>
  <si>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</si>
  <si>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</si>
  <si>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</si>
  <si>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</si>
  <si>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</si>
  <si>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</si>
  <si>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</si>
  <si>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</si>
  <si>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</si>
  <si>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</si>
  <si>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</si>
  <si>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</si>
  <si>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</si>
  <si>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</si>
  <si>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</si>
  <si>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</si>
  <si>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</si>
  <si>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</si>
  <si>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</si>
  <si>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</si>
  <si>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</si>
  <si>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</si>
  <si>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</si>
  <si>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</si>
  <si>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</si>
  <si>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</si>
  <si>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</si>
  <si>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</si>
  <si>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</si>
  <si>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</si>
  <si>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</si>
  <si>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</si>
  <si>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</si>
  <si>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</si>
  <si>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</si>
  <si>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</si>
  <si>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</si>
  <si>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</si>
  <si>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</si>
  <si>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</si>
  <si>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</si>
  <si>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</si>
  <si>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</si>
  <si>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</si>
  <si>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</si>
  <si>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</si>
  <si>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</si>
  <si>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</si>
  <si>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</si>
  <si>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</si>
  <si>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</si>
  <si>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</si>
  <si>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</si>
  <si>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</si>
  <si>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</si>
  <si>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</si>
  <si>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</si>
  <si>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</si>
  <si>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</si>
  <si>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</si>
  <si>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</si>
  <si>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</si>
  <si>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</si>
  <si>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</si>
  <si>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</si>
  <si>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</si>
  <si>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</si>
  <si>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</si>
  <si>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</si>
  <si>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</si>
  <si>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</si>
  <si>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</si>
  <si>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</si>
  <si>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</si>
  <si>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</si>
  <si>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</si>
  <si>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</si>
  <si>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</si>
  <si>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</si>
  <si>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</si>
  <si>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</si>
  <si>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</si>
  <si>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</si>
  <si>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</si>
  <si>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</si>
  <si>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</si>
  <si>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</si>
  <si>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</si>
  <si>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</si>
  <si>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</si>
  <si>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</si>
  <si>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</si>
  <si>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</si>
  <si>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</si>
  <si>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</si>
  <si>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</si>
  <si>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</si>
  <si>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</si>
  <si>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</si>
  <si>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</si>
  <si>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</si>
  <si>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</si>
  <si>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</si>
  <si>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</si>
  <si>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</si>
  <si>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</si>
  <si>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</si>
  <si>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</si>
  <si>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</si>
  <si>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</si>
  <si>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</si>
  <si>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</si>
  <si>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</si>
  <si>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</si>
  <si>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</si>
  <si>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</si>
  <si>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</si>
  <si>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</si>
  <si>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</si>
  <si>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</si>
  <si>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</si>
  <si>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</si>
  <si>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</si>
  <si>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</si>
  <si>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</si>
  <si>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</si>
  <si>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</si>
  <si>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</si>
  <si>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</si>
  <si>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</si>
  <si>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</si>
  <si>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</si>
  <si>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</si>
  <si>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</si>
  <si>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</si>
  <si>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</si>
  <si>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</si>
  <si>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</si>
  <si>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</si>
  <si>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</si>
  <si>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</si>
  <si>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</si>
  <si>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</si>
  <si>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</si>
  <si>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</si>
  <si>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</si>
  <si>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</si>
  <si>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</si>
  <si>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</si>
  <si>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</si>
  <si>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</si>
  <si>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</si>
  <si>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</si>
  <si>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</si>
  <si>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</si>
  <si>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</si>
  <si>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</si>
  <si>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</si>
  <si>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</si>
  <si>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</si>
  <si>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</si>
  <si>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</si>
  <si>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</si>
  <si>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</si>
  <si>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</si>
  <si>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</si>
  <si>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</si>
  <si>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</si>
  <si>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</si>
  <si>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</si>
  <si>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</si>
  <si>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</si>
  <si>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</si>
  <si>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</si>
  <si>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</si>
  <si>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</si>
  <si>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</si>
  <si>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</si>
  <si>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</si>
  <si>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</si>
  <si>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</si>
  <si>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</si>
  <si>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</si>
  <si>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</si>
  <si>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</si>
  <si>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</si>
  <si>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</si>
  <si>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</si>
  <si>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</si>
  <si>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</si>
  <si>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</si>
  <si>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</si>
  <si>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</si>
  <si>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</si>
  <si>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</si>
  <si>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</si>
  <si>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</si>
  <si>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</si>
  <si>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</si>
  <si>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</si>
  <si>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</si>
  <si>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</si>
  <si>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</si>
  <si>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</si>
  <si>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</si>
  <si>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</si>
  <si>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</si>
  <si>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</si>
  <si>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</si>
  <si>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</si>
  <si>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</si>
  <si>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</si>
  <si>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</si>
  <si>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</si>
  <si>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</si>
  <si>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</si>
  <si>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</si>
  <si>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</si>
  <si>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</si>
  <si>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</si>
  <si>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</si>
  <si>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</si>
  <si>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</si>
  <si>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</si>
  <si>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</si>
  <si>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</si>
  <si>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</si>
  <si>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</si>
  <si>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</si>
  <si>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</si>
  <si>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</si>
  <si>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</si>
  <si>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</si>
  <si>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</si>
  <si>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</si>
  <si>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</si>
  <si>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</si>
  <si>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</si>
  <si>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</si>
  <si>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</si>
  <si>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</si>
  <si>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</si>
  <si>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</si>
  <si>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</si>
  <si>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</si>
  <si>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</si>
  <si>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</si>
  <si>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</si>
  <si>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</si>
  <si>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</si>
  <si>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</si>
  <si>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</si>
  <si>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</si>
  <si>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</si>
  <si>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</si>
  <si>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</si>
  <si>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</si>
  <si>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</si>
  <si>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</si>
  <si>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</si>
  <si>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</si>
  <si>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</si>
  <si>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</si>
  <si>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</si>
  <si>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</si>
  <si>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</si>
  <si>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</si>
  <si>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</si>
  <si>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</si>
  <si>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</si>
  <si>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</si>
  <si>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</si>
  <si>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</si>
  <si>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</si>
  <si>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</si>
  <si>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</si>
  <si>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</si>
  <si>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</si>
  <si>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</si>
  <si>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</si>
  <si>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</si>
  <si>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</si>
  <si>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</si>
  <si>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</si>
  <si>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</si>
  <si>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</si>
  <si>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</si>
  <si>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</si>
  <si>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</si>
  <si>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</si>
  <si>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</si>
  <si>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</si>
  <si>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</si>
  <si>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</si>
  <si>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</si>
  <si>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</si>
  <si>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</si>
  <si>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</si>
  <si>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</si>
  <si>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</si>
  <si>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</si>
  <si>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</si>
  <si>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</si>
  <si>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</si>
  <si>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</si>
  <si>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</si>
  <si>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</si>
  <si>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</si>
  <si>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</si>
  <si>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</si>
  <si>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</si>
  <si>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</si>
  <si>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</si>
  <si>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</si>
  <si>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</si>
  <si>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</si>
  <si>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</si>
  <si>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</si>
  <si>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</si>
  <si>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</si>
  <si>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</si>
  <si>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</si>
  <si>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</si>
  <si>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</si>
  <si>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</si>
  <si>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</si>
  <si>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</si>
  <si>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</si>
  <si>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</si>
  <si>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</si>
  <si>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</si>
  <si>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</si>
  <si>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</si>
  <si>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</si>
  <si>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</si>
  <si>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</si>
  <si>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</si>
  <si>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</si>
  <si>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</si>
  <si>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</si>
  <si>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</si>
  <si>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</si>
  <si>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</si>
  <si>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</si>
  <si>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</si>
  <si>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</si>
  <si>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</si>
  <si>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</si>
  <si>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</si>
  <si>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</si>
  <si>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</si>
  <si>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</si>
  <si>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</si>
  <si>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</si>
  <si>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</si>
  <si>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</si>
  <si>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</si>
  <si>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</si>
  <si>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</si>
  <si>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</si>
  <si>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</si>
  <si>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</si>
  <si>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</si>
  <si>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</si>
  <si>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</si>
  <si>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</si>
  <si>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</si>
  <si>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</si>
  <si>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</si>
  <si>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</si>
  <si>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36015</t>
  </si>
  <si>
    <t>ROESELARE</t>
  </si>
  <si>
    <t>Paarden&amp;pony's 200 - 600 kg</t>
  </si>
  <si>
    <t>Paarden&amp;pony's &lt; 200 kg</t>
  </si>
  <si>
    <t>referentietaak LNE (2017); Jaarverslag De Lijn (2015)</t>
  </si>
  <si>
    <t>op basis van VEA (maart 2018) en Inventaris Hernieuwbare Energiebronnen (juni 2018)</t>
  </si>
  <si>
    <t>VEA (januari 2017)</t>
  </si>
  <si>
    <t>VEA (juni 2018)</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</si>
  <si>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</si>
  <si>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</si>
  <si>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</si>
  <si>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</si>
  <si>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</si>
  <si>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</si>
  <si>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</si>
  <si>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</si>
  <si>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</si>
  <si>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</si>
  <si>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</si>
  <si>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</si>
  <si>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</si>
  <si>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</si>
  <si>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</si>
  <si>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</si>
  <si>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Maselis nv</t>
  </si>
  <si>
    <t>Kaaistraat 19 , 8800 Roeselare</t>
  </si>
  <si>
    <t>WKK-0592 Maselis</t>
  </si>
  <si>
    <t>Provincie West-Vlaanderen</t>
  </si>
  <si>
    <t>Ieperseweg 87 , 8800 Rumbeke</t>
  </si>
  <si>
    <t>BGS-0053 Beitem-agr.verg</t>
  </si>
  <si>
    <t>biogas - hoofdzakelijk agrarische stromen</t>
  </si>
  <si>
    <t>niet WKK interne verbrandingsmotor (gas)</t>
  </si>
  <si>
    <t>Ieperseweg 87 , 8800 Roeselare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</si>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</sst>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414570.8559171012</c:v>
                </c:pt>
                <c:pt idx="1">
                  <c:v>420600.0742616182</c:v>
                </c:pt>
                <c:pt idx="2">
                  <c:v>5546.2759999999998</c:v>
                </c:pt>
                <c:pt idx="3">
                  <c:v>19027.284084487997</c:v>
                </c:pt>
                <c:pt idx="4">
                  <c:v>591899.54738239932</c:v>
                </c:pt>
                <c:pt idx="5">
                  <c:v>283525.55383385404</c:v>
                </c:pt>
                <c:pt idx="6">
                  <c:v>5269.9295584063821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83392"/>
        <c:axId val="183084928"/>
      </c:barChart>
      <c:catAx>
        <c:axId val="183083392"/>
        <c:scaling>
          <c:orientation val="minMax"/>
        </c:scaling>
        <c:axPos val="b"/>
        <c:numFmt formatCode="General" sourceLinked="0"/>
        <c:tickLblPos val="nextTo"/>
        <c:crossAx val="183084928"/>
        <c:crosses val="autoZero"/>
        <c:auto val="1"/>
        <c:lblAlgn val="ctr"/>
        <c:lblOffset val="100"/>
      </c:catAx>
      <c:valAx>
        <c:axId val="183084928"/>
        <c:scaling>
          <c:orientation val="minMax"/>
        </c:scaling>
        <c:axPos val="l"/>
        <c:majorGridlines/>
        <c:numFmt formatCode="#,##0" sourceLinked="1"/>
        <c:tickLblPos val="nextTo"/>
        <c:crossAx val="183083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414570.8559171012</c:v>
                </c:pt>
                <c:pt idx="1">
                  <c:v>420600.0742616182</c:v>
                </c:pt>
                <c:pt idx="2">
                  <c:v>5546.2759999999998</c:v>
                </c:pt>
                <c:pt idx="3">
                  <c:v>19027.284084487997</c:v>
                </c:pt>
                <c:pt idx="4">
                  <c:v>591899.54738239932</c:v>
                </c:pt>
                <c:pt idx="5">
                  <c:v>283525.55383385404</c:v>
                </c:pt>
                <c:pt idx="6">
                  <c:v>5269.9295584063821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73380.235808910569</c:v>
                </c:pt>
                <c:pt idx="2">
                  <c:v>80624.638440574548</c:v>
                </c:pt>
                <c:pt idx="3">
                  <c:v>1056.1680487259378</c:v>
                </c:pt>
                <c:pt idx="4">
                  <c:v>4693.2449752992552</c:v>
                </c:pt>
                <c:pt idx="5">
                  <c:v>109372.10059496778</c:v>
                </c:pt>
                <c:pt idx="6">
                  <c:v>72637.175086382806</c:v>
                </c:pt>
                <c:pt idx="7">
                  <c:v>1364.74001015151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8704"/>
        <c:axId val="183423744"/>
      </c:barChart>
      <c:catAx>
        <c:axId val="183368704"/>
        <c:scaling>
          <c:orientation val="minMax"/>
        </c:scaling>
        <c:axPos val="b"/>
        <c:numFmt formatCode="General" sourceLinked="0"/>
        <c:tickLblPos val="nextTo"/>
        <c:crossAx val="183423744"/>
        <c:crosses val="autoZero"/>
        <c:auto val="1"/>
        <c:lblAlgn val="ctr"/>
        <c:lblOffset val="100"/>
      </c:catAx>
      <c:valAx>
        <c:axId val="183423744"/>
        <c:scaling>
          <c:orientation val="minMax"/>
        </c:scaling>
        <c:axPos val="l"/>
        <c:majorGridlines/>
        <c:numFmt formatCode="#,##0" sourceLinked="1"/>
        <c:tickLblPos val="nextTo"/>
        <c:crossAx val="183368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73380.235808910569</c:v>
                </c:pt>
                <c:pt idx="2">
                  <c:v>80624.638440574548</c:v>
                </c:pt>
                <c:pt idx="3">
                  <c:v>1056.1680487259378</c:v>
                </c:pt>
                <c:pt idx="4">
                  <c:v>4693.2449752992552</c:v>
                </c:pt>
                <c:pt idx="5">
                  <c:v>109372.10059496778</c:v>
                </c:pt>
                <c:pt idx="6">
                  <c:v>72637.175086382806</c:v>
                </c:pt>
                <c:pt idx="7">
                  <c:v>1364.74001015151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36015</v>
      </c>
      <c r="B6" s="415"/>
      <c r="C6" s="416"/>
    </row>
    <row r="7" spans="1:7" s="413" customFormat="1" ht="15.75" customHeight="1">
      <c r="A7" s="417" t="str">
        <f>txtMunicipality</f>
        <v>ROESELARE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0.19042832501050036</v>
      </c>
      <c r="C17" s="524">
        <f ca="1">'EF ele_warmte'!B22</f>
        <v>8.816575423735179E-2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0.19042832501050036</v>
      </c>
      <c r="C29" s="525">
        <f ca="1">'EF ele_warmte'!B22</f>
        <v>8.816575423735179E-2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26213</v>
      </c>
      <c r="C9" s="342">
        <v>26419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2406.58</v>
      </c>
    </row>
    <row r="15" spans="1:6">
      <c r="A15" s="348" t="s">
        <v>184</v>
      </c>
      <c r="B15" s="334">
        <v>17</v>
      </c>
    </row>
    <row r="16" spans="1:6">
      <c r="A16" s="348" t="s">
        <v>6</v>
      </c>
      <c r="B16" s="334">
        <v>444</v>
      </c>
    </row>
    <row r="17" spans="1:6">
      <c r="A17" s="348" t="s">
        <v>7</v>
      </c>
      <c r="B17" s="334">
        <v>511</v>
      </c>
    </row>
    <row r="18" spans="1:6">
      <c r="A18" s="348" t="s">
        <v>8</v>
      </c>
      <c r="B18" s="334">
        <v>635</v>
      </c>
    </row>
    <row r="19" spans="1:6">
      <c r="A19" s="348" t="s">
        <v>9</v>
      </c>
      <c r="B19" s="334">
        <v>807</v>
      </c>
    </row>
    <row r="20" spans="1:6">
      <c r="A20" s="348" t="s">
        <v>10</v>
      </c>
      <c r="B20" s="334">
        <v>432</v>
      </c>
    </row>
    <row r="21" spans="1:6">
      <c r="A21" s="348" t="s">
        <v>11</v>
      </c>
      <c r="B21" s="334">
        <v>15953</v>
      </c>
    </row>
    <row r="22" spans="1:6">
      <c r="A22" s="348" t="s">
        <v>12</v>
      </c>
      <c r="B22" s="334">
        <v>34518</v>
      </c>
    </row>
    <row r="23" spans="1:6">
      <c r="A23" s="348" t="s">
        <v>13</v>
      </c>
      <c r="B23" s="334">
        <v>650</v>
      </c>
    </row>
    <row r="24" spans="1:6">
      <c r="A24" s="348" t="s">
        <v>14</v>
      </c>
      <c r="B24" s="334">
        <v>174</v>
      </c>
    </row>
    <row r="25" spans="1:6">
      <c r="A25" s="348" t="s">
        <v>15</v>
      </c>
      <c r="B25" s="334">
        <v>3769</v>
      </c>
    </row>
    <row r="26" spans="1:6">
      <c r="A26" s="348" t="s">
        <v>16</v>
      </c>
      <c r="B26" s="334">
        <v>610</v>
      </c>
    </row>
    <row r="27" spans="1:6">
      <c r="A27" s="348" t="s">
        <v>17</v>
      </c>
      <c r="B27" s="334">
        <v>19</v>
      </c>
    </row>
    <row r="28" spans="1:6" s="356" customFormat="1">
      <c r="A28" s="355" t="s">
        <v>18</v>
      </c>
      <c r="B28" s="355">
        <v>95462</v>
      </c>
    </row>
    <row r="29" spans="1:6">
      <c r="A29" s="355" t="s">
        <v>884</v>
      </c>
      <c r="B29" s="355">
        <v>54</v>
      </c>
      <c r="C29" s="356"/>
      <c r="D29" s="356"/>
      <c r="E29" s="356"/>
      <c r="F29" s="356"/>
    </row>
    <row r="30" spans="1:6">
      <c r="A30" s="355" t="s">
        <v>885</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896545.34514999995</v>
      </c>
      <c r="E36" s="334">
        <v>17</v>
      </c>
      <c r="F36" s="334">
        <v>214558.10526000001</v>
      </c>
    </row>
    <row r="37" spans="1:6">
      <c r="A37" s="348" t="s">
        <v>25</v>
      </c>
      <c r="B37" s="348" t="s">
        <v>28</v>
      </c>
      <c r="C37" s="334">
        <v>0</v>
      </c>
      <c r="D37" s="334">
        <v>0</v>
      </c>
      <c r="E37" s="334">
        <v>0</v>
      </c>
      <c r="F37" s="334">
        <v>0</v>
      </c>
    </row>
    <row r="38" spans="1:6">
      <c r="A38" s="348" t="s">
        <v>25</v>
      </c>
      <c r="B38" s="348" t="s">
        <v>29</v>
      </c>
      <c r="C38" s="334">
        <v>2</v>
      </c>
      <c r="D38" s="334">
        <v>21625.628347999998</v>
      </c>
      <c r="E38" s="334">
        <v>2</v>
      </c>
      <c r="F38" s="334">
        <v>16302.486784999999</v>
      </c>
    </row>
    <row r="39" spans="1:6">
      <c r="A39" s="348" t="s">
        <v>30</v>
      </c>
      <c r="B39" s="348" t="s">
        <v>31</v>
      </c>
      <c r="C39" s="334">
        <v>20947</v>
      </c>
      <c r="D39" s="334">
        <v>290159036.86000001</v>
      </c>
      <c r="E39" s="334">
        <v>25240</v>
      </c>
      <c r="F39" s="334">
        <v>82069253.493000001</v>
      </c>
    </row>
    <row r="40" spans="1:6">
      <c r="A40" s="348" t="s">
        <v>30</v>
      </c>
      <c r="B40" s="348" t="s">
        <v>29</v>
      </c>
      <c r="C40" s="334">
        <v>0</v>
      </c>
      <c r="D40" s="334">
        <v>0</v>
      </c>
      <c r="E40" s="334">
        <v>1</v>
      </c>
      <c r="F40" s="334">
        <v>21221.217324000001</v>
      </c>
    </row>
    <row r="41" spans="1:6">
      <c r="A41" s="348" t="s">
        <v>32</v>
      </c>
      <c r="B41" s="348" t="s">
        <v>33</v>
      </c>
      <c r="C41" s="334">
        <v>292</v>
      </c>
      <c r="D41" s="334">
        <v>9492313.9535000008</v>
      </c>
      <c r="E41" s="334">
        <v>592</v>
      </c>
      <c r="F41" s="334">
        <v>9231437.7400000002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45</v>
      </c>
      <c r="D44" s="334">
        <v>24162611.475000001</v>
      </c>
      <c r="E44" s="334">
        <v>151</v>
      </c>
      <c r="F44" s="334">
        <v>25149984.835999999</v>
      </c>
    </row>
    <row r="45" spans="1:6">
      <c r="A45" s="348" t="s">
        <v>32</v>
      </c>
      <c r="B45" s="348" t="s">
        <v>37</v>
      </c>
      <c r="C45" s="334">
        <v>13</v>
      </c>
      <c r="D45" s="334">
        <v>1364145.3574000001</v>
      </c>
      <c r="E45" s="334">
        <v>19</v>
      </c>
      <c r="F45" s="334">
        <v>27516639.995000001</v>
      </c>
    </row>
    <row r="46" spans="1:6">
      <c r="A46" s="348" t="s">
        <v>32</v>
      </c>
      <c r="B46" s="348" t="s">
        <v>38</v>
      </c>
      <c r="C46" s="334">
        <v>0</v>
      </c>
      <c r="D46" s="334">
        <v>0</v>
      </c>
      <c r="E46" s="334">
        <v>0</v>
      </c>
      <c r="F46" s="334">
        <v>0</v>
      </c>
    </row>
    <row r="47" spans="1:6">
      <c r="A47" s="348" t="s">
        <v>32</v>
      </c>
      <c r="B47" s="348" t="s">
        <v>39</v>
      </c>
      <c r="C47" s="334">
        <v>15</v>
      </c>
      <c r="D47" s="334">
        <v>20869388.197000001</v>
      </c>
      <c r="E47" s="334">
        <v>25</v>
      </c>
      <c r="F47" s="334">
        <v>2687483.9904</v>
      </c>
    </row>
    <row r="48" spans="1:6">
      <c r="A48" s="348" t="s">
        <v>32</v>
      </c>
      <c r="B48" s="348" t="s">
        <v>29</v>
      </c>
      <c r="C48" s="334">
        <v>53</v>
      </c>
      <c r="D48" s="334">
        <v>67937116.236000001</v>
      </c>
      <c r="E48" s="334">
        <v>74</v>
      </c>
      <c r="F48" s="334">
        <v>58007771.619999997</v>
      </c>
    </row>
    <row r="49" spans="1:6">
      <c r="A49" s="348" t="s">
        <v>32</v>
      </c>
      <c r="B49" s="348" t="s">
        <v>40</v>
      </c>
      <c r="C49" s="334">
        <v>8</v>
      </c>
      <c r="D49" s="334">
        <v>610094.92631999997</v>
      </c>
      <c r="E49" s="334">
        <v>26</v>
      </c>
      <c r="F49" s="334">
        <v>2313031.9826000002</v>
      </c>
    </row>
    <row r="50" spans="1:6">
      <c r="A50" s="348" t="s">
        <v>32</v>
      </c>
      <c r="B50" s="348" t="s">
        <v>41</v>
      </c>
      <c r="C50" s="334">
        <v>79</v>
      </c>
      <c r="D50" s="334">
        <v>171816104.75</v>
      </c>
      <c r="E50" s="334">
        <v>112</v>
      </c>
      <c r="F50" s="334">
        <v>84711501.765000001</v>
      </c>
    </row>
    <row r="51" spans="1:6">
      <c r="A51" s="348" t="s">
        <v>42</v>
      </c>
      <c r="B51" s="348" t="s">
        <v>43</v>
      </c>
      <c r="C51" s="334">
        <v>40</v>
      </c>
      <c r="D51" s="334">
        <v>2760952.284</v>
      </c>
      <c r="E51" s="334">
        <v>195</v>
      </c>
      <c r="F51" s="334">
        <v>3382251.1488000001</v>
      </c>
    </row>
    <row r="52" spans="1:6">
      <c r="A52" s="348" t="s">
        <v>42</v>
      </c>
      <c r="B52" s="348" t="s">
        <v>29</v>
      </c>
      <c r="C52" s="334">
        <v>3</v>
      </c>
      <c r="D52" s="334">
        <v>45563.640936000003</v>
      </c>
      <c r="E52" s="334">
        <v>6</v>
      </c>
      <c r="F52" s="334">
        <v>36611.542606000003</v>
      </c>
    </row>
    <row r="53" spans="1:6">
      <c r="A53" s="348" t="s">
        <v>44</v>
      </c>
      <c r="B53" s="348" t="s">
        <v>45</v>
      </c>
      <c r="C53" s="334">
        <v>586</v>
      </c>
      <c r="D53" s="334">
        <v>10382015.324999999</v>
      </c>
      <c r="E53" s="334">
        <v>1083</v>
      </c>
      <c r="F53" s="334">
        <v>4371087.9929</v>
      </c>
    </row>
    <row r="54" spans="1:6">
      <c r="A54" s="348" t="s">
        <v>46</v>
      </c>
      <c r="B54" s="348" t="s">
        <v>47</v>
      </c>
      <c r="C54" s="334">
        <v>0</v>
      </c>
      <c r="D54" s="334">
        <v>0</v>
      </c>
      <c r="E54" s="334">
        <v>1</v>
      </c>
      <c r="F54" s="334">
        <v>5546276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268</v>
      </c>
      <c r="D57" s="334">
        <v>33520538.851</v>
      </c>
      <c r="E57" s="334">
        <v>359</v>
      </c>
      <c r="F57" s="334">
        <v>9102349.6681999993</v>
      </c>
    </row>
    <row r="58" spans="1:6">
      <c r="A58" s="348" t="s">
        <v>49</v>
      </c>
      <c r="B58" s="348" t="s">
        <v>51</v>
      </c>
      <c r="C58" s="334">
        <v>295</v>
      </c>
      <c r="D58" s="334">
        <v>23502014.252999999</v>
      </c>
      <c r="E58" s="334">
        <v>337</v>
      </c>
      <c r="F58" s="334">
        <v>20046388.324999999</v>
      </c>
    </row>
    <row r="59" spans="1:6">
      <c r="A59" s="348" t="s">
        <v>49</v>
      </c>
      <c r="B59" s="348" t="s">
        <v>52</v>
      </c>
      <c r="C59" s="334">
        <v>725</v>
      </c>
      <c r="D59" s="334">
        <v>55343165.395999998</v>
      </c>
      <c r="E59" s="334">
        <v>1189</v>
      </c>
      <c r="F59" s="334">
        <v>50535711.549000002</v>
      </c>
    </row>
    <row r="60" spans="1:6">
      <c r="A60" s="348" t="s">
        <v>49</v>
      </c>
      <c r="B60" s="348" t="s">
        <v>53</v>
      </c>
      <c r="C60" s="334">
        <v>344</v>
      </c>
      <c r="D60" s="334">
        <v>27535803.561000001</v>
      </c>
      <c r="E60" s="334">
        <v>530</v>
      </c>
      <c r="F60" s="334">
        <v>15864310.498</v>
      </c>
    </row>
    <row r="61" spans="1:6">
      <c r="A61" s="348" t="s">
        <v>49</v>
      </c>
      <c r="B61" s="348" t="s">
        <v>54</v>
      </c>
      <c r="C61" s="334">
        <v>908</v>
      </c>
      <c r="D61" s="334">
        <v>31841831.853999998</v>
      </c>
      <c r="E61" s="334">
        <v>1724</v>
      </c>
      <c r="F61" s="334">
        <v>45967549.572999999</v>
      </c>
    </row>
    <row r="62" spans="1:6">
      <c r="A62" s="348" t="s">
        <v>49</v>
      </c>
      <c r="B62" s="348" t="s">
        <v>55</v>
      </c>
      <c r="C62" s="334">
        <v>54</v>
      </c>
      <c r="D62" s="334">
        <v>4049656.1127999998</v>
      </c>
      <c r="E62" s="334">
        <v>81</v>
      </c>
      <c r="F62" s="334">
        <v>2585844.0373999998</v>
      </c>
    </row>
    <row r="63" spans="1:6">
      <c r="A63" s="348" t="s">
        <v>49</v>
      </c>
      <c r="B63" s="348" t="s">
        <v>29</v>
      </c>
      <c r="C63" s="334">
        <v>82</v>
      </c>
      <c r="D63" s="334">
        <v>25899198.041000001</v>
      </c>
      <c r="E63" s="334">
        <v>69</v>
      </c>
      <c r="F63" s="334">
        <v>3686121.1762999999</v>
      </c>
    </row>
    <row r="64" spans="1:6">
      <c r="A64" s="348" t="s">
        <v>56</v>
      </c>
      <c r="B64" s="348" t="s">
        <v>57</v>
      </c>
      <c r="C64" s="334">
        <v>0</v>
      </c>
      <c r="D64" s="334">
        <v>0</v>
      </c>
      <c r="E64" s="334">
        <v>0</v>
      </c>
      <c r="F64" s="334">
        <v>0</v>
      </c>
    </row>
    <row r="65" spans="1:6">
      <c r="A65" s="348" t="s">
        <v>56</v>
      </c>
      <c r="B65" s="348" t="s">
        <v>29</v>
      </c>
      <c r="C65" s="334">
        <v>5</v>
      </c>
      <c r="D65" s="334">
        <v>436813.84973000002</v>
      </c>
      <c r="E65" s="334">
        <v>4</v>
      </c>
      <c r="F65" s="334">
        <v>33512.003981000002</v>
      </c>
    </row>
    <row r="66" spans="1:6">
      <c r="A66" s="348" t="s">
        <v>56</v>
      </c>
      <c r="B66" s="348" t="s">
        <v>58</v>
      </c>
      <c r="C66" s="334">
        <v>0</v>
      </c>
      <c r="D66" s="334">
        <v>0</v>
      </c>
      <c r="E66" s="334">
        <v>23</v>
      </c>
      <c r="F66" s="334">
        <v>591695.26687000005</v>
      </c>
    </row>
    <row r="67" spans="1:6">
      <c r="A67" s="355" t="s">
        <v>56</v>
      </c>
      <c r="B67" s="355" t="s">
        <v>59</v>
      </c>
      <c r="C67" s="334">
        <v>0</v>
      </c>
      <c r="D67" s="334">
        <v>0</v>
      </c>
      <c r="E67" s="334">
        <v>0</v>
      </c>
      <c r="F67" s="334">
        <v>0</v>
      </c>
    </row>
    <row r="68" spans="1:6">
      <c r="A68" s="341" t="s">
        <v>56</v>
      </c>
      <c r="B68" s="341" t="s">
        <v>60</v>
      </c>
      <c r="C68" s="334">
        <v>21</v>
      </c>
      <c r="D68" s="334">
        <v>798819.17535999999</v>
      </c>
      <c r="E68" s="334">
        <v>44</v>
      </c>
      <c r="F68" s="334">
        <v>1553765.1264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135964988</v>
      </c>
      <c r="E73" s="475">
        <v>141712359.61163843</v>
      </c>
    </row>
    <row r="74" spans="1:6">
      <c r="A74" s="348" t="s">
        <v>64</v>
      </c>
      <c r="B74" s="348" t="s">
        <v>667</v>
      </c>
      <c r="C74" s="1294" t="s">
        <v>669</v>
      </c>
      <c r="D74" s="475">
        <v>18720319.383012533</v>
      </c>
      <c r="E74" s="475">
        <v>19270686.712025456</v>
      </c>
    </row>
    <row r="75" spans="1:6">
      <c r="A75" s="348" t="s">
        <v>65</v>
      </c>
      <c r="B75" s="348" t="s">
        <v>666</v>
      </c>
      <c r="C75" s="1294" t="s">
        <v>670</v>
      </c>
      <c r="D75" s="475">
        <v>65287640</v>
      </c>
      <c r="E75" s="475">
        <v>68446519.715184838</v>
      </c>
    </row>
    <row r="76" spans="1:6">
      <c r="A76" s="348" t="s">
        <v>65</v>
      </c>
      <c r="B76" s="348" t="s">
        <v>667</v>
      </c>
      <c r="C76" s="1294" t="s">
        <v>671</v>
      </c>
      <c r="D76" s="475">
        <v>4202114.3830125341</v>
      </c>
      <c r="E76" s="475">
        <v>4352791.949933433</v>
      </c>
    </row>
    <row r="77" spans="1:6">
      <c r="A77" s="348" t="s">
        <v>66</v>
      </c>
      <c r="B77" s="348" t="s">
        <v>666</v>
      </c>
      <c r="C77" s="1294" t="s">
        <v>672</v>
      </c>
      <c r="D77" s="475">
        <v>69726090</v>
      </c>
      <c r="E77" s="475">
        <v>75081531.539657161</v>
      </c>
    </row>
    <row r="78" spans="1:6">
      <c r="A78" s="341" t="s">
        <v>66</v>
      </c>
      <c r="B78" s="341" t="s">
        <v>667</v>
      </c>
      <c r="C78" s="341" t="s">
        <v>673</v>
      </c>
      <c r="D78" s="1295">
        <v>12154135</v>
      </c>
      <c r="E78" s="1295">
        <v>12422295.847706595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1415431.2339749315</v>
      </c>
      <c r="C83" s="475">
        <v>1415431.2339749315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22048.141187779031</v>
      </c>
    </row>
    <row r="91" spans="1:6">
      <c r="A91" s="348" t="s">
        <v>68</v>
      </c>
      <c r="B91" s="334">
        <v>11353.646188769862</v>
      </c>
    </row>
    <row r="92" spans="1:6">
      <c r="A92" s="341" t="s">
        <v>69</v>
      </c>
      <c r="B92" s="342">
        <v>14388.856731957472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15096</v>
      </c>
    </row>
    <row r="98" spans="1:6">
      <c r="A98" s="348" t="s">
        <v>72</v>
      </c>
      <c r="B98" s="334">
        <v>2</v>
      </c>
    </row>
    <row r="99" spans="1:6">
      <c r="A99" s="348" t="s">
        <v>73</v>
      </c>
      <c r="B99" s="334">
        <v>218</v>
      </c>
    </row>
    <row r="100" spans="1:6">
      <c r="A100" s="348" t="s">
        <v>74</v>
      </c>
      <c r="B100" s="334">
        <v>1605</v>
      </c>
    </row>
    <row r="101" spans="1:6">
      <c r="A101" s="348" t="s">
        <v>75</v>
      </c>
      <c r="B101" s="334">
        <v>277</v>
      </c>
    </row>
    <row r="102" spans="1:6">
      <c r="A102" s="348" t="s">
        <v>76</v>
      </c>
      <c r="B102" s="334">
        <v>397</v>
      </c>
    </row>
    <row r="103" spans="1:6">
      <c r="A103" s="348" t="s">
        <v>77</v>
      </c>
      <c r="B103" s="334">
        <v>430</v>
      </c>
    </row>
    <row r="104" spans="1:6">
      <c r="A104" s="348" t="s">
        <v>78</v>
      </c>
      <c r="B104" s="334">
        <v>3828</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110</v>
      </c>
      <c r="C123" s="334">
        <v>82</v>
      </c>
    </row>
    <row r="124" spans="1:6">
      <c r="A124" s="341" t="s">
        <v>89</v>
      </c>
      <c r="B124" s="334">
        <v>3</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583</v>
      </c>
    </row>
    <row r="130" spans="1:6">
      <c r="A130" s="348" t="s">
        <v>295</v>
      </c>
      <c r="B130" s="334">
        <v>3</v>
      </c>
    </row>
    <row r="131" spans="1:6">
      <c r="A131" s="348" t="s">
        <v>296</v>
      </c>
      <c r="B131" s="334">
        <v>11</v>
      </c>
    </row>
    <row r="132" spans="1:6">
      <c r="A132" s="341" t="s">
        <v>297</v>
      </c>
      <c r="B132" s="342">
        <v>54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499637.97420295089</v>
      </c>
      <c r="C3" s="43" t="s">
        <v>170</v>
      </c>
      <c r="D3" s="43"/>
      <c r="E3" s="154"/>
      <c r="F3" s="43"/>
      <c r="G3" s="43"/>
      <c r="H3" s="43"/>
      <c r="I3" s="43"/>
      <c r="J3" s="43"/>
      <c r="K3" s="96"/>
    </row>
    <row r="4" spans="1:11">
      <c r="A4" s="383" t="s">
        <v>171</v>
      </c>
      <c r="B4" s="49">
        <f>IF(ISERROR('SEAP template'!B78+'SEAP template'!C78),0,'SEAP template'!B78+'SEAP template'!C78)</f>
        <v>83178.644108506371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3107.7105882352944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0.19042832501050036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4439.5865546218502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50355.000000000007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8.816575423735179E-2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5546.2759999999998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5546.2759999999998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0.19042832501050036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1056.1680487259378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82090.474710324008</v>
      </c>
      <c r="C5" s="17">
        <f>IF(ISERROR('Eigen informatie GS &amp; warmtenet'!B57),0,'Eigen informatie GS &amp; warmtenet'!B57)</f>
        <v>0</v>
      </c>
      <c r="D5" s="30">
        <f>(SUM(HH_hh_gas_kWh,HH_rest_gas_kWh)/1000)*0.902</f>
        <v>261723.45124771999</v>
      </c>
      <c r="E5" s="17">
        <f>B46*B57</f>
        <v>11972.208070387669</v>
      </c>
      <c r="F5" s="17">
        <f>B51*B62</f>
        <v>0</v>
      </c>
      <c r="G5" s="18"/>
      <c r="H5" s="17"/>
      <c r="I5" s="17"/>
      <c r="J5" s="17">
        <f>B50*B61+C50*C61</f>
        <v>0</v>
      </c>
      <c r="K5" s="17"/>
      <c r="L5" s="17"/>
      <c r="M5" s="17"/>
      <c r="N5" s="17">
        <f>B48*B59+C48*C59</f>
        <v>43204.199033232981</v>
      </c>
      <c r="O5" s="17">
        <f>B69*B70*B71</f>
        <v>1042.7433333333333</v>
      </c>
      <c r="P5" s="17">
        <f>B77*B78*B79/1000-B77*B78*B79/1000/B80</f>
        <v>3184.1333333333332</v>
      </c>
    </row>
    <row r="6" spans="1:16">
      <c r="A6" s="16" t="s">
        <v>624</v>
      </c>
      <c r="B6" s="788">
        <f>kWh_PV_kleiner_dan_10kW</f>
        <v>11353.646188769862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93444.120899093876</v>
      </c>
      <c r="C8" s="21">
        <f>C5</f>
        <v>0</v>
      </c>
      <c r="D8" s="21">
        <f>D5</f>
        <v>261723.45124771999</v>
      </c>
      <c r="E8" s="21">
        <f>E5</f>
        <v>11972.208070387669</v>
      </c>
      <c r="F8" s="21">
        <f>F5</f>
        <v>0</v>
      </c>
      <c r="G8" s="21"/>
      <c r="H8" s="21"/>
      <c r="I8" s="21"/>
      <c r="J8" s="21">
        <f>J5</f>
        <v>0</v>
      </c>
      <c r="K8" s="21"/>
      <c r="L8" s="21">
        <f>L5</f>
        <v>0</v>
      </c>
      <c r="M8" s="21">
        <f>M5</f>
        <v>0</v>
      </c>
      <c r="N8" s="21">
        <f>N5</f>
        <v>43204.199033232981</v>
      </c>
      <c r="O8" s="21">
        <f>O5</f>
        <v>1042.7433333333333</v>
      </c>
      <c r="P8" s="21">
        <f>P5</f>
        <v>3184.1333333333332</v>
      </c>
    </row>
    <row r="9" spans="1:16">
      <c r="B9" s="19"/>
      <c r="C9" s="19"/>
      <c r="D9" s="258"/>
      <c r="E9" s="19"/>
      <c r="F9" s="19"/>
      <c r="G9" s="19"/>
      <c r="H9" s="19"/>
      <c r="I9" s="19"/>
      <c r="J9" s="19"/>
      <c r="K9" s="19"/>
      <c r="L9" s="19"/>
      <c r="M9" s="19"/>
      <c r="N9" s="19"/>
      <c r="O9" s="19"/>
      <c r="P9" s="19"/>
    </row>
    <row r="10" spans="1:16">
      <c r="A10" s="24" t="s">
        <v>214</v>
      </c>
      <c r="B10" s="25">
        <f ca="1">'EF ele_warmte'!B12</f>
        <v>0.19042832501050036</v>
      </c>
      <c r="C10" s="25">
        <f ca="1">'EF ele_warmte'!B22</f>
        <v>8.816575423735179E-2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17794.407424893139</v>
      </c>
      <c r="C12" s="23">
        <f ca="1">C10*C8</f>
        <v>0</v>
      </c>
      <c r="D12" s="23">
        <f>D8*D10</f>
        <v>52868.137152039439</v>
      </c>
      <c r="E12" s="23">
        <f>E10*E8</f>
        <v>2717.6912319780008</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15096</v>
      </c>
      <c r="C18" s="166" t="s">
        <v>111</v>
      </c>
      <c r="D18" s="228"/>
      <c r="E18" s="15"/>
    </row>
    <row r="19" spans="1:7">
      <c r="A19" s="171" t="s">
        <v>72</v>
      </c>
      <c r="B19" s="37">
        <f>aantalw2001_ander</f>
        <v>2</v>
      </c>
      <c r="C19" s="166" t="s">
        <v>111</v>
      </c>
      <c r="D19" s="229"/>
      <c r="E19" s="15"/>
    </row>
    <row r="20" spans="1:7">
      <c r="A20" s="171" t="s">
        <v>73</v>
      </c>
      <c r="B20" s="37">
        <f>aantalw2001_propaan</f>
        <v>218</v>
      </c>
      <c r="C20" s="167">
        <f>IF(ISERROR(B20/SUM($B$20,$B$21,$B$22)*100),0,B20/SUM($B$20,$B$21,$B$22)*100)</f>
        <v>10.380952380952381</v>
      </c>
      <c r="D20" s="229"/>
      <c r="E20" s="15"/>
    </row>
    <row r="21" spans="1:7">
      <c r="A21" s="171" t="s">
        <v>74</v>
      </c>
      <c r="B21" s="37">
        <f>aantalw2001_elektriciteit</f>
        <v>1605</v>
      </c>
      <c r="C21" s="167">
        <f>IF(ISERROR(B21/SUM($B$20,$B$21,$B$22)*100),0,B21/SUM($B$20,$B$21,$B$22)*100)</f>
        <v>76.428571428571416</v>
      </c>
      <c r="D21" s="229"/>
      <c r="E21" s="15"/>
    </row>
    <row r="22" spans="1:7">
      <c r="A22" s="171" t="s">
        <v>75</v>
      </c>
      <c r="B22" s="37">
        <f>aantalw2001_hout</f>
        <v>277</v>
      </c>
      <c r="C22" s="167">
        <f>IF(ISERROR(B22/SUM($B$20,$B$21,$B$22)*100),0,B22/SUM($B$20,$B$21,$B$22)*100)</f>
        <v>13.190476190476192</v>
      </c>
      <c r="D22" s="229"/>
      <c r="E22" s="15"/>
    </row>
    <row r="23" spans="1:7">
      <c r="A23" s="171" t="s">
        <v>76</v>
      </c>
      <c r="B23" s="37">
        <f>aantalw2001_niet_gespec</f>
        <v>397</v>
      </c>
      <c r="C23" s="166" t="s">
        <v>111</v>
      </c>
      <c r="D23" s="228"/>
      <c r="E23" s="15"/>
    </row>
    <row r="24" spans="1:7">
      <c r="A24" s="171" t="s">
        <v>77</v>
      </c>
      <c r="B24" s="37">
        <f>aantalw2001_steenkool</f>
        <v>430</v>
      </c>
      <c r="C24" s="166" t="s">
        <v>111</v>
      </c>
      <c r="D24" s="229"/>
      <c r="E24" s="15"/>
    </row>
    <row r="25" spans="1:7">
      <c r="A25" s="171" t="s">
        <v>78</v>
      </c>
      <c r="B25" s="37">
        <f>aantalw2001_stookolie</f>
        <v>3828</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26213</v>
      </c>
      <c r="C28" s="36"/>
      <c r="D28" s="228"/>
    </row>
    <row r="29" spans="1:7" s="15" customFormat="1">
      <c r="A29" s="230" t="s">
        <v>699</v>
      </c>
      <c r="B29" s="37">
        <f>SUM(HH_hh_gas_aantal,HH_rest_gas_aantal)</f>
        <v>20947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20947</v>
      </c>
      <c r="C32" s="167">
        <f>IF(ISERROR(B32/SUM($B$32,$B$34,$B$35,$B$36,$B$38,$B$39)*100),0,B32/SUM($B$32,$B$34,$B$35,$B$36,$B$38,$B$39)*100)</f>
        <v>80.423097596559927</v>
      </c>
      <c r="D32" s="233"/>
      <c r="G32" s="15"/>
    </row>
    <row r="33" spans="1:7">
      <c r="A33" s="171" t="s">
        <v>72</v>
      </c>
      <c r="B33" s="34" t="s">
        <v>111</v>
      </c>
      <c r="C33" s="167"/>
      <c r="D33" s="233"/>
      <c r="G33" s="15"/>
    </row>
    <row r="34" spans="1:7">
      <c r="A34" s="171" t="s">
        <v>73</v>
      </c>
      <c r="B34" s="33">
        <f>IF((($B$28-$B$32-$B$39-$B$77-$B$38)*C20/100)&lt;0,0,($B$28-$B$32-$B$39-$B$77-$B$38)*C20/100)</f>
        <v>529.32476190476189</v>
      </c>
      <c r="C34" s="167">
        <f>IF(ISERROR(B34/SUM($B$32,$B$34,$B$35,$B$36,$B$38,$B$39)*100),0,B34/SUM($B$32,$B$34,$B$35,$B$36,$B$38,$B$39)*100)</f>
        <v>2.0322689161666356</v>
      </c>
      <c r="D34" s="233"/>
      <c r="G34" s="15"/>
    </row>
    <row r="35" spans="1:7">
      <c r="A35" s="171" t="s">
        <v>74</v>
      </c>
      <c r="B35" s="33">
        <f>IF((($B$28-$B$32-$B$39-$B$77-$B$38)*C21/100)&lt;0,0,($B$28-$B$32-$B$39-$B$77-$B$38)*C21/100)</f>
        <v>3897.0928571428567</v>
      </c>
      <c r="C35" s="167">
        <f>IF(ISERROR(B35/SUM($B$32,$B$34,$B$35,$B$36,$B$38,$B$39)*100),0,B35/SUM($B$32,$B$34,$B$35,$B$36,$B$38,$B$39)*100)</f>
        <v>14.962346836914907</v>
      </c>
      <c r="D35" s="233"/>
      <c r="G35" s="15"/>
    </row>
    <row r="36" spans="1:7">
      <c r="A36" s="171" t="s">
        <v>75</v>
      </c>
      <c r="B36" s="33">
        <f>IF((($B$28-$B$32-$B$39-$B$77-$B$38)*C22/100)&lt;0,0,($B$28-$B$32-$B$39-$B$77-$B$38)*C22/100)</f>
        <v>672.58238095238107</v>
      </c>
      <c r="C36" s="167">
        <f>IF(ISERROR(B36/SUM($B$32,$B$34,$B$35,$B$36,$B$38,$B$39)*100),0,B36/SUM($B$32,$B$34,$B$35,$B$36,$B$38,$B$39)*100)</f>
        <v>2.5822866503585238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20947</v>
      </c>
      <c r="C44" s="34" t="s">
        <v>111</v>
      </c>
      <c r="D44" s="174"/>
    </row>
    <row r="45" spans="1:7">
      <c r="A45" s="171" t="s">
        <v>72</v>
      </c>
      <c r="B45" s="33" t="str">
        <f t="shared" si="0"/>
        <v>-</v>
      </c>
      <c r="C45" s="34" t="s">
        <v>111</v>
      </c>
      <c r="D45" s="174"/>
    </row>
    <row r="46" spans="1:7">
      <c r="A46" s="171" t="s">
        <v>73</v>
      </c>
      <c r="B46" s="33">
        <f t="shared" si="0"/>
        <v>529.32476190476189</v>
      </c>
      <c r="C46" s="34" t="s">
        <v>111</v>
      </c>
      <c r="D46" s="174"/>
    </row>
    <row r="47" spans="1:7">
      <c r="A47" s="171" t="s">
        <v>74</v>
      </c>
      <c r="B47" s="33">
        <f t="shared" si="0"/>
        <v>3897.0928571428567</v>
      </c>
      <c r="C47" s="34" t="s">
        <v>111</v>
      </c>
      <c r="D47" s="174"/>
    </row>
    <row r="48" spans="1:7">
      <c r="A48" s="171" t="s">
        <v>75</v>
      </c>
      <c r="B48" s="33">
        <f t="shared" si="0"/>
        <v>672.58238095238107</v>
      </c>
      <c r="C48" s="33">
        <f>B48*10</f>
        <v>6725.8238095238103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667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147788.27482690001</v>
      </c>
      <c r="C5" s="17">
        <f>IF(ISERROR('Eigen informatie GS &amp; warmtenet'!B58),0,'Eigen informatie GS &amp; warmtenet'!B58)</f>
        <v>0</v>
      </c>
      <c r="D5" s="30">
        <f>SUM(D6:D12)</f>
        <v>181926.37167805759</v>
      </c>
      <c r="E5" s="17">
        <f>SUM(E6:E12)</f>
        <v>2807.4762394092145</v>
      </c>
      <c r="F5" s="17">
        <f>SUM(F6:F12)</f>
        <v>36783.385326775169</v>
      </c>
      <c r="G5" s="18"/>
      <c r="H5" s="17"/>
      <c r="I5" s="17"/>
      <c r="J5" s="17">
        <f>SUM(J6:J12)</f>
        <v>0</v>
      </c>
      <c r="K5" s="17"/>
      <c r="L5" s="17"/>
      <c r="M5" s="17"/>
      <c r="N5" s="17">
        <f>SUM(N6:N12)</f>
        <v>7848.7236115227552</v>
      </c>
      <c r="O5" s="17">
        <f>B38*B39*B40</f>
        <v>4.6900000000000004</v>
      </c>
      <c r="P5" s="17">
        <f>B46*B47*B48/1000-B46*B47*B48/1000/B49</f>
        <v>209.73333333333335</v>
      </c>
      <c r="R5" s="32"/>
    </row>
    <row r="6" spans="1:18">
      <c r="A6" s="32" t="s">
        <v>54</v>
      </c>
      <c r="B6" s="37">
        <f>B26</f>
        <v>45967.549572999997</v>
      </c>
      <c r="C6" s="33"/>
      <c r="D6" s="37">
        <f>IF(ISERROR(TER_kantoor_gas_kWh/1000),0,TER_kantoor_gas_kWh/1000)*0.902</f>
        <v>28721.332332308</v>
      </c>
      <c r="E6" s="33">
        <f>$C$26*'E Balans VL '!I12/100/3.6*1000000</f>
        <v>601.77184772096348</v>
      </c>
      <c r="F6" s="33">
        <f>$C$26*('E Balans VL '!L12+'E Balans VL '!N12)/100/3.6*1000000</f>
        <v>11721.250130201697</v>
      </c>
      <c r="G6" s="34"/>
      <c r="H6" s="33"/>
      <c r="I6" s="33"/>
      <c r="J6" s="33">
        <f>$C$26*('E Balans VL '!D12+'E Balans VL '!E12)/100/3.6*1000000</f>
        <v>0</v>
      </c>
      <c r="K6" s="33"/>
      <c r="L6" s="33"/>
      <c r="M6" s="33"/>
      <c r="N6" s="33">
        <f>$C$26*'E Balans VL '!Y12/100/3.6*1000000</f>
        <v>46.12234283403599</v>
      </c>
      <c r="O6" s="33"/>
      <c r="P6" s="33"/>
      <c r="R6" s="32"/>
    </row>
    <row r="7" spans="1:18">
      <c r="A7" s="32" t="s">
        <v>53</v>
      </c>
      <c r="B7" s="37">
        <f t="shared" ref="B7:B12" si="0">B27</f>
        <v>15864.310497999999</v>
      </c>
      <c r="C7" s="33"/>
      <c r="D7" s="37">
        <f>IF(ISERROR(TER_horeca_gas_kWh/1000),0,TER_horeca_gas_kWh/1000)*0.902</f>
        <v>24837.294812022003</v>
      </c>
      <c r="E7" s="33">
        <f>$C$27*'E Balans VL '!I9/100/3.6*1000000</f>
        <v>525.01217812020252</v>
      </c>
      <c r="F7" s="33">
        <f>$C$27*('E Balans VL '!L9+'E Balans VL '!N9)/100/3.6*1000000</f>
        <v>6821.592714737646</v>
      </c>
      <c r="G7" s="34"/>
      <c r="H7" s="33"/>
      <c r="I7" s="33"/>
      <c r="J7" s="33">
        <f>$C$27*('E Balans VL '!D9+'E Balans VL '!E9)/100/3.6*1000000</f>
        <v>0</v>
      </c>
      <c r="K7" s="33"/>
      <c r="L7" s="33"/>
      <c r="M7" s="33"/>
      <c r="N7" s="33">
        <f>$C$27*'E Balans VL '!Y9/100/3.6*1000000</f>
        <v>3.8187699119385941</v>
      </c>
      <c r="O7" s="33"/>
      <c r="P7" s="33"/>
      <c r="R7" s="32"/>
    </row>
    <row r="8" spans="1:18">
      <c r="A8" s="6" t="s">
        <v>52</v>
      </c>
      <c r="B8" s="37">
        <f t="shared" si="0"/>
        <v>50535.711549</v>
      </c>
      <c r="C8" s="33"/>
      <c r="D8" s="37">
        <f>IF(ISERROR(TER_handel_gas_kWh/1000),0,TER_handel_gas_kWh/1000)*0.902</f>
        <v>49919.535187191999</v>
      </c>
      <c r="E8" s="33">
        <f>$C$28*'E Balans VL '!I13/100/3.6*1000000</f>
        <v>1594.9842727552223</v>
      </c>
      <c r="F8" s="33">
        <f>$C$28*('E Balans VL '!L13+'E Balans VL '!N13)/100/3.6*1000000</f>
        <v>9910.9429133907124</v>
      </c>
      <c r="G8" s="34"/>
      <c r="H8" s="33"/>
      <c r="I8" s="33"/>
      <c r="J8" s="33">
        <f>$C$28*('E Balans VL '!D13+'E Balans VL '!E13)/100/3.6*1000000</f>
        <v>0</v>
      </c>
      <c r="K8" s="33"/>
      <c r="L8" s="33"/>
      <c r="M8" s="33"/>
      <c r="N8" s="33">
        <f>$C$28*'E Balans VL '!Y13/100/3.6*1000000</f>
        <v>59.976078220714939</v>
      </c>
      <c r="O8" s="33"/>
      <c r="P8" s="33"/>
      <c r="R8" s="32"/>
    </row>
    <row r="9" spans="1:18">
      <c r="A9" s="32" t="s">
        <v>51</v>
      </c>
      <c r="B9" s="37">
        <f t="shared" si="0"/>
        <v>20046.388325</v>
      </c>
      <c r="C9" s="33"/>
      <c r="D9" s="37">
        <f>IF(ISERROR(TER_gezond_gas_kWh/1000),0,TER_gezond_gas_kWh/1000)*0.902</f>
        <v>21198.816856205998</v>
      </c>
      <c r="E9" s="33">
        <f>$C$29*'E Balans VL '!I10/100/3.6*1000000</f>
        <v>2.5665241496783526</v>
      </c>
      <c r="F9" s="33">
        <f>$C$29*('E Balans VL '!L10+'E Balans VL '!N10)/100/3.6*1000000</f>
        <v>4176.5029092329069</v>
      </c>
      <c r="G9" s="34"/>
      <c r="H9" s="33"/>
      <c r="I9" s="33"/>
      <c r="J9" s="33">
        <f>$C$29*('E Balans VL '!D10+'E Balans VL '!E10)/100/3.6*1000000</f>
        <v>0</v>
      </c>
      <c r="K9" s="33"/>
      <c r="L9" s="33"/>
      <c r="M9" s="33"/>
      <c r="N9" s="33">
        <f>$C$29*'E Balans VL '!Y10/100/3.6*1000000</f>
        <v>235.4543060459082</v>
      </c>
      <c r="O9" s="33"/>
      <c r="P9" s="33"/>
      <c r="R9" s="32"/>
    </row>
    <row r="10" spans="1:18">
      <c r="A10" s="32" t="s">
        <v>50</v>
      </c>
      <c r="B10" s="37">
        <f t="shared" si="0"/>
        <v>9102.3496681999986</v>
      </c>
      <c r="C10" s="33"/>
      <c r="D10" s="37">
        <f>IF(ISERROR(TER_ander_gas_kWh/1000),0,TER_ander_gas_kWh/1000)*0.902</f>
        <v>30235.526043602</v>
      </c>
      <c r="E10" s="33">
        <f>$C$30*'E Balans VL '!I14/100/3.6*1000000</f>
        <v>13.687793341561614</v>
      </c>
      <c r="F10" s="33">
        <f>$C$30*('E Balans VL '!L14+'E Balans VL '!N14)/100/3.6*1000000</f>
        <v>2009.5053961653653</v>
      </c>
      <c r="G10" s="34"/>
      <c r="H10" s="33"/>
      <c r="I10" s="33"/>
      <c r="J10" s="33">
        <f>$C$30*('E Balans VL '!D14+'E Balans VL '!E14)/100/3.6*1000000</f>
        <v>0</v>
      </c>
      <c r="K10" s="33"/>
      <c r="L10" s="33"/>
      <c r="M10" s="33"/>
      <c r="N10" s="33">
        <f>$C$30*'E Balans VL '!Y14/100/3.6*1000000</f>
        <v>7173.2641035782672</v>
      </c>
      <c r="O10" s="33"/>
      <c r="P10" s="33"/>
      <c r="R10" s="32"/>
    </row>
    <row r="11" spans="1:18">
      <c r="A11" s="32" t="s">
        <v>55</v>
      </c>
      <c r="B11" s="37">
        <f t="shared" si="0"/>
        <v>2585.8440373999997</v>
      </c>
      <c r="C11" s="33"/>
      <c r="D11" s="37">
        <f>IF(ISERROR(TER_onderwijs_gas_kWh/1000),0,TER_onderwijs_gas_kWh/1000)*0.902</f>
        <v>3652.7898137456</v>
      </c>
      <c r="E11" s="33">
        <f>$C$31*'E Balans VL '!I11/100/3.6*1000000</f>
        <v>4.5538880428427051</v>
      </c>
      <c r="F11" s="33">
        <f>$C$31*('E Balans VL '!L11+'E Balans VL '!N11)/100/3.6*1000000</f>
        <v>1193.9309828380483</v>
      </c>
      <c r="G11" s="34"/>
      <c r="H11" s="33"/>
      <c r="I11" s="33"/>
      <c r="J11" s="33">
        <f>$C$31*('E Balans VL '!D11+'E Balans VL '!E11)/100/3.6*1000000</f>
        <v>0</v>
      </c>
      <c r="K11" s="33"/>
      <c r="L11" s="33"/>
      <c r="M11" s="33"/>
      <c r="N11" s="33">
        <f>$C$31*'E Balans VL '!Y11/100/3.6*1000000</f>
        <v>4.817463200741174</v>
      </c>
      <c r="O11" s="33"/>
      <c r="P11" s="33"/>
      <c r="R11" s="32"/>
    </row>
    <row r="12" spans="1:18">
      <c r="A12" s="32" t="s">
        <v>260</v>
      </c>
      <c r="B12" s="37">
        <f t="shared" si="0"/>
        <v>3686.1211763000001</v>
      </c>
      <c r="C12" s="33"/>
      <c r="D12" s="37">
        <f>IF(ISERROR(TER_rest_gas_kWh/1000),0,TER_rest_gas_kWh/1000)*0.902</f>
        <v>23361.076632982</v>
      </c>
      <c r="E12" s="33">
        <f>$C$32*'E Balans VL '!I8/100/3.6*1000000</f>
        <v>64.899735278743165</v>
      </c>
      <c r="F12" s="33">
        <f>$C$32*('E Balans VL '!L8+'E Balans VL '!N8)/100/3.6*1000000</f>
        <v>949.66028020878741</v>
      </c>
      <c r="G12" s="34"/>
      <c r="H12" s="33"/>
      <c r="I12" s="33"/>
      <c r="J12" s="33">
        <f>$C$32*('E Balans VL '!D8+'E Balans VL '!E8)/100/3.6*1000000</f>
        <v>0</v>
      </c>
      <c r="K12" s="33"/>
      <c r="L12" s="33"/>
      <c r="M12" s="33"/>
      <c r="N12" s="33">
        <f>$C$32*'E Balans VL '!Y8/100/3.6*1000000</f>
        <v>325.27054773114958</v>
      </c>
      <c r="O12" s="33"/>
      <c r="P12" s="33"/>
      <c r="R12" s="32"/>
    </row>
    <row r="13" spans="1:18">
      <c r="A13" s="16" t="s">
        <v>491</v>
      </c>
      <c r="B13" s="247">
        <f ca="1">'lokale energieproductie'!N91+'lokale energieproductie'!N60</f>
        <v>29088</v>
      </c>
      <c r="C13" s="247">
        <f ca="1">'lokale energieproductie'!O91+'lokale energieproductie'!O60</f>
        <v>41355.000000000007</v>
      </c>
      <c r="D13" s="310">
        <f ca="1">('lokale energieproductie'!P60+'lokale energieproductie'!P91)*(-1)</f>
        <v>-19362.857142857145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-63745.71428571429</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176876.27482690001</v>
      </c>
      <c r="C16" s="21">
        <f t="shared" ca="1" si="1"/>
        <v>41355.000000000007</v>
      </c>
      <c r="D16" s="21">
        <f t="shared" ca="1" si="1"/>
        <v>162563.51453520043</v>
      </c>
      <c r="E16" s="21">
        <f t="shared" si="1"/>
        <v>2807.4762394092145</v>
      </c>
      <c r="F16" s="21">
        <f t="shared" ca="1" si="1"/>
        <v>36783.385326775169</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0.19042832501050036</v>
      </c>
      <c r="C18" s="25">
        <f ca="1">'EF ele_warmte'!B22</f>
        <v>8.816575423735179E-2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33682.2527493835</v>
      </c>
      <c r="C20" s="23">
        <f t="shared" ref="C20:P20" ca="1" si="2">C16*C18</f>
        <v>3646.094766485684</v>
      </c>
      <c r="D20" s="23">
        <f t="shared" ca="1" si="2"/>
        <v>32837.829936110487</v>
      </c>
      <c r="E20" s="23">
        <f t="shared" si="2"/>
        <v>637.29710634589173</v>
      </c>
      <c r="F20" s="23">
        <f t="shared" ca="1" si="2"/>
        <v>9821.1638822489713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45967.549572999997</v>
      </c>
      <c r="C26" s="39">
        <f>IF(ISERROR(B26*3.6/1000000/'E Balans VL '!Z12*100),0,B26*3.6/1000000/'E Balans VL '!Z12*100)</f>
        <v>0.98466062265236154</v>
      </c>
      <c r="D26" s="237" t="s">
        <v>660</v>
      </c>
      <c r="F26" s="6"/>
    </row>
    <row r="27" spans="1:18">
      <c r="A27" s="231" t="s">
        <v>53</v>
      </c>
      <c r="B27" s="33">
        <f>IF(ISERROR(TER_horeca_ele_kWh/1000),0,TER_horeca_ele_kWh/1000)</f>
        <v>15864.310497999999</v>
      </c>
      <c r="C27" s="39">
        <f>IF(ISERROR(B27*3.6/1000000/'E Balans VL '!Z9*100),0,B27*3.6/1000000/'E Balans VL '!Z9*100)</f>
        <v>1.2730557736840706</v>
      </c>
      <c r="D27" s="237" t="s">
        <v>660</v>
      </c>
      <c r="F27" s="6"/>
    </row>
    <row r="28" spans="1:18">
      <c r="A28" s="171" t="s">
        <v>52</v>
      </c>
      <c r="B28" s="33">
        <f>IF(ISERROR(TER_handel_ele_kWh/1000),0,TER_handel_ele_kWh/1000)</f>
        <v>50535.711549</v>
      </c>
      <c r="C28" s="39">
        <f>IF(ISERROR(B28*3.6/1000000/'E Balans VL '!Z13*100),0,B28*3.6/1000000/'E Balans VL '!Z13*100)</f>
        <v>1.4905136294156822</v>
      </c>
      <c r="D28" s="237" t="s">
        <v>660</v>
      </c>
      <c r="F28" s="6"/>
    </row>
    <row r="29" spans="1:18">
      <c r="A29" s="231" t="s">
        <v>51</v>
      </c>
      <c r="B29" s="33">
        <f>IF(ISERROR(TER_gezond_ele_kWh/1000),0,TER_gezond_ele_kWh/1000)</f>
        <v>20046.388325</v>
      </c>
      <c r="C29" s="39">
        <f>IF(ISERROR(B29*3.6/1000000/'E Balans VL '!Z10*100),0,B29*3.6/1000000/'E Balans VL '!Z10*100)</f>
        <v>2.1404168092842788</v>
      </c>
      <c r="D29" s="237" t="s">
        <v>660</v>
      </c>
      <c r="F29" s="6"/>
    </row>
    <row r="30" spans="1:18">
      <c r="A30" s="231" t="s">
        <v>50</v>
      </c>
      <c r="B30" s="33">
        <f>IF(ISERROR(TER_ander_ele_kWh/1000),0,TER_ander_ele_kWh/1000)</f>
        <v>9102.3496681999986</v>
      </c>
      <c r="C30" s="39">
        <f>IF(ISERROR(B30*3.6/1000000/'E Balans VL '!Z14*100),0,B30*3.6/1000000/'E Balans VL '!Z14*100)</f>
        <v>0.68753621392451947</v>
      </c>
      <c r="D30" s="237" t="s">
        <v>660</v>
      </c>
      <c r="F30" s="6"/>
    </row>
    <row r="31" spans="1:18">
      <c r="A31" s="231" t="s">
        <v>55</v>
      </c>
      <c r="B31" s="33">
        <f>IF(ISERROR(TER_onderwijs_ele_kWh/1000),0,TER_onderwijs_ele_kWh/1000)</f>
        <v>2585.8440373999997</v>
      </c>
      <c r="C31" s="39">
        <f>IF(ISERROR(B31*3.6/1000000/'E Balans VL '!Z11*100),0,B31*3.6/1000000/'E Balans VL '!Z11*100)</f>
        <v>0.52216823329377748</v>
      </c>
      <c r="D31" s="237" t="s">
        <v>660</v>
      </c>
    </row>
    <row r="32" spans="1:18">
      <c r="A32" s="231" t="s">
        <v>260</v>
      </c>
      <c r="B32" s="33">
        <f>IF(ISERROR(TER_rest_ele_kWh/1000),0,TER_rest_ele_kWh/1000)</f>
        <v>3686.1211763000001</v>
      </c>
      <c r="C32" s="39">
        <f>IF(ISERROR(B32*3.6/1000000/'E Balans VL '!Z8*100),0,B32*3.6/1000000/'E Balans VL '!Z8*100)</f>
        <v>3.0563077438235737E-2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209617.851929</v>
      </c>
      <c r="C5" s="17">
        <f>IF(ISERROR('Eigen informatie GS &amp; warmtenet'!B59),0,'Eigen informatie GS &amp; warmtenet'!B59)</f>
        <v>0</v>
      </c>
      <c r="D5" s="30">
        <f>SUM(D6:D15)</f>
        <v>267219.10095548845</v>
      </c>
      <c r="E5" s="17">
        <f>SUM(E6:E15)</f>
        <v>9164.8940507461812</v>
      </c>
      <c r="F5" s="17">
        <f>SUM(F6:F15)</f>
        <v>55421.456838534388</v>
      </c>
      <c r="G5" s="18"/>
      <c r="H5" s="17"/>
      <c r="I5" s="17"/>
      <c r="J5" s="17">
        <f>SUM(J6:J15)</f>
        <v>682.24747375755055</v>
      </c>
      <c r="K5" s="17"/>
      <c r="L5" s="17"/>
      <c r="M5" s="17"/>
      <c r="N5" s="17">
        <f>SUM(N6:N15)</f>
        <v>52493.996134872796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25149.984836</v>
      </c>
      <c r="C8" s="33"/>
      <c r="D8" s="37">
        <f>IF( ISERROR(IND_metaal_Gas_kWH/1000),0,IND_metaal_Gas_kWH/1000)*0.902</f>
        <v>21794.675550450003</v>
      </c>
      <c r="E8" s="33">
        <f>C30*'E Balans VL '!I18/100/3.6*1000000</f>
        <v>904.97253826098222</v>
      </c>
      <c r="F8" s="33">
        <f>C30*'E Balans VL '!L18/100/3.6*1000000+C30*'E Balans VL '!N18/100/3.6*1000000</f>
        <v>10982.183103088129</v>
      </c>
      <c r="G8" s="34"/>
      <c r="H8" s="33"/>
      <c r="I8" s="33"/>
      <c r="J8" s="40">
        <f>C30*'E Balans VL '!D18/100/3.6*1000000+C30*'E Balans VL '!E18/100/3.6*1000000</f>
        <v>0</v>
      </c>
      <c r="K8" s="33"/>
      <c r="L8" s="33"/>
      <c r="M8" s="33"/>
      <c r="N8" s="33">
        <f>C30*'E Balans VL '!Y18/100/3.6*1000000</f>
        <v>1260.5001487546447</v>
      </c>
      <c r="O8" s="33"/>
      <c r="P8" s="33"/>
      <c r="R8" s="32"/>
    </row>
    <row r="9" spans="1:18">
      <c r="A9" s="6" t="s">
        <v>33</v>
      </c>
      <c r="B9" s="37">
        <f t="shared" si="0"/>
        <v>9231.4377399999994</v>
      </c>
      <c r="C9" s="33"/>
      <c r="D9" s="37">
        <f>IF( ISERROR(IND_andere_gas_kWh/1000),0,IND_andere_gas_kWh/1000)*0.902</f>
        <v>8562.0671860570019</v>
      </c>
      <c r="E9" s="33">
        <f>C31*'E Balans VL '!I19/100/3.6*1000000</f>
        <v>2355.6540441189818</v>
      </c>
      <c r="F9" s="33">
        <f>C31*'E Balans VL '!L19/100/3.6*1000000+C31*'E Balans VL '!N19/100/3.6*1000000</f>
        <v>7947.5740323044301</v>
      </c>
      <c r="G9" s="34"/>
      <c r="H9" s="33"/>
      <c r="I9" s="33"/>
      <c r="J9" s="40">
        <f>C31*'E Balans VL '!D19/100/3.6*1000000+C31*'E Balans VL '!E19/100/3.6*1000000</f>
        <v>0</v>
      </c>
      <c r="K9" s="33"/>
      <c r="L9" s="33"/>
      <c r="M9" s="33"/>
      <c r="N9" s="33">
        <f>C31*'E Balans VL '!Y19/100/3.6*1000000</f>
        <v>2886.9867250229304</v>
      </c>
      <c r="O9" s="33"/>
      <c r="P9" s="33"/>
      <c r="R9" s="32"/>
    </row>
    <row r="10" spans="1:18">
      <c r="A10" s="6" t="s">
        <v>41</v>
      </c>
      <c r="B10" s="37">
        <f t="shared" si="0"/>
        <v>84711.501764999994</v>
      </c>
      <c r="C10" s="33"/>
      <c r="D10" s="37">
        <f>IF( ISERROR(IND_voed_gas_kWh/1000),0,IND_voed_gas_kWh/1000)*0.902</f>
        <v>154978.12648450001</v>
      </c>
      <c r="E10" s="33">
        <f>C32*'E Balans VL '!I20/100/3.6*1000000</f>
        <v>2153.482693290322</v>
      </c>
      <c r="F10" s="33">
        <f>C32*'E Balans VL '!L20/100/3.6*1000000+C32*'E Balans VL '!N20/100/3.6*1000000</f>
        <v>19168.941220112629</v>
      </c>
      <c r="G10" s="34"/>
      <c r="H10" s="33"/>
      <c r="I10" s="33"/>
      <c r="J10" s="40">
        <f>C32*'E Balans VL '!D20/100/3.6*1000000+C32*'E Balans VL '!E20/100/3.6*1000000</f>
        <v>0</v>
      </c>
      <c r="K10" s="33"/>
      <c r="L10" s="33"/>
      <c r="M10" s="33"/>
      <c r="N10" s="33">
        <f>C32*'E Balans VL '!Y20/100/3.6*1000000</f>
        <v>31769.109357448116</v>
      </c>
      <c r="O10" s="33"/>
      <c r="P10" s="33"/>
      <c r="R10" s="32"/>
    </row>
    <row r="11" spans="1:18">
      <c r="A11" s="6" t="s">
        <v>40</v>
      </c>
      <c r="B11" s="37">
        <f t="shared" si="0"/>
        <v>2313.0319826000004</v>
      </c>
      <c r="C11" s="33"/>
      <c r="D11" s="37">
        <f>IF( ISERROR(IND_textiel_gas_kWh/1000),0,IND_textiel_gas_kWh/1000)*0.902</f>
        <v>550.30562354064</v>
      </c>
      <c r="E11" s="33">
        <f>C33*'E Balans VL '!I21/100/3.6*1000000</f>
        <v>6.3498948193903324</v>
      </c>
      <c r="F11" s="33">
        <f>C33*'E Balans VL '!L21/100/3.6*1000000+C33*'E Balans VL '!N21/100/3.6*1000000</f>
        <v>122.62731607107405</v>
      </c>
      <c r="G11" s="34"/>
      <c r="H11" s="33"/>
      <c r="I11" s="33"/>
      <c r="J11" s="40">
        <f>C33*'E Balans VL '!D21/100/3.6*1000000+C33*'E Balans VL '!E21/100/3.6*1000000</f>
        <v>0</v>
      </c>
      <c r="K11" s="33"/>
      <c r="L11" s="33"/>
      <c r="M11" s="33"/>
      <c r="N11" s="33">
        <f>C33*'E Balans VL '!Y21/100/3.6*1000000</f>
        <v>4.6488115184651644</v>
      </c>
      <c r="O11" s="33"/>
      <c r="P11" s="33"/>
      <c r="R11" s="32"/>
    </row>
    <row r="12" spans="1:18">
      <c r="A12" s="6" t="s">
        <v>37</v>
      </c>
      <c r="B12" s="37">
        <f t="shared" si="0"/>
        <v>27516.639995000001</v>
      </c>
      <c r="C12" s="33"/>
      <c r="D12" s="37">
        <f>IF( ISERROR(IND_min_gas_kWh/1000),0,IND_min_gas_kWh/1000)*0.902</f>
        <v>1230.4591123748003</v>
      </c>
      <c r="E12" s="33">
        <f>C34*'E Balans VL '!I22/100/3.6*1000000</f>
        <v>584.65963707931314</v>
      </c>
      <c r="F12" s="33">
        <f>C34*'E Balans VL '!L22/100/3.6*1000000+C34*'E Balans VL '!N22/100/3.6*1000000</f>
        <v>4489.5743147038565</v>
      </c>
      <c r="G12" s="34"/>
      <c r="H12" s="33"/>
      <c r="I12" s="33"/>
      <c r="J12" s="40">
        <f>C34*'E Balans VL '!D22/100/3.6*1000000+C34*'E Balans VL '!E22/100/3.6*1000000</f>
        <v>32.059453461106493</v>
      </c>
      <c r="K12" s="33"/>
      <c r="L12" s="33"/>
      <c r="M12" s="33"/>
      <c r="N12" s="33">
        <f>C34*'E Balans VL '!Y22/100/3.6*1000000</f>
        <v>0</v>
      </c>
      <c r="O12" s="33"/>
      <c r="P12" s="33"/>
      <c r="R12" s="32"/>
    </row>
    <row r="13" spans="1:18">
      <c r="A13" s="6" t="s">
        <v>39</v>
      </c>
      <c r="B13" s="37">
        <f t="shared" si="0"/>
        <v>2687.4839904</v>
      </c>
      <c r="C13" s="33"/>
      <c r="D13" s="37">
        <f>IF( ISERROR(IND_papier_gas_kWh/1000),0,IND_papier_gas_kWh/1000)*0.902</f>
        <v>18824.188153694002</v>
      </c>
      <c r="E13" s="33">
        <f>C35*'E Balans VL '!I23/100/3.6*1000000</f>
        <v>11.525836997939727</v>
      </c>
      <c r="F13" s="33">
        <f>C35*'E Balans VL '!L23/100/3.6*1000000+C35*'E Balans VL '!N23/100/3.6*1000000</f>
        <v>67.544814098043091</v>
      </c>
      <c r="G13" s="34"/>
      <c r="H13" s="33"/>
      <c r="I13" s="33"/>
      <c r="J13" s="40">
        <f>C35*'E Balans VL '!D23/100/3.6*1000000+C35*'E Balans VL '!E23/100/3.6*1000000</f>
        <v>179.91231291394669</v>
      </c>
      <c r="K13" s="33"/>
      <c r="L13" s="33"/>
      <c r="M13" s="33"/>
      <c r="N13" s="33">
        <f>C35*'E Balans VL '!Y23/100/3.6*1000000</f>
        <v>4891.8599706044024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58007.77162</v>
      </c>
      <c r="C15" s="33"/>
      <c r="D15" s="37">
        <f>IF( ISERROR(IND_rest_gas_kWh/1000),0,IND_rest_gas_kWh/1000)*0.902</f>
        <v>61279.278844872002</v>
      </c>
      <c r="E15" s="33">
        <f>C37*'E Balans VL '!I15/100/3.6*1000000</f>
        <v>3148.2494061792522</v>
      </c>
      <c r="F15" s="33">
        <f>C37*'E Balans VL '!L15/100/3.6*1000000+C37*'E Balans VL '!N15/100/3.6*1000000</f>
        <v>12643.012038156223</v>
      </c>
      <c r="G15" s="34"/>
      <c r="H15" s="33"/>
      <c r="I15" s="33"/>
      <c r="J15" s="40">
        <f>C37*'E Balans VL '!D15/100/3.6*1000000+C37*'E Balans VL '!E15/100/3.6*1000000</f>
        <v>470.27570738249733</v>
      </c>
      <c r="K15" s="33"/>
      <c r="L15" s="33"/>
      <c r="M15" s="33"/>
      <c r="N15" s="33">
        <f>C37*'E Balans VL '!Y15/100/3.6*1000000</f>
        <v>11680.891121524242</v>
      </c>
      <c r="O15" s="33"/>
      <c r="P15" s="33"/>
      <c r="R15" s="32"/>
    </row>
    <row r="16" spans="1:18">
      <c r="A16" s="16" t="s">
        <v>491</v>
      </c>
      <c r="B16" s="247">
        <f>'lokale energieproductie'!N90+'lokale energieproductie'!N59</f>
        <v>6300</v>
      </c>
      <c r="C16" s="247">
        <f>'lokale energieproductie'!O90+'lokale energieproductie'!O59</f>
        <v>9000</v>
      </c>
      <c r="D16" s="310">
        <f>('lokale energieproductie'!P59+'lokale energieproductie'!P90)*(-1)</f>
        <v>-18000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215917.851929</v>
      </c>
      <c r="C18" s="21">
        <f>C5+C16</f>
        <v>9000</v>
      </c>
      <c r="D18" s="21">
        <f>MAX((D5+D16),0)</f>
        <v>249219.10095548845</v>
      </c>
      <c r="E18" s="21">
        <f>MAX((E5+E16),0)</f>
        <v>9164.8940507461812</v>
      </c>
      <c r="F18" s="21">
        <f>MAX((F5+F16),0)</f>
        <v>55421.456838534388</v>
      </c>
      <c r="G18" s="21"/>
      <c r="H18" s="21"/>
      <c r="I18" s="21"/>
      <c r="J18" s="21">
        <f>MAX((J5+J16),0)</f>
        <v>682.24747375755055</v>
      </c>
      <c r="K18" s="21"/>
      <c r="L18" s="21">
        <f>MAX((L5+L16),0)</f>
        <v>0</v>
      </c>
      <c r="M18" s="21"/>
      <c r="N18" s="21">
        <f>MAX((N5+N16),0)</f>
        <v>52493.996134872796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0.19042832501050036</v>
      </c>
      <c r="C20" s="25">
        <f ca="1">'EF ele_warmte'!B22</f>
        <v>8.816575423735179E-2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41116.874882704702</v>
      </c>
      <c r="C22" s="23">
        <f ca="1">C18*C20</f>
        <v>793.49178813616606</v>
      </c>
      <c r="D22" s="23">
        <f>D18*D20</f>
        <v>50342.258393008669</v>
      </c>
      <c r="E22" s="23">
        <f>E18*E20</f>
        <v>2080.4309495193834</v>
      </c>
      <c r="F22" s="23">
        <f>F18*F20</f>
        <v>14797.528975888683</v>
      </c>
      <c r="G22" s="23"/>
      <c r="H22" s="23"/>
      <c r="I22" s="23"/>
      <c r="J22" s="23">
        <f>J18*J20</f>
        <v>241.51560571017288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25149.984836</v>
      </c>
      <c r="C30" s="39">
        <f>IF(ISERROR(B30*3.6/1000000/'E Balans VL '!Z18*100),0,B30*3.6/1000000/'E Balans VL '!Z18*100)</f>
        <v>5.3287425852844637</v>
      </c>
      <c r="D30" s="237" t="s">
        <v>660</v>
      </c>
    </row>
    <row r="31" spans="1:18">
      <c r="A31" s="6" t="s">
        <v>33</v>
      </c>
      <c r="B31" s="37">
        <f>IF( ISERROR(IND_ander_ele_kWh/1000),0,IND_ander_ele_kWh/1000)</f>
        <v>9231.4377399999994</v>
      </c>
      <c r="C31" s="39">
        <f>IF(ISERROR(B31*3.6/1000000/'E Balans VL '!Z19*100),0,B31*3.6/1000000/'E Balans VL '!Z19*100)</f>
        <v>0.38857217598043325</v>
      </c>
      <c r="D31" s="237" t="s">
        <v>660</v>
      </c>
    </row>
    <row r="32" spans="1:18">
      <c r="A32" s="171" t="s">
        <v>41</v>
      </c>
      <c r="B32" s="37">
        <f>IF( ISERROR(IND_voed_ele_kWh/1000),0,IND_voed_ele_kWh/1000)</f>
        <v>84711.501764999994</v>
      </c>
      <c r="C32" s="39">
        <f>IF(ISERROR(B32*3.6/1000000/'E Balans VL '!Z20*100),0,B32*3.6/1000000/'E Balans VL '!Z20*100)</f>
        <v>14.152014814567082</v>
      </c>
      <c r="D32" s="237" t="s">
        <v>660</v>
      </c>
    </row>
    <row r="33" spans="1:5">
      <c r="A33" s="171" t="s">
        <v>40</v>
      </c>
      <c r="B33" s="37">
        <f>IF( ISERROR(IND_textiel_ele_kWh/1000),0,IND_textiel_ele_kWh/1000)</f>
        <v>2313.0319826000004</v>
      </c>
      <c r="C33" s="39">
        <f>IF(ISERROR(B33*3.6/1000000/'E Balans VL '!Z21*100),0,B33*3.6/1000000/'E Balans VL '!Z21*100)</f>
        <v>0.13504172893144994</v>
      </c>
      <c r="D33" s="237" t="s">
        <v>660</v>
      </c>
    </row>
    <row r="34" spans="1:5">
      <c r="A34" s="171" t="s">
        <v>37</v>
      </c>
      <c r="B34" s="37">
        <f>IF( ISERROR(IND_min_ele_kWh/1000),0,IND_min_ele_kWh/1000)</f>
        <v>27516.639995000001</v>
      </c>
      <c r="C34" s="39">
        <f>IF(ISERROR(B34*3.6/1000000/'E Balans VL '!Z22*100),0,B34*3.6/1000000/'E Balans VL '!Z22*100)</f>
        <v>3.4878825161674585</v>
      </c>
      <c r="D34" s="237" t="s">
        <v>660</v>
      </c>
    </row>
    <row r="35" spans="1:5">
      <c r="A35" s="171" t="s">
        <v>39</v>
      </c>
      <c r="B35" s="37">
        <f>IF( ISERROR(IND_papier_ele_kWh/1000),0,IND_papier_ele_kWh/1000)</f>
        <v>2687.4839904</v>
      </c>
      <c r="C35" s="39">
        <f>IF(ISERROR(B35*3.6/1000000/'E Balans VL '!Z22*100),0,B35*3.6/1000000/'E Balans VL '!Z22*100)</f>
        <v>0.34065308934155403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58007.77162</v>
      </c>
      <c r="C37" s="39">
        <f>IF(ISERROR(B37*3.6/1000000/'E Balans VL '!Z15*100),0,B37*3.6/1000000/'E Balans VL '!Z15*100)</f>
        <v>0.46831920192693222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3418.8626914060001</v>
      </c>
      <c r="C5" s="17">
        <f>'Eigen informatie GS &amp; warmtenet'!B60</f>
        <v>0</v>
      </c>
      <c r="D5" s="30">
        <f>IF(ISERROR(SUM(LB_lb_gas_kWh,LB_rest_gas_kWh)/1000),0,SUM(LB_lb_gas_kWh,LB_rest_gas_kWh)/1000)*0.902</f>
        <v>2531.4773642922719</v>
      </c>
      <c r="E5" s="17">
        <f>B17*'E Balans VL '!I25/3.6*1000000/100</f>
        <v>88.15934189629084</v>
      </c>
      <c r="F5" s="17">
        <f>B17*('E Balans VL '!L25/3.6*1000000+'E Balans VL '!N25/3.6*1000000)/100</f>
        <v>12496.594227860382</v>
      </c>
      <c r="G5" s="18"/>
      <c r="H5" s="17"/>
      <c r="I5" s="17"/>
      <c r="J5" s="17">
        <f>('E Balans VL '!D25+'E Balans VL '!E25)/3.6*1000000*landbouw!B17/100</f>
        <v>492.19045903305187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3418.8626914060001</v>
      </c>
      <c r="C8" s="21">
        <f>C5+C6</f>
        <v>0</v>
      </c>
      <c r="D8" s="21">
        <f>MAX((D5+D6),0)</f>
        <v>2531.4773642922719</v>
      </c>
      <c r="E8" s="21">
        <f>MAX((E5+E6),0)</f>
        <v>88.15934189629084</v>
      </c>
      <c r="F8" s="21">
        <f>MAX((F5+F6),0)</f>
        <v>12496.594227860382</v>
      </c>
      <c r="G8" s="21"/>
      <c r="H8" s="21"/>
      <c r="I8" s="21"/>
      <c r="J8" s="21">
        <f>MAX((J5+J6),0)</f>
        <v>492.19045903305187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0.19042832501050036</v>
      </c>
      <c r="C10" s="31">
        <f ca="1">'EF ele_warmte'!B22</f>
        <v>8.816575423735179E-2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651.04829576533575</v>
      </c>
      <c r="C12" s="23">
        <f ca="1">C8*C10</f>
        <v>0</v>
      </c>
      <c r="D12" s="23">
        <f>D8*D10</f>
        <v>511.35842758703893</v>
      </c>
      <c r="E12" s="23">
        <f>E8*E10</f>
        <v>20.012170610458021</v>
      </c>
      <c r="F12" s="23">
        <f>F8*F10</f>
        <v>3336.590658838722</v>
      </c>
      <c r="G12" s="23"/>
      <c r="H12" s="23"/>
      <c r="I12" s="23"/>
      <c r="J12" s="23">
        <f>J8*J10</f>
        <v>174.23542249770034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0.48208228552692467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282.72058972259816</v>
      </c>
      <c r="C26" s="247">
        <f>B26*'GWP N2O_CH4'!B5</f>
        <v>5937.1323841745616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270.42390188381273</v>
      </c>
      <c r="C27" s="247">
        <f>B27*'GWP N2O_CH4'!B5</f>
        <v>5678.9019395600671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4.3662538607750321</v>
      </c>
      <c r="C28" s="247">
        <f>B28*'GWP N2O_CH4'!B4</f>
        <v>1353.5386968402599</v>
      </c>
      <c r="D28" s="50"/>
    </row>
    <row r="29" spans="1:4">
      <c r="A29" s="41" t="s">
        <v>277</v>
      </c>
      <c r="B29" s="247">
        <f>B34*'ha_N2O bodem landbouw'!B4</f>
        <v>15.876402268537399</v>
      </c>
      <c r="C29" s="247">
        <f>B29*'GWP N2O_CH4'!B4</f>
        <v>4921.6847032465939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3.5730532592170277E-3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2.2859950914362728E-4</v>
      </c>
      <c r="C5" s="463" t="s">
        <v>211</v>
      </c>
      <c r="D5" s="448">
        <f>SUM(D6:D11)</f>
        <v>5.4404382729903009E-4</v>
      </c>
      <c r="E5" s="448">
        <f>SUM(E6:E11)</f>
        <v>2.2021633908232193E-3</v>
      </c>
      <c r="F5" s="461" t="s">
        <v>211</v>
      </c>
      <c r="G5" s="448">
        <f>SUM(G6:G11)</f>
        <v>0.83965778184966511</v>
      </c>
      <c r="H5" s="448">
        <f>SUM(H6:H11)</f>
        <v>0.14719631643639267</v>
      </c>
      <c r="I5" s="463" t="s">
        <v>211</v>
      </c>
      <c r="J5" s="463" t="s">
        <v>211</v>
      </c>
      <c r="K5" s="463" t="s">
        <v>211</v>
      </c>
      <c r="L5" s="463" t="s">
        <v>211</v>
      </c>
      <c r="M5" s="448">
        <f>SUM(M6:M11)</f>
        <v>3.086308878855094E-2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1.1470099846556649E-4</v>
      </c>
      <c r="C6" s="449"/>
      <c r="D6" s="892">
        <f>vkm_2011_GW_PW*SUMIFS(TableVerdeelsleutelVkm[CNG],TableVerdeelsleutelVkm[Voertuigtype],"Lichte voertuigen")*SUMIFS(TableECFTransport[EnergieConsumptieFactor (PJ per km)],TableECFTransport[Index],CONCATENATE($A6,"_CNG_CNG"))</f>
        <v>2.2791289311507295E-4</v>
      </c>
      <c r="E6" s="892">
        <f>vkm_2011_GW_PW*SUMIFS(TableVerdeelsleutelVkm[LPG],TableVerdeelsleutelVkm[Voertuigtype],"Lichte voertuigen")*SUMIFS(TableECFTransport[EnergieConsumptieFactor (PJ per km)],TableECFTransport[Index],CONCATENATE($A6,"_LPG_LPG"))</f>
        <v>8.9691893505534838E-4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0.2132565476729528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6.1702876774054456E-2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8.5679895670136008E-3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0.1793818010471466</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5.7947983764183416E-5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5.6520460831951573E-3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5.5077101874641848E-5</v>
      </c>
      <c r="C8" s="449"/>
      <c r="D8" s="451">
        <f>vkm_2011_NGW_PW*SUMIFS(TableVerdeelsleutelVkm[CNG],TableVerdeelsleutelVkm[Voertuigtype],"Lichte voertuigen")*SUMIFS(TableECFTransport[EnergieConsumptieFactor (PJ per km)],TableECFTransport[Index],CONCATENATE($A8,"_CNG_CNG"))</f>
        <v>1.9377684096655708E-4</v>
      </c>
      <c r="E8" s="451">
        <f>vkm_2011_NGW_PW*SUMIFS(TableVerdeelsleutelVkm[LPG],TableVerdeelsleutelVkm[Voertuigtype],"Lichte voertuigen")*SUMIFS(TableECFTransport[EnergieConsumptieFactor (PJ per km)],TableECFTransport[Index],CONCATENATE($A8,"_LPG_LPG"))</f>
        <v>7.0525301175729683E-4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0.15658599399407799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5.0869258292160706E-2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6.4580010525457634E-3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5.139498017895764E-2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1.5701602228123063E-5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1.619350158165774E-3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5.8821408803418937E-5</v>
      </c>
      <c r="C10" s="449"/>
      <c r="D10" s="451">
        <f>vkm_2011_SW_PW*SUMIFS(TableVerdeelsleutelVkm[CNG],TableVerdeelsleutelVkm[Voertuigtype],"Lichte voertuigen")*SUMIFS(TableECFTransport[EnergieConsumptieFactor (PJ per km)],TableECFTransport[Index],CONCATENATE($A10,"_CNG_CNG"))</f>
        <v>1.2235409321740003E-4</v>
      </c>
      <c r="E10" s="451">
        <f>vkm_2011_SW_PW*SUMIFS(TableVerdeelsleutelVkm[LPG],TableVerdeelsleutelVkm[Voertuigtype],"Lichte voertuigen")*SUMIFS(TableECFTransport[EnergieConsumptieFactor (PJ per km)],TableECFTransport[Index],CONCATENATE($A10,"_LPG_LPG"))</f>
        <v>5.9999144401057399E-4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0.12779128869824444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3.4511811262091567E-2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5.0603903402467246E-3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0.11124717025828572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3.8720522093639306E-5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3.5053115873839211E-3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63.49986365100758</v>
      </c>
      <c r="C14" s="21"/>
      <c r="D14" s="21">
        <f t="shared" ref="D14:M14" si="0">((D5)*10^9/3600)+D12</f>
        <v>151.12328536084166</v>
      </c>
      <c r="E14" s="21">
        <f t="shared" si="0"/>
        <v>611.71205300644988</v>
      </c>
      <c r="F14" s="21"/>
      <c r="G14" s="21">
        <f t="shared" si="0"/>
        <v>233238.27273601809</v>
      </c>
      <c r="H14" s="21">
        <f t="shared" si="0"/>
        <v>40887.865676775742</v>
      </c>
      <c r="I14" s="21"/>
      <c r="J14" s="21"/>
      <c r="K14" s="21"/>
      <c r="L14" s="21"/>
      <c r="M14" s="21">
        <f t="shared" si="0"/>
        <v>8573.0802190419272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0.19042832501050036</v>
      </c>
      <c r="C16" s="56">
        <f ca="1">'EF ele_warmte'!B22</f>
        <v>8.816575423735179E-2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12.092172673456529</v>
      </c>
      <c r="C18" s="23"/>
      <c r="D18" s="23">
        <f t="shared" ref="D18:M18" si="1">D14*D16</f>
        <v>30.526903642890019</v>
      </c>
      <c r="E18" s="23">
        <f t="shared" si="1"/>
        <v>138.85863603246412</v>
      </c>
      <c r="F18" s="23"/>
      <c r="G18" s="23">
        <f t="shared" si="1"/>
        <v>62274.618820516829</v>
      </c>
      <c r="H18" s="23">
        <f t="shared" si="1"/>
        <v>10181.07855351716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1.8400988900919232E-2</v>
      </c>
      <c r="H50" s="321">
        <f t="shared" si="2"/>
        <v>0</v>
      </c>
      <c r="I50" s="321">
        <f t="shared" si="2"/>
        <v>0</v>
      </c>
      <c r="J50" s="321">
        <f t="shared" si="2"/>
        <v>0</v>
      </c>
      <c r="K50" s="321">
        <f t="shared" si="2"/>
        <v>0</v>
      </c>
      <c r="L50" s="321">
        <f t="shared" si="2"/>
        <v>0</v>
      </c>
      <c r="M50" s="321">
        <f t="shared" si="2"/>
        <v>5.7075750934374142E-4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1.8400988900919232E-2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5.7075750934374142E-4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5111.3858058108981</v>
      </c>
      <c r="H54" s="21">
        <f t="shared" si="3"/>
        <v>0</v>
      </c>
      <c r="I54" s="21">
        <f t="shared" si="3"/>
        <v>0</v>
      </c>
      <c r="J54" s="21">
        <f t="shared" si="3"/>
        <v>0</v>
      </c>
      <c r="K54" s="21">
        <f t="shared" si="3"/>
        <v>0</v>
      </c>
      <c r="L54" s="21">
        <f t="shared" si="3"/>
        <v>0</v>
      </c>
      <c r="M54" s="21">
        <f t="shared" si="3"/>
        <v>158.54375259548374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0.19042832501050036</v>
      </c>
      <c r="C56" s="56">
        <f ca="1">'EF ele_warmte'!B22</f>
        <v>8.816575423735179E-2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1364.74001015151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182422.55082690003</v>
      </c>
      <c r="D10" s="1012">
        <f ca="1">tertiair!C16</f>
        <v>41355.000000000007</v>
      </c>
      <c r="E10" s="1012">
        <f ca="1">tertiair!D16</f>
        <v>162563.51453520043</v>
      </c>
      <c r="F10" s="1012">
        <f>tertiair!E16</f>
        <v>2807.4762394092145</v>
      </c>
      <c r="G10" s="1012">
        <f ca="1">tertiair!F16</f>
        <v>36783.385326775169</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4.6900000000000004</v>
      </c>
      <c r="Q10" s="1013">
        <f>tertiair!P16</f>
        <v>209.73333333333335</v>
      </c>
      <c r="R10" s="700">
        <f ca="1">SUM(C10:Q10)</f>
        <v>426146.35026161827</v>
      </c>
      <c r="S10" s="67"/>
    </row>
    <row r="11" spans="1:19" s="473" customFormat="1">
      <c r="A11" s="809" t="s">
        <v>225</v>
      </c>
      <c r="B11" s="814"/>
      <c r="C11" s="1012">
        <f>huishoudens!B8</f>
        <v>93444.120899093876</v>
      </c>
      <c r="D11" s="1012">
        <f>huishoudens!C8</f>
        <v>0</v>
      </c>
      <c r="E11" s="1012">
        <f>huishoudens!D8</f>
        <v>261723.45124771999</v>
      </c>
      <c r="F11" s="1012">
        <f>huishoudens!E8</f>
        <v>11972.208070387669</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43204.199033232981</v>
      </c>
      <c r="P11" s="1012">
        <f>huishoudens!O8</f>
        <v>1042.7433333333333</v>
      </c>
      <c r="Q11" s="1013">
        <f>huishoudens!P8</f>
        <v>3184.1333333333332</v>
      </c>
      <c r="R11" s="700">
        <f>SUM(C11:Q11)</f>
        <v>414570.8559171012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215917.851929</v>
      </c>
      <c r="D13" s="1012">
        <f>industrie!C18</f>
        <v>9000</v>
      </c>
      <c r="E13" s="1012">
        <f>industrie!D18</f>
        <v>249219.10095548845</v>
      </c>
      <c r="F13" s="1012">
        <f>industrie!E18</f>
        <v>9164.8940507461812</v>
      </c>
      <c r="G13" s="1012">
        <f>industrie!F18</f>
        <v>55421.456838534388</v>
      </c>
      <c r="H13" s="1012">
        <f>industrie!G18</f>
        <v>0</v>
      </c>
      <c r="I13" s="1012">
        <f>industrie!H18</f>
        <v>0</v>
      </c>
      <c r="J13" s="1012">
        <f>industrie!I18</f>
        <v>0</v>
      </c>
      <c r="K13" s="1012">
        <f>industrie!J18</f>
        <v>682.24747375755055</v>
      </c>
      <c r="L13" s="1012">
        <f>industrie!K18</f>
        <v>0</v>
      </c>
      <c r="M13" s="1012">
        <f>industrie!L18</f>
        <v>0</v>
      </c>
      <c r="N13" s="1012">
        <f>industrie!M18</f>
        <v>0</v>
      </c>
      <c r="O13" s="1012">
        <f>industrie!N18</f>
        <v>52493.996134872796</v>
      </c>
      <c r="P13" s="1012">
        <f>industrie!O18</f>
        <v>0</v>
      </c>
      <c r="Q13" s="1013">
        <f>industrie!P18</f>
        <v>0</v>
      </c>
      <c r="R13" s="700">
        <f>SUM(C13:Q13)</f>
        <v>591899.54738239932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491784.52365499391</v>
      </c>
      <c r="D16" s="732">
        <f t="shared" ref="D16:R16" ca="1" si="0">SUM(D9:D15)</f>
        <v>50355.000000000007</v>
      </c>
      <c r="E16" s="732">
        <f t="shared" ca="1" si="0"/>
        <v>673506.06673840887</v>
      </c>
      <c r="F16" s="732">
        <f t="shared" si="0"/>
        <v>23944.578360543062</v>
      </c>
      <c r="G16" s="732">
        <f t="shared" ca="1" si="0"/>
        <v>92204.842165309557</v>
      </c>
      <c r="H16" s="732">
        <f t="shared" si="0"/>
        <v>0</v>
      </c>
      <c r="I16" s="732">
        <f t="shared" si="0"/>
        <v>0</v>
      </c>
      <c r="J16" s="732">
        <f t="shared" si="0"/>
        <v>0</v>
      </c>
      <c r="K16" s="732">
        <f t="shared" si="0"/>
        <v>682.24747375755055</v>
      </c>
      <c r="L16" s="732">
        <f t="shared" si="0"/>
        <v>0</v>
      </c>
      <c r="M16" s="732">
        <f t="shared" ca="1" si="0"/>
        <v>0</v>
      </c>
      <c r="N16" s="732">
        <f t="shared" si="0"/>
        <v>0</v>
      </c>
      <c r="O16" s="732">
        <f t="shared" ca="1" si="0"/>
        <v>95698.195168105769</v>
      </c>
      <c r="P16" s="732">
        <f t="shared" si="0"/>
        <v>1047.4333333333334</v>
      </c>
      <c r="Q16" s="732">
        <f t="shared" si="0"/>
        <v>3393.8666666666668</v>
      </c>
      <c r="R16" s="732">
        <f t="shared" ca="1" si="0"/>
        <v>1432616.7535611186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5111.3858058108981</v>
      </c>
      <c r="I19" s="1012">
        <f>transport!H54</f>
        <v>0</v>
      </c>
      <c r="J19" s="1012">
        <f>transport!I54</f>
        <v>0</v>
      </c>
      <c r="K19" s="1012">
        <f>transport!J54</f>
        <v>0</v>
      </c>
      <c r="L19" s="1012">
        <f>transport!K54</f>
        <v>0</v>
      </c>
      <c r="M19" s="1012">
        <f>transport!L54</f>
        <v>0</v>
      </c>
      <c r="N19" s="1012">
        <f>transport!M54</f>
        <v>158.54375259548374</v>
      </c>
      <c r="O19" s="1012">
        <f>transport!N54</f>
        <v>0</v>
      </c>
      <c r="P19" s="1012">
        <f>transport!O54</f>
        <v>0</v>
      </c>
      <c r="Q19" s="1013">
        <f>transport!P54</f>
        <v>0</v>
      </c>
      <c r="R19" s="700">
        <f>SUM(C19:Q19)</f>
        <v>5269.9295584063821</v>
      </c>
      <c r="S19" s="67"/>
    </row>
    <row r="20" spans="1:19" s="473" customFormat="1">
      <c r="A20" s="809" t="s">
        <v>307</v>
      </c>
      <c r="B20" s="814"/>
      <c r="C20" s="1012">
        <f>transport!B14</f>
        <v>63.49986365100758</v>
      </c>
      <c r="D20" s="1012">
        <f>transport!C14</f>
        <v>0</v>
      </c>
      <c r="E20" s="1012">
        <f>transport!D14</f>
        <v>151.12328536084166</v>
      </c>
      <c r="F20" s="1012">
        <f>transport!E14</f>
        <v>611.71205300644988</v>
      </c>
      <c r="G20" s="1012">
        <f>transport!F14</f>
        <v>0</v>
      </c>
      <c r="H20" s="1012">
        <f>transport!G14</f>
        <v>233238.27273601809</v>
      </c>
      <c r="I20" s="1012">
        <f>transport!H14</f>
        <v>40887.865676775742</v>
      </c>
      <c r="J20" s="1012">
        <f>transport!I14</f>
        <v>0</v>
      </c>
      <c r="K20" s="1012">
        <f>transport!J14</f>
        <v>0</v>
      </c>
      <c r="L20" s="1012">
        <f>transport!K14</f>
        <v>0</v>
      </c>
      <c r="M20" s="1012">
        <f>transport!L14</f>
        <v>0</v>
      </c>
      <c r="N20" s="1012">
        <f>transport!M14</f>
        <v>8573.0802190419272</v>
      </c>
      <c r="O20" s="1012">
        <f>transport!N14</f>
        <v>0</v>
      </c>
      <c r="P20" s="1012">
        <f>transport!O14</f>
        <v>0</v>
      </c>
      <c r="Q20" s="1013">
        <f>transport!P14</f>
        <v>0</v>
      </c>
      <c r="R20" s="700">
        <f>SUM(C20:Q20)</f>
        <v>283525.55383385404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63.49986365100758</v>
      </c>
      <c r="D22" s="812">
        <f t="shared" ref="D22:R22" si="1">SUM(D18:D21)</f>
        <v>0</v>
      </c>
      <c r="E22" s="812">
        <f t="shared" si="1"/>
        <v>151.12328536084166</v>
      </c>
      <c r="F22" s="812">
        <f t="shared" si="1"/>
        <v>611.71205300644988</v>
      </c>
      <c r="G22" s="812">
        <f t="shared" si="1"/>
        <v>0</v>
      </c>
      <c r="H22" s="812">
        <f t="shared" si="1"/>
        <v>238349.65854182898</v>
      </c>
      <c r="I22" s="812">
        <f t="shared" si="1"/>
        <v>40887.865676775742</v>
      </c>
      <c r="J22" s="812">
        <f t="shared" si="1"/>
        <v>0</v>
      </c>
      <c r="K22" s="812">
        <f t="shared" si="1"/>
        <v>0</v>
      </c>
      <c r="L22" s="812">
        <f t="shared" si="1"/>
        <v>0</v>
      </c>
      <c r="M22" s="812">
        <f t="shared" si="1"/>
        <v>0</v>
      </c>
      <c r="N22" s="812">
        <f t="shared" si="1"/>
        <v>8731.6239716374112</v>
      </c>
      <c r="O22" s="812">
        <f t="shared" si="1"/>
        <v>0</v>
      </c>
      <c r="P22" s="812">
        <f t="shared" si="1"/>
        <v>0</v>
      </c>
      <c r="Q22" s="812">
        <f t="shared" si="1"/>
        <v>0</v>
      </c>
      <c r="R22" s="812">
        <f t="shared" si="1"/>
        <v>288795.48339226044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3418.8626914060001</v>
      </c>
      <c r="D24" s="1012">
        <f>+landbouw!C8</f>
        <v>0</v>
      </c>
      <c r="E24" s="1012">
        <f>+landbouw!D8</f>
        <v>2531.4773642922719</v>
      </c>
      <c r="F24" s="1012">
        <f>+landbouw!E8</f>
        <v>88.15934189629084</v>
      </c>
      <c r="G24" s="1012">
        <f>+landbouw!F8</f>
        <v>12496.594227860382</v>
      </c>
      <c r="H24" s="1012">
        <f>+landbouw!G8</f>
        <v>0</v>
      </c>
      <c r="I24" s="1012">
        <f>+landbouw!H8</f>
        <v>0</v>
      </c>
      <c r="J24" s="1012">
        <f>+landbouw!I8</f>
        <v>0</v>
      </c>
      <c r="K24" s="1012">
        <f>+landbouw!J8</f>
        <v>492.19045903305187</v>
      </c>
      <c r="L24" s="1012">
        <f>+landbouw!K8</f>
        <v>0</v>
      </c>
      <c r="M24" s="1012">
        <f>+landbouw!L8</f>
        <v>0</v>
      </c>
      <c r="N24" s="1012">
        <f>+landbouw!M8</f>
        <v>0</v>
      </c>
      <c r="O24" s="1012">
        <f>+landbouw!N8</f>
        <v>0</v>
      </c>
      <c r="P24" s="1012">
        <f>+landbouw!O8</f>
        <v>0</v>
      </c>
      <c r="Q24" s="1013">
        <f>+landbouw!P8</f>
        <v>0</v>
      </c>
      <c r="R24" s="700">
        <f>SUM(C24:Q24)</f>
        <v>19027.284084487997</v>
      </c>
      <c r="S24" s="67"/>
    </row>
    <row r="25" spans="1:19" s="473" customFormat="1" ht="15" thickBot="1">
      <c r="A25" s="831" t="s">
        <v>848</v>
      </c>
      <c r="B25" s="1015"/>
      <c r="C25" s="1016">
        <f>IF(Onbekend_ele_kWh="---",0,Onbekend_ele_kWh)/1000+IF(REST_rest_ele_kWh="---",0,REST_rest_ele_kWh)/1000</f>
        <v>4371.0879929000002</v>
      </c>
      <c r="D25" s="1016"/>
      <c r="E25" s="1016">
        <f>IF(onbekend_gas_kWh="---",0,onbekend_gas_kWh)/1000+IF(REST_rest_gas_kWh="---",0,REST_rest_gas_kWh)/1000</f>
        <v>10382.015324999998</v>
      </c>
      <c r="F25" s="1016"/>
      <c r="G25" s="1016"/>
      <c r="H25" s="1016"/>
      <c r="I25" s="1016"/>
      <c r="J25" s="1016"/>
      <c r="K25" s="1016"/>
      <c r="L25" s="1016"/>
      <c r="M25" s="1016"/>
      <c r="N25" s="1016"/>
      <c r="O25" s="1016"/>
      <c r="P25" s="1016"/>
      <c r="Q25" s="1017"/>
      <c r="R25" s="700">
        <f>SUM(C25:Q25)</f>
        <v>14753.103317899999</v>
      </c>
      <c r="S25" s="67"/>
    </row>
    <row r="26" spans="1:19" s="473" customFormat="1" ht="15.75" thickBot="1">
      <c r="A26" s="705" t="s">
        <v>849</v>
      </c>
      <c r="B26" s="817"/>
      <c r="C26" s="812">
        <f>SUM(C24:C25)</f>
        <v>7789.9506843060008</v>
      </c>
      <c r="D26" s="812">
        <f t="shared" ref="D26:R26" si="2">SUM(D24:D25)</f>
        <v>0</v>
      </c>
      <c r="E26" s="812">
        <f t="shared" si="2"/>
        <v>12913.49268929227</v>
      </c>
      <c r="F26" s="812">
        <f t="shared" si="2"/>
        <v>88.15934189629084</v>
      </c>
      <c r="G26" s="812">
        <f t="shared" si="2"/>
        <v>12496.594227860382</v>
      </c>
      <c r="H26" s="812">
        <f t="shared" si="2"/>
        <v>0</v>
      </c>
      <c r="I26" s="812">
        <f t="shared" si="2"/>
        <v>0</v>
      </c>
      <c r="J26" s="812">
        <f t="shared" si="2"/>
        <v>0</v>
      </c>
      <c r="K26" s="812">
        <f t="shared" si="2"/>
        <v>492.19045903305187</v>
      </c>
      <c r="L26" s="812">
        <f t="shared" si="2"/>
        <v>0</v>
      </c>
      <c r="M26" s="812">
        <f t="shared" si="2"/>
        <v>0</v>
      </c>
      <c r="N26" s="812">
        <f t="shared" si="2"/>
        <v>0</v>
      </c>
      <c r="O26" s="812">
        <f t="shared" si="2"/>
        <v>0</v>
      </c>
      <c r="P26" s="812">
        <f t="shared" si="2"/>
        <v>0</v>
      </c>
      <c r="Q26" s="812">
        <f t="shared" si="2"/>
        <v>0</v>
      </c>
      <c r="R26" s="812">
        <f t="shared" si="2"/>
        <v>33780.387402387998</v>
      </c>
      <c r="S26" s="67"/>
    </row>
    <row r="27" spans="1:19" s="473" customFormat="1" ht="17.25" thickTop="1" thickBot="1">
      <c r="A27" s="706" t="s">
        <v>116</v>
      </c>
      <c r="B27" s="805"/>
      <c r="C27" s="707">
        <f ca="1">C22+C16+C26</f>
        <v>499637.97420295089</v>
      </c>
      <c r="D27" s="707">
        <f t="shared" ref="D27:R27" ca="1" si="3">D22+D16+D26</f>
        <v>50355.000000000007</v>
      </c>
      <c r="E27" s="707">
        <f t="shared" ca="1" si="3"/>
        <v>686570.68271306204</v>
      </c>
      <c r="F27" s="707">
        <f t="shared" si="3"/>
        <v>24644.449755445803</v>
      </c>
      <c r="G27" s="707">
        <f t="shared" ca="1" si="3"/>
        <v>104701.43639316993</v>
      </c>
      <c r="H27" s="707">
        <f t="shared" si="3"/>
        <v>238349.65854182898</v>
      </c>
      <c r="I27" s="707">
        <f t="shared" si="3"/>
        <v>40887.865676775742</v>
      </c>
      <c r="J27" s="707">
        <f t="shared" si="3"/>
        <v>0</v>
      </c>
      <c r="K27" s="707">
        <f t="shared" si="3"/>
        <v>1174.4379327906024</v>
      </c>
      <c r="L27" s="707">
        <f t="shared" si="3"/>
        <v>0</v>
      </c>
      <c r="M27" s="707">
        <f t="shared" ca="1" si="3"/>
        <v>0</v>
      </c>
      <c r="N27" s="707">
        <f t="shared" si="3"/>
        <v>8731.6239716374112</v>
      </c>
      <c r="O27" s="707">
        <f t="shared" ca="1" si="3"/>
        <v>95698.195168105769</v>
      </c>
      <c r="P27" s="707">
        <f t="shared" si="3"/>
        <v>1047.4333333333334</v>
      </c>
      <c r="Q27" s="707">
        <f t="shared" si="3"/>
        <v>3393.8666666666668</v>
      </c>
      <c r="R27" s="707">
        <f t="shared" ca="1" si="3"/>
        <v>1755192.6243557672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34738.420798109437</v>
      </c>
      <c r="D40" s="1012">
        <f ca="1">tertiair!C20</f>
        <v>3646.094766485684</v>
      </c>
      <c r="E40" s="1012">
        <f ca="1">tertiair!D20</f>
        <v>32837.829936110487</v>
      </c>
      <c r="F40" s="1012">
        <f>tertiair!E20</f>
        <v>637.29710634589173</v>
      </c>
      <c r="G40" s="1012">
        <f ca="1">tertiair!F20</f>
        <v>9821.1638822489713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81680.806489300492</v>
      </c>
    </row>
    <row r="41" spans="1:18">
      <c r="A41" s="822" t="s">
        <v>225</v>
      </c>
      <c r="B41" s="829"/>
      <c r="C41" s="1012">
        <f ca="1">huishoudens!B12</f>
        <v>17794.407424893139</v>
      </c>
      <c r="D41" s="1012">
        <f ca="1">huishoudens!C12</f>
        <v>0</v>
      </c>
      <c r="E41" s="1012">
        <f>huishoudens!D12</f>
        <v>52868.137152039439</v>
      </c>
      <c r="F41" s="1012">
        <f>huishoudens!E12</f>
        <v>2717.6912319780008</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73380.235808910569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41116.874882704702</v>
      </c>
      <c r="D43" s="1012">
        <f ca="1">industrie!C22</f>
        <v>793.49178813616606</v>
      </c>
      <c r="E43" s="1012">
        <f>industrie!D22</f>
        <v>50342.258393008669</v>
      </c>
      <c r="F43" s="1012">
        <f>industrie!E22</f>
        <v>2080.4309495193834</v>
      </c>
      <c r="G43" s="1012">
        <f>industrie!F22</f>
        <v>14797.528975888683</v>
      </c>
      <c r="H43" s="1012">
        <f>industrie!G22</f>
        <v>0</v>
      </c>
      <c r="I43" s="1012">
        <f>industrie!H22</f>
        <v>0</v>
      </c>
      <c r="J43" s="1012">
        <f>industrie!I22</f>
        <v>0</v>
      </c>
      <c r="K43" s="1012">
        <f>industrie!J22</f>
        <v>241.51560571017288</v>
      </c>
      <c r="L43" s="1012">
        <f>industrie!K22</f>
        <v>0</v>
      </c>
      <c r="M43" s="1012">
        <f>industrie!L22</f>
        <v>0</v>
      </c>
      <c r="N43" s="1012">
        <f>industrie!M22</f>
        <v>0</v>
      </c>
      <c r="O43" s="1012">
        <f>industrie!N22</f>
        <v>0</v>
      </c>
      <c r="P43" s="1012">
        <f>industrie!O22</f>
        <v>0</v>
      </c>
      <c r="Q43" s="774">
        <f>industrie!P22</f>
        <v>0</v>
      </c>
      <c r="R43" s="849">
        <f t="shared" ca="1" si="4"/>
        <v>109372.10059496778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93649.703105707275</v>
      </c>
      <c r="D46" s="732">
        <f t="shared" ref="D46:Q46" ca="1" si="5">SUM(D39:D45)</f>
        <v>4439.5865546218502</v>
      </c>
      <c r="E46" s="732">
        <f t="shared" ca="1" si="5"/>
        <v>136048.22548115859</v>
      </c>
      <c r="F46" s="732">
        <f t="shared" si="5"/>
        <v>5435.4192878432759</v>
      </c>
      <c r="G46" s="732">
        <f t="shared" ca="1" si="5"/>
        <v>24618.692858137656</v>
      </c>
      <c r="H46" s="732">
        <f t="shared" si="5"/>
        <v>0</v>
      </c>
      <c r="I46" s="732">
        <f t="shared" si="5"/>
        <v>0</v>
      </c>
      <c r="J46" s="732">
        <f t="shared" si="5"/>
        <v>0</v>
      </c>
      <c r="K46" s="732">
        <f t="shared" si="5"/>
        <v>241.51560571017288</v>
      </c>
      <c r="L46" s="732">
        <f t="shared" si="5"/>
        <v>0</v>
      </c>
      <c r="M46" s="732">
        <f t="shared" ca="1" si="5"/>
        <v>0</v>
      </c>
      <c r="N46" s="732">
        <f t="shared" si="5"/>
        <v>0</v>
      </c>
      <c r="O46" s="732">
        <f t="shared" ca="1" si="5"/>
        <v>0</v>
      </c>
      <c r="P46" s="732">
        <f t="shared" si="5"/>
        <v>0</v>
      </c>
      <c r="Q46" s="732">
        <f t="shared" si="5"/>
        <v>0</v>
      </c>
      <c r="R46" s="732">
        <f ca="1">SUM(R39:R45)</f>
        <v>264433.14289317885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1364.74001015151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1364.74001015151</v>
      </c>
    </row>
    <row r="50" spans="1:18">
      <c r="A50" s="825" t="s">
        <v>307</v>
      </c>
      <c r="B50" s="835"/>
      <c r="C50" s="703">
        <f ca="1">transport!B18</f>
        <v>12.092172673456529</v>
      </c>
      <c r="D50" s="703">
        <f>transport!C18</f>
        <v>0</v>
      </c>
      <c r="E50" s="703">
        <f>transport!D18</f>
        <v>30.526903642890019</v>
      </c>
      <c r="F50" s="703">
        <f>transport!E18</f>
        <v>138.85863603246412</v>
      </c>
      <c r="G50" s="703">
        <f>transport!F18</f>
        <v>0</v>
      </c>
      <c r="H50" s="703">
        <f>transport!G18</f>
        <v>62274.618820516829</v>
      </c>
      <c r="I50" s="703">
        <f>transport!H18</f>
        <v>10181.07855351716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72637.175086382806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12.092172673456529</v>
      </c>
      <c r="D52" s="732">
        <f t="shared" ref="D52:Q52" ca="1" si="6">SUM(D48:D51)</f>
        <v>0</v>
      </c>
      <c r="E52" s="732">
        <f t="shared" si="6"/>
        <v>30.526903642890019</v>
      </c>
      <c r="F52" s="732">
        <f t="shared" si="6"/>
        <v>138.85863603246412</v>
      </c>
      <c r="G52" s="732">
        <f t="shared" si="6"/>
        <v>0</v>
      </c>
      <c r="H52" s="732">
        <f t="shared" si="6"/>
        <v>63639.358830668338</v>
      </c>
      <c r="I52" s="732">
        <f t="shared" si="6"/>
        <v>10181.07855351716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74001.915096534314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651.04829576533575</v>
      </c>
      <c r="D54" s="703">
        <f ca="1">+landbouw!C12</f>
        <v>0</v>
      </c>
      <c r="E54" s="703">
        <f>+landbouw!D12</f>
        <v>511.35842758703893</v>
      </c>
      <c r="F54" s="703">
        <f>+landbouw!E12</f>
        <v>20.012170610458021</v>
      </c>
      <c r="G54" s="703">
        <f>+landbouw!F12</f>
        <v>3336.590658838722</v>
      </c>
      <c r="H54" s="703">
        <f>+landbouw!G12</f>
        <v>0</v>
      </c>
      <c r="I54" s="703">
        <f>+landbouw!H12</f>
        <v>0</v>
      </c>
      <c r="J54" s="703">
        <f>+landbouw!I12</f>
        <v>0</v>
      </c>
      <c r="K54" s="703">
        <f>+landbouw!J12</f>
        <v>174.23542249770034</v>
      </c>
      <c r="L54" s="703">
        <f>+landbouw!K12</f>
        <v>0</v>
      </c>
      <c r="M54" s="703">
        <f>+landbouw!L12</f>
        <v>0</v>
      </c>
      <c r="N54" s="703">
        <f>+landbouw!M12</f>
        <v>0</v>
      </c>
      <c r="O54" s="703">
        <f>+landbouw!N12</f>
        <v>0</v>
      </c>
      <c r="P54" s="703">
        <f>+landbouw!O12</f>
        <v>0</v>
      </c>
      <c r="Q54" s="704">
        <f>+landbouw!P12</f>
        <v>0</v>
      </c>
      <c r="R54" s="731">
        <f ca="1">SUM(C54:Q54)</f>
        <v>4693.2449752992552</v>
      </c>
    </row>
    <row r="55" spans="1:18" ht="15" thickBot="1">
      <c r="A55" s="825" t="s">
        <v>848</v>
      </c>
      <c r="B55" s="835"/>
      <c r="C55" s="703">
        <f ca="1">C25*'EF ele_warmte'!B12</f>
        <v>832.37896496145697</v>
      </c>
      <c r="D55" s="703"/>
      <c r="E55" s="703">
        <f>E25*EF_CO2_aardgas</f>
        <v>2097.1670956499997</v>
      </c>
      <c r="F55" s="703"/>
      <c r="G55" s="703"/>
      <c r="H55" s="703"/>
      <c r="I55" s="703"/>
      <c r="J55" s="703"/>
      <c r="K55" s="703"/>
      <c r="L55" s="703"/>
      <c r="M55" s="703"/>
      <c r="N55" s="703"/>
      <c r="O55" s="703"/>
      <c r="P55" s="703"/>
      <c r="Q55" s="704"/>
      <c r="R55" s="731">
        <f ca="1">SUM(C55:Q55)</f>
        <v>2929.5460606114566</v>
      </c>
    </row>
    <row r="56" spans="1:18" ht="15.75" thickBot="1">
      <c r="A56" s="823" t="s">
        <v>849</v>
      </c>
      <c r="B56" s="836"/>
      <c r="C56" s="732">
        <f ca="1">SUM(C54:C55)</f>
        <v>1483.4272607267926</v>
      </c>
      <c r="D56" s="732">
        <f t="shared" ref="D56:Q56" ca="1" si="7">SUM(D54:D55)</f>
        <v>0</v>
      </c>
      <c r="E56" s="732">
        <f t="shared" si="7"/>
        <v>2608.5255232370387</v>
      </c>
      <c r="F56" s="732">
        <f t="shared" si="7"/>
        <v>20.012170610458021</v>
      </c>
      <c r="G56" s="732">
        <f t="shared" si="7"/>
        <v>3336.590658838722</v>
      </c>
      <c r="H56" s="732">
        <f t="shared" si="7"/>
        <v>0</v>
      </c>
      <c r="I56" s="732">
        <f t="shared" si="7"/>
        <v>0</v>
      </c>
      <c r="J56" s="732">
        <f t="shared" si="7"/>
        <v>0</v>
      </c>
      <c r="K56" s="732">
        <f t="shared" si="7"/>
        <v>174.23542249770034</v>
      </c>
      <c r="L56" s="732">
        <f t="shared" si="7"/>
        <v>0</v>
      </c>
      <c r="M56" s="732">
        <f t="shared" si="7"/>
        <v>0</v>
      </c>
      <c r="N56" s="732">
        <f t="shared" si="7"/>
        <v>0</v>
      </c>
      <c r="O56" s="732">
        <f t="shared" si="7"/>
        <v>0</v>
      </c>
      <c r="P56" s="732">
        <f t="shared" si="7"/>
        <v>0</v>
      </c>
      <c r="Q56" s="733">
        <f t="shared" si="7"/>
        <v>0</v>
      </c>
      <c r="R56" s="734">
        <f ca="1">SUM(R54:R55)</f>
        <v>7622.7910359107118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95145.222539107519</v>
      </c>
      <c r="D61" s="740">
        <f t="shared" ref="D61:Q61" ca="1" si="8">D46+D52+D56</f>
        <v>4439.5865546218502</v>
      </c>
      <c r="E61" s="740">
        <f t="shared" ca="1" si="8"/>
        <v>138687.27790803852</v>
      </c>
      <c r="F61" s="740">
        <f t="shared" si="8"/>
        <v>5594.2900944861985</v>
      </c>
      <c r="G61" s="740">
        <f t="shared" ca="1" si="8"/>
        <v>27955.283516976378</v>
      </c>
      <c r="H61" s="740">
        <f t="shared" si="8"/>
        <v>63639.358830668338</v>
      </c>
      <c r="I61" s="740">
        <f t="shared" si="8"/>
        <v>10181.07855351716</v>
      </c>
      <c r="J61" s="740">
        <f t="shared" si="8"/>
        <v>0</v>
      </c>
      <c r="K61" s="740">
        <f t="shared" si="8"/>
        <v>415.75102820787322</v>
      </c>
      <c r="L61" s="740">
        <f t="shared" si="8"/>
        <v>0</v>
      </c>
      <c r="M61" s="740">
        <f t="shared" ca="1" si="8"/>
        <v>0</v>
      </c>
      <c r="N61" s="740">
        <f t="shared" si="8"/>
        <v>0</v>
      </c>
      <c r="O61" s="740">
        <f t="shared" ca="1" si="8"/>
        <v>0</v>
      </c>
      <c r="P61" s="740">
        <f t="shared" si="8"/>
        <v>0</v>
      </c>
      <c r="Q61" s="740">
        <f t="shared" si="8"/>
        <v>0</v>
      </c>
      <c r="R61" s="740">
        <f ca="1">R46+R52+R56</f>
        <v>346057.84902562387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0.19042832501050033</v>
      </c>
      <c r="D63" s="781">
        <f t="shared" ca="1" si="9"/>
        <v>8.816575423735179E-2</v>
      </c>
      <c r="E63" s="1023">
        <f t="shared" ca="1" si="9"/>
        <v>0.20199999999999999</v>
      </c>
      <c r="F63" s="781">
        <f t="shared" si="9"/>
        <v>0.22700000000000006</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22048.141187779031</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25742.502920727333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22171.500000000004</v>
      </c>
      <c r="C76" s="750">
        <f>'lokale energieproductie'!B8*IFERROR(SUM(D76:H76)/SUM(D76:O76),0)</f>
        <v>13077</v>
      </c>
      <c r="D76" s="1033">
        <f>'lokale energieproductie'!C8</f>
        <v>15384.705882352941</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26084.117647058825</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3107.7105882352944</v>
      </c>
      <c r="R76" s="852">
        <v>0</v>
      </c>
    </row>
    <row r="77" spans="1:18" ht="30.75" thickBot="1">
      <c r="A77" s="753" t="s">
        <v>353</v>
      </c>
      <c r="B77" s="750">
        <f>'lokale energieproductie'!B9*IFERROR(SUM(I77:O77)/SUM(D77:O77),0)</f>
        <v>139.5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398.57142857142861</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70101.644108506371</v>
      </c>
      <c r="C78" s="755">
        <f>SUM(C72:C77)</f>
        <v>13077</v>
      </c>
      <c r="D78" s="756">
        <f t="shared" ref="D78:H78" si="10">SUM(D76:D77)</f>
        <v>15384.705882352941</v>
      </c>
      <c r="E78" s="756">
        <f t="shared" si="10"/>
        <v>0</v>
      </c>
      <c r="F78" s="756">
        <f t="shared" si="10"/>
        <v>0</v>
      </c>
      <c r="G78" s="756">
        <f t="shared" si="10"/>
        <v>0</v>
      </c>
      <c r="H78" s="756">
        <f t="shared" si="10"/>
        <v>0</v>
      </c>
      <c r="I78" s="756">
        <f>SUM(I76:I77)</f>
        <v>0</v>
      </c>
      <c r="J78" s="756">
        <f>SUM(J76:J77)</f>
        <v>26482.689075630253</v>
      </c>
      <c r="K78" s="756">
        <f t="shared" ref="K78:L78" si="11">SUM(K76:K77)</f>
        <v>0</v>
      </c>
      <c r="L78" s="756">
        <f t="shared" si="11"/>
        <v>0</v>
      </c>
      <c r="M78" s="756">
        <f>SUM(M76:M77)</f>
        <v>0</v>
      </c>
      <c r="N78" s="756">
        <f>SUM(N76:N77)</f>
        <v>0</v>
      </c>
      <c r="O78" s="860">
        <f>SUM(O76:O77)</f>
        <v>0</v>
      </c>
      <c r="P78" s="757">
        <v>0</v>
      </c>
      <c r="Q78" s="757">
        <f>SUM(Q76:Q77)</f>
        <v>3107.7105882352944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31673.571428571431</v>
      </c>
      <c r="C87" s="766">
        <f>'lokale energieproductie'!B17*IFERROR(SUM(D87:H87)/SUM(D87:O87),0)</f>
        <v>18681.428571428572</v>
      </c>
      <c r="D87" s="777">
        <f>'lokale energieproductie'!C17</f>
        <v>21978.151260504208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37263.025210084044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4439.5865546218502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31673.571428571431</v>
      </c>
      <c r="C90" s="755">
        <f>SUM(C87:C89)</f>
        <v>18681.428571428572</v>
      </c>
      <c r="D90" s="755">
        <f t="shared" ref="D90:H90" si="12">SUM(D87:D89)</f>
        <v>21978.151260504208</v>
      </c>
      <c r="E90" s="755">
        <f t="shared" si="12"/>
        <v>0</v>
      </c>
      <c r="F90" s="755">
        <f t="shared" si="12"/>
        <v>0</v>
      </c>
      <c r="G90" s="755">
        <f t="shared" si="12"/>
        <v>0</v>
      </c>
      <c r="H90" s="755">
        <f t="shared" si="12"/>
        <v>0</v>
      </c>
      <c r="I90" s="755">
        <f>SUM(I87:I89)</f>
        <v>0</v>
      </c>
      <c r="J90" s="755">
        <f>SUM(J87:J89)</f>
        <v>37263.025210084044</v>
      </c>
      <c r="K90" s="755">
        <f t="shared" ref="K90:L90" si="13">SUM(K87:K89)</f>
        <v>0</v>
      </c>
      <c r="L90" s="755">
        <f t="shared" si="13"/>
        <v>0</v>
      </c>
      <c r="M90" s="755">
        <f>SUM(M87:M89)</f>
        <v>0</v>
      </c>
      <c r="N90" s="755">
        <f>SUM(N87:N89)</f>
        <v>0</v>
      </c>
      <c r="O90" s="755">
        <f>SUM(O87:O89)</f>
        <v>0</v>
      </c>
      <c r="P90" s="755">
        <v>0</v>
      </c>
      <c r="Q90" s="755">
        <f>SUM(Q87:Q89)</f>
        <v>4439.5865546218502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22048.141187779031</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25742.502920727333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35248.5</v>
      </c>
      <c r="C8" s="570">
        <f>B101</f>
        <v>15384.705882352941</v>
      </c>
      <c r="D8" s="1043"/>
      <c r="E8" s="1043">
        <f>E101</f>
        <v>0</v>
      </c>
      <c r="F8" s="1044"/>
      <c r="G8" s="571"/>
      <c r="H8" s="1043">
        <f>I101</f>
        <v>0</v>
      </c>
      <c r="I8" s="1043">
        <f>G101+F101</f>
        <v>0</v>
      </c>
      <c r="J8" s="1043">
        <f>H101+D101+C101</f>
        <v>26084.117647058825</v>
      </c>
      <c r="K8" s="1043"/>
      <c r="L8" s="1043"/>
      <c r="M8" s="1043"/>
      <c r="N8" s="572"/>
      <c r="O8" s="573">
        <f>C8*$C$12+D8*$D$12+E8*$E$12+F8*$F$12+G8*$G$12+H8*$H$12+I8*$I$12+J8*$J$12</f>
        <v>3107.7105882352944</v>
      </c>
      <c r="P8" s="1258"/>
      <c r="Q8" s="1259"/>
      <c r="S8" s="1007"/>
      <c r="T8" s="1237"/>
      <c r="U8" s="1237"/>
    </row>
    <row r="9" spans="1:21" s="559" customFormat="1" ht="17.45" customHeight="1" thickBot="1">
      <c r="A9" s="574" t="s">
        <v>248</v>
      </c>
      <c r="B9" s="575">
        <f>N89+'Eigen informatie GS &amp; warmtenet'!B12</f>
        <v>139.5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398.57142857142861</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83178.644108506356</v>
      </c>
      <c r="C10" s="583">
        <f t="shared" ref="C10:L10" si="0">SUM(C8:C9)</f>
        <v>15384.705882352941</v>
      </c>
      <c r="D10" s="583">
        <f t="shared" si="0"/>
        <v>0</v>
      </c>
      <c r="E10" s="583">
        <f t="shared" si="0"/>
        <v>0</v>
      </c>
      <c r="F10" s="583">
        <f t="shared" si="0"/>
        <v>0</v>
      </c>
      <c r="G10" s="583">
        <f t="shared" si="0"/>
        <v>0</v>
      </c>
      <c r="H10" s="583">
        <f t="shared" si="0"/>
        <v>0</v>
      </c>
      <c r="I10" s="583">
        <f t="shared" si="0"/>
        <v>0</v>
      </c>
      <c r="J10" s="583">
        <f t="shared" si="0"/>
        <v>26482.689075630253</v>
      </c>
      <c r="K10" s="583">
        <f t="shared" si="0"/>
        <v>0</v>
      </c>
      <c r="L10" s="583">
        <f t="shared" si="0"/>
        <v>0</v>
      </c>
      <c r="M10" s="1046"/>
      <c r="N10" s="1046"/>
      <c r="O10" s="584">
        <f>SUM(O4:O9)</f>
        <v>3107.7105882352944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50355.000000000007</v>
      </c>
      <c r="C17" s="595">
        <f>B102</f>
        <v>21978.151260504208</v>
      </c>
      <c r="D17" s="596"/>
      <c r="E17" s="596">
        <f>E102</f>
        <v>0</v>
      </c>
      <c r="F17" s="1049"/>
      <c r="G17" s="597"/>
      <c r="H17" s="595">
        <f>I102</f>
        <v>0</v>
      </c>
      <c r="I17" s="596">
        <f>G102+F102</f>
        <v>0</v>
      </c>
      <c r="J17" s="596">
        <f>H102+D102+C102</f>
        <v>37263.025210084044</v>
      </c>
      <c r="K17" s="596"/>
      <c r="L17" s="596"/>
      <c r="M17" s="596"/>
      <c r="N17" s="1050"/>
      <c r="O17" s="598">
        <f>C17*$C$22+E17*$E$22+H17*$H$22+I17*$I$22+J17*$J$22+D17*$D$22+F17*$F$22+G17*$G$22+K17*$K$22+L17*$L$22</f>
        <v>4439.5865546218502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50355.000000000007</v>
      </c>
      <c r="C20" s="582">
        <f>SUM(C17:C19)</f>
        <v>21978.151260504208</v>
      </c>
      <c r="D20" s="582">
        <f t="shared" ref="D20:L20" si="1">SUM(D17:D19)</f>
        <v>0</v>
      </c>
      <c r="E20" s="582">
        <f t="shared" si="1"/>
        <v>0</v>
      </c>
      <c r="F20" s="582">
        <f t="shared" si="1"/>
        <v>0</v>
      </c>
      <c r="G20" s="582">
        <f t="shared" si="1"/>
        <v>0</v>
      </c>
      <c r="H20" s="582">
        <f t="shared" si="1"/>
        <v>0</v>
      </c>
      <c r="I20" s="582">
        <f t="shared" si="1"/>
        <v>0</v>
      </c>
      <c r="J20" s="582">
        <f t="shared" si="1"/>
        <v>37263.025210084044</v>
      </c>
      <c r="K20" s="582">
        <f t="shared" si="1"/>
        <v>0</v>
      </c>
      <c r="L20" s="582">
        <f t="shared" si="1"/>
        <v>0</v>
      </c>
      <c r="M20" s="582"/>
      <c r="N20" s="582"/>
      <c r="O20" s="601">
        <f>SUM(O17:O19)</f>
        <v>4439.5865546218502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36015</v>
      </c>
      <c r="C28" s="796">
        <v>8800</v>
      </c>
      <c r="D28" s="653" t="s">
        <v>890</v>
      </c>
      <c r="E28" s="652" t="s">
        <v>891</v>
      </c>
      <c r="F28" s="652" t="s">
        <v>892</v>
      </c>
      <c r="G28" s="652" t="s">
        <v>893</v>
      </c>
      <c r="H28" s="652" t="s">
        <v>894</v>
      </c>
      <c r="I28" s="652" t="s">
        <v>895</v>
      </c>
      <c r="J28" s="795">
        <v>39667</v>
      </c>
      <c r="K28" s="795">
        <v>39692</v>
      </c>
      <c r="L28" s="652" t="s">
        <v>896</v>
      </c>
      <c r="M28" s="652">
        <v>835</v>
      </c>
      <c r="N28" s="652">
        <v>3757.5</v>
      </c>
      <c r="O28" s="652">
        <v>5367.8571428571431</v>
      </c>
      <c r="P28" s="652">
        <v>0</v>
      </c>
      <c r="Q28" s="652">
        <v>10735.714285714286</v>
      </c>
      <c r="R28" s="652">
        <v>0</v>
      </c>
      <c r="S28" s="652">
        <v>0</v>
      </c>
      <c r="T28" s="652">
        <v>0</v>
      </c>
      <c r="U28" s="652">
        <v>0</v>
      </c>
      <c r="V28" s="652">
        <v>0</v>
      </c>
      <c r="W28" s="652">
        <v>0</v>
      </c>
      <c r="X28" s="652">
        <v>1600</v>
      </c>
      <c r="Y28" s="652" t="s">
        <v>50</v>
      </c>
      <c r="Z28" s="654" t="s">
        <v>156</v>
      </c>
    </row>
    <row r="29" spans="1:26" s="606" customFormat="1" ht="63.75">
      <c r="A29" s="605"/>
      <c r="B29" s="796">
        <v>36015</v>
      </c>
      <c r="C29" s="796">
        <v>8800</v>
      </c>
      <c r="D29" s="653" t="s">
        <v>897</v>
      </c>
      <c r="E29" s="652" t="s">
        <v>898</v>
      </c>
      <c r="F29" s="652" t="s">
        <v>899</v>
      </c>
      <c r="G29" s="652" t="s">
        <v>893</v>
      </c>
      <c r="H29" s="652" t="s">
        <v>894</v>
      </c>
      <c r="I29" s="652" t="s">
        <v>898</v>
      </c>
      <c r="J29" s="795">
        <v>39925</v>
      </c>
      <c r="K29" s="795">
        <v>39925</v>
      </c>
      <c r="L29" s="652" t="s">
        <v>896</v>
      </c>
      <c r="M29" s="652">
        <v>4024</v>
      </c>
      <c r="N29" s="652">
        <v>18108</v>
      </c>
      <c r="O29" s="652">
        <v>25868.571428571428</v>
      </c>
      <c r="P29" s="652">
        <v>12934.285714285716</v>
      </c>
      <c r="Q29" s="652">
        <v>38802.857142857145</v>
      </c>
      <c r="R29" s="652">
        <v>0</v>
      </c>
      <c r="S29" s="652">
        <v>0</v>
      </c>
      <c r="T29" s="652">
        <v>0</v>
      </c>
      <c r="U29" s="652">
        <v>0</v>
      </c>
      <c r="V29" s="652">
        <v>0</v>
      </c>
      <c r="W29" s="652">
        <v>0</v>
      </c>
      <c r="X29" s="652">
        <v>1600</v>
      </c>
      <c r="Y29" s="652" t="s">
        <v>50</v>
      </c>
      <c r="Z29" s="654" t="s">
        <v>156</v>
      </c>
    </row>
    <row r="30" spans="1:26" s="606" customFormat="1" ht="63.75">
      <c r="A30" s="605"/>
      <c r="B30" s="796">
        <v>36015</v>
      </c>
      <c r="C30" s="796">
        <v>8800</v>
      </c>
      <c r="D30" s="653" t="s">
        <v>900</v>
      </c>
      <c r="E30" s="652" t="s">
        <v>901</v>
      </c>
      <c r="F30" s="652" t="s">
        <v>902</v>
      </c>
      <c r="G30" s="652" t="s">
        <v>893</v>
      </c>
      <c r="H30" s="652" t="s">
        <v>894</v>
      </c>
      <c r="I30" s="652" t="s">
        <v>901</v>
      </c>
      <c r="J30" s="795">
        <v>40105</v>
      </c>
      <c r="K30" s="795">
        <v>40105</v>
      </c>
      <c r="L30" s="652" t="s">
        <v>896</v>
      </c>
      <c r="M30" s="652">
        <v>1074</v>
      </c>
      <c r="N30" s="652">
        <v>4833</v>
      </c>
      <c r="O30" s="652">
        <v>6904.2857142857147</v>
      </c>
      <c r="P30" s="652">
        <v>0</v>
      </c>
      <c r="Q30" s="652">
        <v>0</v>
      </c>
      <c r="R30" s="652">
        <v>13808.571428571429</v>
      </c>
      <c r="S30" s="652">
        <v>0</v>
      </c>
      <c r="T30" s="652">
        <v>0</v>
      </c>
      <c r="U30" s="652">
        <v>0</v>
      </c>
      <c r="V30" s="652">
        <v>0</v>
      </c>
      <c r="W30" s="652">
        <v>0</v>
      </c>
      <c r="X30" s="652">
        <v>1600</v>
      </c>
      <c r="Y30" s="652" t="s">
        <v>50</v>
      </c>
      <c r="Z30" s="654" t="s">
        <v>156</v>
      </c>
    </row>
    <row r="31" spans="1:26" s="606" customFormat="1" ht="25.5">
      <c r="A31" s="605"/>
      <c r="B31" s="796">
        <v>36015</v>
      </c>
      <c r="C31" s="796">
        <v>8800</v>
      </c>
      <c r="D31" s="653" t="s">
        <v>903</v>
      </c>
      <c r="E31" s="652" t="s">
        <v>904</v>
      </c>
      <c r="F31" s="652" t="s">
        <v>905</v>
      </c>
      <c r="G31" s="652" t="s">
        <v>893</v>
      </c>
      <c r="H31" s="652" t="s">
        <v>894</v>
      </c>
      <c r="I31" s="652" t="s">
        <v>904</v>
      </c>
      <c r="J31" s="795">
        <v>40269</v>
      </c>
      <c r="K31" s="795">
        <v>40275</v>
      </c>
      <c r="L31" s="652" t="s">
        <v>896</v>
      </c>
      <c r="M31" s="652">
        <v>500</v>
      </c>
      <c r="N31" s="652">
        <v>2250</v>
      </c>
      <c r="O31" s="652">
        <v>3214.2857142857142</v>
      </c>
      <c r="P31" s="652">
        <v>6428.5714285714294</v>
      </c>
      <c r="Q31" s="652">
        <v>0</v>
      </c>
      <c r="R31" s="652">
        <v>0</v>
      </c>
      <c r="S31" s="652">
        <v>0</v>
      </c>
      <c r="T31" s="652">
        <v>0</v>
      </c>
      <c r="U31" s="652">
        <v>0</v>
      </c>
      <c r="V31" s="652">
        <v>0</v>
      </c>
      <c r="W31" s="652">
        <v>0</v>
      </c>
      <c r="X31" s="652">
        <v>1100</v>
      </c>
      <c r="Y31" s="652" t="s">
        <v>52</v>
      </c>
      <c r="Z31" s="654" t="s">
        <v>156</v>
      </c>
    </row>
    <row r="32" spans="1:26" s="606" customFormat="1" ht="25.5">
      <c r="A32" s="605"/>
      <c r="B32" s="796">
        <v>36015</v>
      </c>
      <c r="C32" s="796">
        <v>8800</v>
      </c>
      <c r="D32" s="653" t="s">
        <v>906</v>
      </c>
      <c r="E32" s="652" t="s">
        <v>907</v>
      </c>
      <c r="F32" s="652" t="s">
        <v>908</v>
      </c>
      <c r="G32" s="652" t="s">
        <v>893</v>
      </c>
      <c r="H32" s="652" t="s">
        <v>894</v>
      </c>
      <c r="I32" s="652" t="s">
        <v>907</v>
      </c>
      <c r="J32" s="795">
        <v>41752</v>
      </c>
      <c r="K32" s="795">
        <v>41752</v>
      </c>
      <c r="L32" s="652" t="s">
        <v>896</v>
      </c>
      <c r="M32" s="652">
        <v>1400</v>
      </c>
      <c r="N32" s="652">
        <v>6300</v>
      </c>
      <c r="O32" s="652">
        <v>9000</v>
      </c>
      <c r="P32" s="652">
        <v>18000</v>
      </c>
      <c r="Q32" s="652">
        <v>0</v>
      </c>
      <c r="R32" s="652">
        <v>0</v>
      </c>
      <c r="S32" s="652">
        <v>0</v>
      </c>
      <c r="T32" s="652">
        <v>0</v>
      </c>
      <c r="U32" s="652">
        <v>0</v>
      </c>
      <c r="V32" s="652">
        <v>0</v>
      </c>
      <c r="W32" s="652">
        <v>0</v>
      </c>
      <c r="X32" s="652">
        <v>500</v>
      </c>
      <c r="Y32" s="652" t="s">
        <v>41</v>
      </c>
      <c r="Z32" s="654" t="s">
        <v>389</v>
      </c>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7833</v>
      </c>
      <c r="N58" s="610">
        <f>SUM(N28:N57)</f>
        <v>35248.5</v>
      </c>
      <c r="O58" s="610">
        <f t="shared" ref="O58:W58" si="2">SUM(O28:O57)</f>
        <v>50355.000000000007</v>
      </c>
      <c r="P58" s="610">
        <f t="shared" si="2"/>
        <v>37362.857142857145</v>
      </c>
      <c r="Q58" s="610">
        <f t="shared" si="2"/>
        <v>49538.571428571435</v>
      </c>
      <c r="R58" s="610">
        <f t="shared" si="2"/>
        <v>13808.571428571429</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1400</v>
      </c>
      <c r="N59" s="610">
        <f t="shared" si="3"/>
        <v>6300</v>
      </c>
      <c r="O59" s="610">
        <f t="shared" si="3"/>
        <v>9000</v>
      </c>
      <c r="P59" s="610">
        <f t="shared" si="3"/>
        <v>18000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6433</v>
      </c>
      <c r="N60" s="610">
        <f ca="1">SUMIF($Z$28:AD57,"tertiair",N28:N57)</f>
        <v>28948.5</v>
      </c>
      <c r="O60" s="610">
        <f ca="1">SUMIF($Z$28:AE57,"tertiair",O28:O57)</f>
        <v>41355.000000000007</v>
      </c>
      <c r="P60" s="610">
        <f ca="1">SUMIF($Z$28:AF57,"tertiair",P28:P57)</f>
        <v>19362.857142857145</v>
      </c>
      <c r="Q60" s="610">
        <f ca="1">SUMIF($Z$28:AG57,"tertiair",Q28:Q57)</f>
        <v>49538.571428571435</v>
      </c>
      <c r="R60" s="610">
        <f ca="1">SUMIF($Z$28:AH57,"tertiair",R28:R57)</f>
        <v>13808.571428571429</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38.25">
      <c r="A64" s="607"/>
      <c r="B64" s="796">
        <v>36015</v>
      </c>
      <c r="C64" s="796">
        <v>8800</v>
      </c>
      <c r="D64" s="655" t="s">
        <v>909</v>
      </c>
      <c r="E64" s="655" t="s">
        <v>910</v>
      </c>
      <c r="F64" s="655" t="s">
        <v>911</v>
      </c>
      <c r="G64" s="655" t="s">
        <v>912</v>
      </c>
      <c r="H64" s="655" t="s">
        <v>913</v>
      </c>
      <c r="I64" s="655" t="s">
        <v>914</v>
      </c>
      <c r="J64" s="795">
        <v>39114</v>
      </c>
      <c r="K64" s="795">
        <v>39192</v>
      </c>
      <c r="L64" s="655" t="s">
        <v>915</v>
      </c>
      <c r="M64" s="655">
        <v>31</v>
      </c>
      <c r="N64" s="655">
        <v>139.5</v>
      </c>
      <c r="O64" s="655">
        <v>0</v>
      </c>
      <c r="P64" s="655">
        <v>0</v>
      </c>
      <c r="Q64" s="655">
        <v>398.57142857142861</v>
      </c>
      <c r="R64" s="655">
        <v>0</v>
      </c>
      <c r="S64" s="655">
        <v>0</v>
      </c>
      <c r="T64" s="655">
        <v>0</v>
      </c>
      <c r="U64" s="655">
        <v>0</v>
      </c>
      <c r="V64" s="655">
        <v>0</v>
      </c>
      <c r="W64" s="655">
        <v>0</v>
      </c>
      <c r="X64" s="655">
        <v>1300</v>
      </c>
      <c r="Y64" s="655" t="s">
        <v>54</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31</v>
      </c>
      <c r="N89" s="610">
        <f t="shared" ref="N89:W89" si="5">SUM(N64:N88)</f>
        <v>139.5</v>
      </c>
      <c r="O89" s="610">
        <f t="shared" si="5"/>
        <v>0</v>
      </c>
      <c r="P89" s="610">
        <f t="shared" si="5"/>
        <v>0</v>
      </c>
      <c r="Q89" s="610">
        <f t="shared" si="5"/>
        <v>398.57142857142861</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31</v>
      </c>
      <c r="N91" s="610">
        <f t="shared" si="7"/>
        <v>139.5</v>
      </c>
      <c r="O91" s="610">
        <f t="shared" si="7"/>
        <v>0</v>
      </c>
      <c r="P91" s="610">
        <f t="shared" si="7"/>
        <v>0</v>
      </c>
      <c r="Q91" s="610">
        <f t="shared" si="7"/>
        <v>398.57142857142861</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0.58823529411764719</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15384.705882352941</v>
      </c>
      <c r="C101" s="644">
        <f t="shared" si="9"/>
        <v>20398.235294117647</v>
      </c>
      <c r="D101" s="644">
        <f t="shared" si="9"/>
        <v>5685.8823529411766</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21978.151260504208</v>
      </c>
      <c r="C102" s="647">
        <f t="shared" si="10"/>
        <v>29140.336134453792</v>
      </c>
      <c r="D102" s="647">
        <f t="shared" si="10"/>
        <v>8122.6890756302546</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93444.120899093876</v>
      </c>
      <c r="C4" s="477">
        <f>huishoudens!C8</f>
        <v>0</v>
      </c>
      <c r="D4" s="477">
        <f>huishoudens!D8</f>
        <v>261723.45124771999</v>
      </c>
      <c r="E4" s="477">
        <f>huishoudens!E8</f>
        <v>11972.208070387669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43204.199033232981</v>
      </c>
      <c r="O4" s="477">
        <f>huishoudens!O8</f>
        <v>1042.7433333333333</v>
      </c>
      <c r="P4" s="478">
        <f>huishoudens!P8</f>
        <v>3184.1333333333332</v>
      </c>
      <c r="Q4" s="479">
        <f>SUM(B4:P4)</f>
        <v>414570.8559171012</v>
      </c>
    </row>
    <row r="5" spans="1:17">
      <c r="A5" s="476" t="s">
        <v>156</v>
      </c>
      <c r="B5" s="477">
        <f ca="1">tertiair!B16</f>
        <v>176876.27482690001</v>
      </c>
      <c r="C5" s="477">
        <f ca="1">tertiair!C16</f>
        <v>41355.000000000007</v>
      </c>
      <c r="D5" s="477">
        <f ca="1">tertiair!D16</f>
        <v>162563.51453520043</v>
      </c>
      <c r="E5" s="477">
        <f>tertiair!E16</f>
        <v>2807.4762394092145</v>
      </c>
      <c r="F5" s="477">
        <f ca="1">tertiair!F16</f>
        <v>36783.385326775169</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4.6900000000000004</v>
      </c>
      <c r="P5" s="478">
        <f>tertiair!P16</f>
        <v>209.73333333333335</v>
      </c>
      <c r="Q5" s="476">
        <f t="shared" ref="Q5:Q14" ca="1" si="0">SUM(B5:P5)</f>
        <v>420600.0742616182</v>
      </c>
    </row>
    <row r="6" spans="1:17">
      <c r="A6" s="476" t="s">
        <v>194</v>
      </c>
      <c r="B6" s="477">
        <f>'openbare verlichting'!B8</f>
        <v>5546.2759999999998</v>
      </c>
      <c r="C6" s="477"/>
      <c r="D6" s="477"/>
      <c r="E6" s="477"/>
      <c r="F6" s="477"/>
      <c r="G6" s="477"/>
      <c r="H6" s="477"/>
      <c r="I6" s="477"/>
      <c r="J6" s="477"/>
      <c r="K6" s="477"/>
      <c r="L6" s="477"/>
      <c r="M6" s="477"/>
      <c r="N6" s="477"/>
      <c r="O6" s="477"/>
      <c r="P6" s="478"/>
      <c r="Q6" s="476">
        <f t="shared" si="0"/>
        <v>5546.2759999999998</v>
      </c>
    </row>
    <row r="7" spans="1:17">
      <c r="A7" s="476" t="s">
        <v>112</v>
      </c>
      <c r="B7" s="477">
        <f>landbouw!B8</f>
        <v>3418.8626914060001</v>
      </c>
      <c r="C7" s="477">
        <f>landbouw!C8</f>
        <v>0</v>
      </c>
      <c r="D7" s="477">
        <f>landbouw!D8</f>
        <v>2531.4773642922719</v>
      </c>
      <c r="E7" s="477">
        <f>landbouw!E8</f>
        <v>88.15934189629084</v>
      </c>
      <c r="F7" s="477">
        <f>landbouw!F8</f>
        <v>12496.594227860382</v>
      </c>
      <c r="G7" s="477">
        <f>landbouw!G8</f>
        <v>0</v>
      </c>
      <c r="H7" s="477">
        <f>landbouw!H8</f>
        <v>0</v>
      </c>
      <c r="I7" s="477">
        <f>landbouw!I8</f>
        <v>0</v>
      </c>
      <c r="J7" s="477">
        <f>landbouw!J8</f>
        <v>492.19045903305187</v>
      </c>
      <c r="K7" s="477">
        <f>landbouw!K8</f>
        <v>0</v>
      </c>
      <c r="L7" s="477">
        <f>landbouw!L8</f>
        <v>0</v>
      </c>
      <c r="M7" s="477">
        <f>landbouw!M8</f>
        <v>0</v>
      </c>
      <c r="N7" s="477">
        <f>landbouw!N8</f>
        <v>0</v>
      </c>
      <c r="O7" s="477">
        <f>landbouw!O8</f>
        <v>0</v>
      </c>
      <c r="P7" s="478">
        <f>landbouw!P8</f>
        <v>0</v>
      </c>
      <c r="Q7" s="476">
        <f t="shared" si="0"/>
        <v>19027.284084487997</v>
      </c>
    </row>
    <row r="8" spans="1:17">
      <c r="A8" s="476" t="s">
        <v>638</v>
      </c>
      <c r="B8" s="477">
        <f>industrie!B18</f>
        <v>215917.851929</v>
      </c>
      <c r="C8" s="477">
        <f>industrie!C18</f>
        <v>9000</v>
      </c>
      <c r="D8" s="477">
        <f>industrie!D18</f>
        <v>249219.10095548845</v>
      </c>
      <c r="E8" s="477">
        <f>industrie!E18</f>
        <v>9164.8940507461812</v>
      </c>
      <c r="F8" s="477">
        <f>industrie!F18</f>
        <v>55421.456838534388</v>
      </c>
      <c r="G8" s="477">
        <f>industrie!G18</f>
        <v>0</v>
      </c>
      <c r="H8" s="477">
        <f>industrie!H18</f>
        <v>0</v>
      </c>
      <c r="I8" s="477">
        <f>industrie!I18</f>
        <v>0</v>
      </c>
      <c r="J8" s="477">
        <f>industrie!J18</f>
        <v>682.24747375755055</v>
      </c>
      <c r="K8" s="477">
        <f>industrie!K18</f>
        <v>0</v>
      </c>
      <c r="L8" s="477">
        <f>industrie!L18</f>
        <v>0</v>
      </c>
      <c r="M8" s="477">
        <f>industrie!M18</f>
        <v>0</v>
      </c>
      <c r="N8" s="477">
        <f>industrie!N18</f>
        <v>52493.996134872796</v>
      </c>
      <c r="O8" s="477">
        <f>industrie!O18</f>
        <v>0</v>
      </c>
      <c r="P8" s="478">
        <f>industrie!P18</f>
        <v>0</v>
      </c>
      <c r="Q8" s="476">
        <f t="shared" si="0"/>
        <v>591899.54738239932</v>
      </c>
    </row>
    <row r="9" spans="1:17" s="482" customFormat="1">
      <c r="A9" s="480" t="s">
        <v>564</v>
      </c>
      <c r="B9" s="481">
        <f>transport!B14</f>
        <v>63.49986365100758</v>
      </c>
      <c r="C9" s="481">
        <f>transport!C14</f>
        <v>0</v>
      </c>
      <c r="D9" s="481">
        <f>transport!D14</f>
        <v>151.12328536084166</v>
      </c>
      <c r="E9" s="481">
        <f>transport!E14</f>
        <v>611.71205300644988</v>
      </c>
      <c r="F9" s="481">
        <f>transport!F14</f>
        <v>0</v>
      </c>
      <c r="G9" s="481">
        <f>transport!G14</f>
        <v>233238.27273601809</v>
      </c>
      <c r="H9" s="481">
        <f>transport!H14</f>
        <v>40887.865676775742</v>
      </c>
      <c r="I9" s="481">
        <f>transport!I14</f>
        <v>0</v>
      </c>
      <c r="J9" s="481">
        <f>transport!J14</f>
        <v>0</v>
      </c>
      <c r="K9" s="481">
        <f>transport!K14</f>
        <v>0</v>
      </c>
      <c r="L9" s="481">
        <f>transport!L14</f>
        <v>0</v>
      </c>
      <c r="M9" s="481">
        <f>transport!M14</f>
        <v>8573.0802190419272</v>
      </c>
      <c r="N9" s="481">
        <f>transport!N14</f>
        <v>0</v>
      </c>
      <c r="O9" s="481">
        <f>transport!O14</f>
        <v>0</v>
      </c>
      <c r="P9" s="481">
        <f>transport!P14</f>
        <v>0</v>
      </c>
      <c r="Q9" s="480">
        <f>SUM(B9:P9)</f>
        <v>283525.55383385404</v>
      </c>
    </row>
    <row r="10" spans="1:17">
      <c r="A10" s="476" t="s">
        <v>554</v>
      </c>
      <c r="B10" s="477">
        <f>transport!B54</f>
        <v>0</v>
      </c>
      <c r="C10" s="477">
        <f>transport!C54</f>
        <v>0</v>
      </c>
      <c r="D10" s="477">
        <f>transport!D54</f>
        <v>0</v>
      </c>
      <c r="E10" s="477">
        <f>transport!E54</f>
        <v>0</v>
      </c>
      <c r="F10" s="477">
        <f>transport!F54</f>
        <v>0</v>
      </c>
      <c r="G10" s="477">
        <f>transport!G54</f>
        <v>5111.3858058108981</v>
      </c>
      <c r="H10" s="477">
        <f>transport!H54</f>
        <v>0</v>
      </c>
      <c r="I10" s="477">
        <f>transport!I54</f>
        <v>0</v>
      </c>
      <c r="J10" s="477">
        <f>transport!J54</f>
        <v>0</v>
      </c>
      <c r="K10" s="477">
        <f>transport!K54</f>
        <v>0</v>
      </c>
      <c r="L10" s="477">
        <f>transport!L54</f>
        <v>0</v>
      </c>
      <c r="M10" s="477">
        <f>transport!M54</f>
        <v>158.54375259548374</v>
      </c>
      <c r="N10" s="477">
        <f>transport!N54</f>
        <v>0</v>
      </c>
      <c r="O10" s="477">
        <f>transport!O54</f>
        <v>0</v>
      </c>
      <c r="P10" s="478">
        <f>transport!P54</f>
        <v>0</v>
      </c>
      <c r="Q10" s="476">
        <f t="shared" si="0"/>
        <v>5269.9295584063821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4371.0879929000002</v>
      </c>
      <c r="C14" s="484"/>
      <c r="D14" s="484">
        <f>'SEAP template'!E25</f>
        <v>10382.015324999998</v>
      </c>
      <c r="E14" s="484"/>
      <c r="F14" s="484"/>
      <c r="G14" s="484"/>
      <c r="H14" s="484"/>
      <c r="I14" s="484"/>
      <c r="J14" s="484"/>
      <c r="K14" s="484"/>
      <c r="L14" s="484"/>
      <c r="M14" s="484"/>
      <c r="N14" s="484"/>
      <c r="O14" s="484"/>
      <c r="P14" s="485"/>
      <c r="Q14" s="476">
        <f t="shared" si="0"/>
        <v>14753.103317899999</v>
      </c>
    </row>
    <row r="15" spans="1:17" s="486" customFormat="1">
      <c r="A15" s="1038" t="s">
        <v>558</v>
      </c>
      <c r="B15" s="978">
        <f ca="1">SUM(B4:B14)</f>
        <v>499637.97420295089</v>
      </c>
      <c r="C15" s="978">
        <f t="shared" ref="C15:Q15" ca="1" si="1">SUM(C4:C14)</f>
        <v>50355.000000000007</v>
      </c>
      <c r="D15" s="978">
        <f t="shared" ca="1" si="1"/>
        <v>686570.68271306204</v>
      </c>
      <c r="E15" s="978">
        <f t="shared" si="1"/>
        <v>24644.449755445807</v>
      </c>
      <c r="F15" s="978">
        <f t="shared" ca="1" si="1"/>
        <v>104701.43639316995</v>
      </c>
      <c r="G15" s="978">
        <f t="shared" si="1"/>
        <v>238349.65854182898</v>
      </c>
      <c r="H15" s="978">
        <f t="shared" si="1"/>
        <v>40887.865676775742</v>
      </c>
      <c r="I15" s="978">
        <f t="shared" si="1"/>
        <v>0</v>
      </c>
      <c r="J15" s="978">
        <f t="shared" si="1"/>
        <v>1174.4379327906024</v>
      </c>
      <c r="K15" s="978">
        <f t="shared" si="1"/>
        <v>0</v>
      </c>
      <c r="L15" s="978">
        <f t="shared" ca="1" si="1"/>
        <v>0</v>
      </c>
      <c r="M15" s="978">
        <f t="shared" si="1"/>
        <v>8731.6239716374112</v>
      </c>
      <c r="N15" s="978">
        <f t="shared" ca="1" si="1"/>
        <v>95698.195168105769</v>
      </c>
      <c r="O15" s="978">
        <f t="shared" si="1"/>
        <v>1047.4333333333334</v>
      </c>
      <c r="P15" s="978">
        <f t="shared" si="1"/>
        <v>3393.8666666666668</v>
      </c>
      <c r="Q15" s="978">
        <f t="shared" ca="1" si="1"/>
        <v>1755192.6243557672</v>
      </c>
    </row>
    <row r="17" spans="1:17">
      <c r="A17" s="487" t="s">
        <v>559</v>
      </c>
      <c r="B17" s="786">
        <f ca="1">huishoudens!B10</f>
        <v>0.19042832501050036</v>
      </c>
      <c r="C17" s="786">
        <f ca="1">huishoudens!C10</f>
        <v>8.816575423735179E-2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17794.407424893139</v>
      </c>
      <c r="C22" s="477">
        <f t="shared" ref="C22:C32" ca="1" si="3">C4*$C$17</f>
        <v>0</v>
      </c>
      <c r="D22" s="477">
        <f t="shared" ref="D22:D32" si="4">D4*$D$17</f>
        <v>52868.137152039439</v>
      </c>
      <c r="E22" s="477">
        <f t="shared" ref="E22:E32" si="5">E4*$E$17</f>
        <v>2717.6912319780008</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73380.235808910569</v>
      </c>
    </row>
    <row r="23" spans="1:17">
      <c r="A23" s="476" t="s">
        <v>156</v>
      </c>
      <c r="B23" s="477">
        <f t="shared" ca="1" si="2"/>
        <v>33682.2527493835</v>
      </c>
      <c r="C23" s="477">
        <f t="shared" ca="1" si="3"/>
        <v>3646.094766485684</v>
      </c>
      <c r="D23" s="477">
        <f t="shared" ca="1" si="4"/>
        <v>32837.829936110487</v>
      </c>
      <c r="E23" s="477">
        <f t="shared" si="5"/>
        <v>637.29710634589173</v>
      </c>
      <c r="F23" s="477">
        <f t="shared" ca="1" si="6"/>
        <v>9821.1638822489713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80624.638440574548</v>
      </c>
    </row>
    <row r="24" spans="1:17">
      <c r="A24" s="476" t="s">
        <v>194</v>
      </c>
      <c r="B24" s="477">
        <f t="shared" ca="1" si="2"/>
        <v>1056.1680487259378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1056.1680487259378</v>
      </c>
    </row>
    <row r="25" spans="1:17">
      <c r="A25" s="476" t="s">
        <v>112</v>
      </c>
      <c r="B25" s="477">
        <f t="shared" ca="1" si="2"/>
        <v>651.04829576533575</v>
      </c>
      <c r="C25" s="477">
        <f t="shared" ca="1" si="3"/>
        <v>0</v>
      </c>
      <c r="D25" s="477">
        <f t="shared" si="4"/>
        <v>511.35842758703893</v>
      </c>
      <c r="E25" s="477">
        <f t="shared" si="5"/>
        <v>20.012170610458021</v>
      </c>
      <c r="F25" s="477">
        <f t="shared" si="6"/>
        <v>3336.590658838722</v>
      </c>
      <c r="G25" s="477">
        <f t="shared" si="7"/>
        <v>0</v>
      </c>
      <c r="H25" s="477">
        <f t="shared" si="8"/>
        <v>0</v>
      </c>
      <c r="I25" s="477">
        <f t="shared" si="9"/>
        <v>0</v>
      </c>
      <c r="J25" s="477">
        <f t="shared" si="10"/>
        <v>174.23542249770034</v>
      </c>
      <c r="K25" s="477">
        <f t="shared" si="11"/>
        <v>0</v>
      </c>
      <c r="L25" s="477">
        <f t="shared" si="12"/>
        <v>0</v>
      </c>
      <c r="M25" s="477">
        <f t="shared" si="13"/>
        <v>0</v>
      </c>
      <c r="N25" s="477">
        <f t="shared" si="14"/>
        <v>0</v>
      </c>
      <c r="O25" s="477">
        <f t="shared" si="15"/>
        <v>0</v>
      </c>
      <c r="P25" s="478">
        <f t="shared" si="16"/>
        <v>0</v>
      </c>
      <c r="Q25" s="476">
        <f t="shared" ca="1" si="17"/>
        <v>4693.2449752992552</v>
      </c>
    </row>
    <row r="26" spans="1:17">
      <c r="A26" s="476" t="s">
        <v>638</v>
      </c>
      <c r="B26" s="477">
        <f t="shared" ca="1" si="2"/>
        <v>41116.874882704702</v>
      </c>
      <c r="C26" s="477">
        <f t="shared" ca="1" si="3"/>
        <v>793.49178813616606</v>
      </c>
      <c r="D26" s="477">
        <f t="shared" si="4"/>
        <v>50342.258393008669</v>
      </c>
      <c r="E26" s="477">
        <f t="shared" si="5"/>
        <v>2080.4309495193834</v>
      </c>
      <c r="F26" s="477">
        <f t="shared" si="6"/>
        <v>14797.528975888683</v>
      </c>
      <c r="G26" s="477">
        <f t="shared" si="7"/>
        <v>0</v>
      </c>
      <c r="H26" s="477">
        <f t="shared" si="8"/>
        <v>0</v>
      </c>
      <c r="I26" s="477">
        <f t="shared" si="9"/>
        <v>0</v>
      </c>
      <c r="J26" s="477">
        <f t="shared" si="10"/>
        <v>241.51560571017288</v>
      </c>
      <c r="K26" s="477">
        <f t="shared" si="11"/>
        <v>0</v>
      </c>
      <c r="L26" s="477">
        <f t="shared" si="12"/>
        <v>0</v>
      </c>
      <c r="M26" s="477">
        <f t="shared" si="13"/>
        <v>0</v>
      </c>
      <c r="N26" s="477">
        <f t="shared" si="14"/>
        <v>0</v>
      </c>
      <c r="O26" s="477">
        <f t="shared" si="15"/>
        <v>0</v>
      </c>
      <c r="P26" s="478">
        <f t="shared" si="16"/>
        <v>0</v>
      </c>
      <c r="Q26" s="476">
        <f t="shared" ca="1" si="17"/>
        <v>109372.10059496778</v>
      </c>
    </row>
    <row r="27" spans="1:17" s="482" customFormat="1">
      <c r="A27" s="480" t="s">
        <v>564</v>
      </c>
      <c r="B27" s="780">
        <f t="shared" ca="1" si="2"/>
        <v>12.092172673456529</v>
      </c>
      <c r="C27" s="481">
        <f t="shared" ca="1" si="3"/>
        <v>0</v>
      </c>
      <c r="D27" s="481">
        <f t="shared" si="4"/>
        <v>30.526903642890019</v>
      </c>
      <c r="E27" s="481">
        <f t="shared" si="5"/>
        <v>138.85863603246412</v>
      </c>
      <c r="F27" s="481">
        <f t="shared" si="6"/>
        <v>0</v>
      </c>
      <c r="G27" s="481">
        <f t="shared" si="7"/>
        <v>62274.618820516829</v>
      </c>
      <c r="H27" s="481">
        <f t="shared" si="8"/>
        <v>10181.07855351716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72637.175086382806</v>
      </c>
    </row>
    <row r="28" spans="1:17">
      <c r="A28" s="476" t="s">
        <v>554</v>
      </c>
      <c r="B28" s="477">
        <f t="shared" ca="1" si="2"/>
        <v>0</v>
      </c>
      <c r="C28" s="477">
        <f t="shared" ca="1" si="3"/>
        <v>0</v>
      </c>
      <c r="D28" s="477">
        <f t="shared" si="4"/>
        <v>0</v>
      </c>
      <c r="E28" s="477">
        <f t="shared" si="5"/>
        <v>0</v>
      </c>
      <c r="F28" s="477">
        <f t="shared" si="6"/>
        <v>0</v>
      </c>
      <c r="G28" s="477">
        <f t="shared" si="7"/>
        <v>1364.74001015151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1364.74001015151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832.37896496145697</v>
      </c>
      <c r="C32" s="477">
        <f t="shared" ca="1" si="3"/>
        <v>0</v>
      </c>
      <c r="D32" s="477">
        <f t="shared" si="4"/>
        <v>2097.1670956499997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2929.5460606114566</v>
      </c>
    </row>
    <row r="33" spans="1:17" s="486" customFormat="1">
      <c r="A33" s="1038" t="s">
        <v>558</v>
      </c>
      <c r="B33" s="978">
        <f ca="1">SUM(B22:B32)</f>
        <v>95145.222539107519</v>
      </c>
      <c r="C33" s="978">
        <f t="shared" ref="C33:Q33" ca="1" si="18">SUM(C22:C32)</f>
        <v>4439.5865546218502</v>
      </c>
      <c r="D33" s="978">
        <f t="shared" ca="1" si="18"/>
        <v>138687.27790803849</v>
      </c>
      <c r="E33" s="978">
        <f t="shared" si="18"/>
        <v>5594.2900944861976</v>
      </c>
      <c r="F33" s="978">
        <f t="shared" ca="1" si="18"/>
        <v>27955.283516976378</v>
      </c>
      <c r="G33" s="978">
        <f t="shared" si="18"/>
        <v>63639.358830668338</v>
      </c>
      <c r="H33" s="978">
        <f t="shared" si="18"/>
        <v>10181.07855351716</v>
      </c>
      <c r="I33" s="978">
        <f t="shared" si="18"/>
        <v>0</v>
      </c>
      <c r="J33" s="978">
        <f t="shared" si="18"/>
        <v>415.75102820787322</v>
      </c>
      <c r="K33" s="978">
        <f t="shared" si="18"/>
        <v>0</v>
      </c>
      <c r="L33" s="978">
        <f t="shared" ca="1" si="18"/>
        <v>0</v>
      </c>
      <c r="M33" s="978">
        <f t="shared" si="18"/>
        <v>0</v>
      </c>
      <c r="N33" s="978">
        <f t="shared" ca="1" si="18"/>
        <v>0</v>
      </c>
      <c r="O33" s="978">
        <f t="shared" si="18"/>
        <v>0</v>
      </c>
      <c r="P33" s="978">
        <f t="shared" si="18"/>
        <v>0</v>
      </c>
      <c r="Q33" s="978">
        <f t="shared" ca="1" si="18"/>
        <v>346057.84902562381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22048.141187779031</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25742.502920727333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22171.500000000004</v>
      </c>
      <c r="C8" s="1055">
        <f>'SEAP template'!C76</f>
        <v>13077</v>
      </c>
      <c r="D8" s="1055">
        <f>'SEAP template'!D76</f>
        <v>15384.705882352941</v>
      </c>
      <c r="E8" s="1055">
        <f>'SEAP template'!E76</f>
        <v>0</v>
      </c>
      <c r="F8" s="1055">
        <f>'SEAP template'!F76</f>
        <v>0</v>
      </c>
      <c r="G8" s="1055">
        <f>'SEAP template'!G76</f>
        <v>0</v>
      </c>
      <c r="H8" s="1055">
        <f>'SEAP template'!H76</f>
        <v>0</v>
      </c>
      <c r="I8" s="1055">
        <f>'SEAP template'!I76</f>
        <v>0</v>
      </c>
      <c r="J8" s="1055">
        <f>'SEAP template'!J76</f>
        <v>26084.117647058825</v>
      </c>
      <c r="K8" s="1055">
        <f>'SEAP template'!K76</f>
        <v>0</v>
      </c>
      <c r="L8" s="1055">
        <f>'SEAP template'!L76</f>
        <v>0</v>
      </c>
      <c r="M8" s="1055">
        <f>'SEAP template'!M76</f>
        <v>0</v>
      </c>
      <c r="N8" s="1055">
        <f>'SEAP template'!N76</f>
        <v>0</v>
      </c>
      <c r="O8" s="1055">
        <f>'SEAP template'!O76</f>
        <v>0</v>
      </c>
      <c r="P8" s="1056">
        <f>'SEAP template'!Q76</f>
        <v>3107.7105882352944</v>
      </c>
    </row>
    <row r="9" spans="1:16">
      <c r="A9" s="1058" t="s">
        <v>863</v>
      </c>
      <c r="B9" s="1055">
        <f>'SEAP template'!B77</f>
        <v>139.5</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398.57142857142861</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70101.644108506371</v>
      </c>
      <c r="C10" s="1059">
        <f>SUM(C4:C9)</f>
        <v>13077</v>
      </c>
      <c r="D10" s="1059">
        <f t="shared" ref="D10:H10" si="0">SUM(D8:D9)</f>
        <v>15384.705882352941</v>
      </c>
      <c r="E10" s="1059">
        <f t="shared" si="0"/>
        <v>0</v>
      </c>
      <c r="F10" s="1059">
        <f t="shared" si="0"/>
        <v>0</v>
      </c>
      <c r="G10" s="1059">
        <f t="shared" si="0"/>
        <v>0</v>
      </c>
      <c r="H10" s="1059">
        <f t="shared" si="0"/>
        <v>0</v>
      </c>
      <c r="I10" s="1059">
        <f>SUM(I8:I9)</f>
        <v>0</v>
      </c>
      <c r="J10" s="1059">
        <f>SUM(J8:J9)</f>
        <v>26482.689075630253</v>
      </c>
      <c r="K10" s="1059">
        <f t="shared" ref="K10:L10" si="1">SUM(K8:K9)</f>
        <v>0</v>
      </c>
      <c r="L10" s="1059">
        <f t="shared" si="1"/>
        <v>0</v>
      </c>
      <c r="M10" s="1059">
        <f>SUM(M8:M9)</f>
        <v>0</v>
      </c>
      <c r="N10" s="1059">
        <f>SUM(N8:N9)</f>
        <v>0</v>
      </c>
      <c r="O10" s="1059">
        <f>SUM(O8:O9)</f>
        <v>0</v>
      </c>
      <c r="P10" s="1059">
        <f>SUM(P8:P9)</f>
        <v>3107.7105882352944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0.19042832501050036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31673.571428571431</v>
      </c>
      <c r="C17" s="1061">
        <f>'SEAP template'!C87</f>
        <v>18681.428571428572</v>
      </c>
      <c r="D17" s="1056">
        <f>'SEAP template'!D87</f>
        <v>21978.151260504208</v>
      </c>
      <c r="E17" s="1056">
        <f>'SEAP template'!E87</f>
        <v>0</v>
      </c>
      <c r="F17" s="1056">
        <f>'SEAP template'!F87</f>
        <v>0</v>
      </c>
      <c r="G17" s="1056">
        <f>'SEAP template'!G87</f>
        <v>0</v>
      </c>
      <c r="H17" s="1056">
        <f>'SEAP template'!H87</f>
        <v>0</v>
      </c>
      <c r="I17" s="1056">
        <f>'SEAP template'!I87</f>
        <v>0</v>
      </c>
      <c r="J17" s="1056">
        <f>'SEAP template'!J87</f>
        <v>37263.025210084044</v>
      </c>
      <c r="K17" s="1056">
        <f>'SEAP template'!K87</f>
        <v>0</v>
      </c>
      <c r="L17" s="1056">
        <f>'SEAP template'!L87</f>
        <v>0</v>
      </c>
      <c r="M17" s="1056">
        <f>'SEAP template'!M87</f>
        <v>0</v>
      </c>
      <c r="N17" s="1056">
        <f>'SEAP template'!N87</f>
        <v>0</v>
      </c>
      <c r="O17" s="1056">
        <f>'SEAP template'!O87</f>
        <v>0</v>
      </c>
      <c r="P17" s="1056">
        <f>'SEAP template'!Q87</f>
        <v>4439.5865546218502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31673.571428571431</v>
      </c>
      <c r="C20" s="1059">
        <f>SUM(C17:C19)</f>
        <v>18681.428571428572</v>
      </c>
      <c r="D20" s="1059">
        <f t="shared" ref="D20:H20" si="2">SUM(D17:D19)</f>
        <v>21978.151260504208</v>
      </c>
      <c r="E20" s="1059">
        <f t="shared" si="2"/>
        <v>0</v>
      </c>
      <c r="F20" s="1059">
        <f t="shared" si="2"/>
        <v>0</v>
      </c>
      <c r="G20" s="1059">
        <f t="shared" si="2"/>
        <v>0</v>
      </c>
      <c r="H20" s="1059">
        <f t="shared" si="2"/>
        <v>0</v>
      </c>
      <c r="I20" s="1059">
        <f>SUM(I17:I19)</f>
        <v>0</v>
      </c>
      <c r="J20" s="1059">
        <f>SUM(J17:J19)</f>
        <v>37263.025210084044</v>
      </c>
      <c r="K20" s="1059">
        <f t="shared" ref="K20:L20" si="3">SUM(K17:K19)</f>
        <v>0</v>
      </c>
      <c r="L20" s="1059">
        <f t="shared" si="3"/>
        <v>0</v>
      </c>
      <c r="M20" s="1059">
        <f>SUM(M17:M19)</f>
        <v>0</v>
      </c>
      <c r="N20" s="1059">
        <f>SUM(N17:N19)</f>
        <v>0</v>
      </c>
      <c r="O20" s="1059">
        <f>SUM(O17:O19)</f>
        <v>0</v>
      </c>
      <c r="P20" s="1059">
        <f>SUM(P17:P19)</f>
        <v>4439.5865546218502</v>
      </c>
    </row>
    <row r="22" spans="1:16">
      <c r="A22" s="487" t="s">
        <v>871</v>
      </c>
      <c r="B22" s="786" t="s">
        <v>865</v>
      </c>
      <c r="C22" s="786">
        <f ca="1">'EF ele_warmte'!B22</f>
        <v>8.816575423735179E-2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0.19042832501050036</v>
      </c>
      <c r="C17" s="524">
        <f ca="1">'EF ele_warmte'!B22</f>
        <v>8.816575423735179E-2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2019-08-12T08:24:49Z</dcterms:modified>
</cp:coreProperties>
</file>