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<sst xmlns="http://schemas.openxmlformats.org/spreadsheetml/2006/main" count="2401" uniqueCount="896">
  <si>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</si>
  <si>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</si>
  <si>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</si>
  <si>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</si>
  <si>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</si>
  <si>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</si>
  <si>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</si>
  <si>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</si>
  <si>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</si>
  <si>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</si>
  <si>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</si>
  <si>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</si>
  <si>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</si>
  <si>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</si>
  <si>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</si>
  <si>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</si>
  <si>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</si>
  <si>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</si>
  <si>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</si>
  <si>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</si>
  <si>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</si>
  <si>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</si>
  <si>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</si>
  <si>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</si>
  <si>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</si>
  <si>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</si>
  <si>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</si>
  <si>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</si>
  <si>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</si>
  <si>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</si>
  <si>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</si>
  <si>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</si>
  <si>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</si>
  <si>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</si>
  <si>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</si>
  <si>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</si>
  <si>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</si>
  <si>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</si>
  <si>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</si>
  <si>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</si>
  <si>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</si>
  <si>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</si>
  <si>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</si>
  <si>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</si>
  <si>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</si>
  <si>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</si>
  <si>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</si>
  <si>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</si>
  <si>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</si>
  <si>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</si>
  <si>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</si>
  <si>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</si>
  <si>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</si>
  <si>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</si>
  <si>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</si>
  <si>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</si>
  <si>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</si>
  <si>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</si>
  <si>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</si>
  <si>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</si>
  <si>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</si>
  <si>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</si>
  <si>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</si>
  <si>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</si>
  <si>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</si>
  <si>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</si>
  <si>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</si>
  <si>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</si>
  <si>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</si>
  <si>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</si>
  <si>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</si>
  <si>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</si>
  <si>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</si>
  <si>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</si>
  <si>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</si>
  <si>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</si>
  <si>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</si>
  <si>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</si>
  <si>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</si>
  <si>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</si>
  <si>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</si>
  <si>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</si>
  <si>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</si>
  <si>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</si>
  <si>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</si>
  <si>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</si>
  <si>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</si>
  <si>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</si>
  <si>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</si>
  <si>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</si>
  <si>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</si>
  <si>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</si>
  <si>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</si>
  <si>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</si>
  <si>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</si>
  <si>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</si>
  <si>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</si>
  <si>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</si>
  <si>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</si>
  <si>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</si>
  <si>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</si>
  <si>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</si>
  <si>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</si>
  <si>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</si>
  <si>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</si>
  <si>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</si>
  <si>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</si>
  <si>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</si>
  <si>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</si>
  <si>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</si>
  <si>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</si>
  <si>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</si>
  <si>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</si>
  <si>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</si>
  <si>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</si>
  <si>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</si>
  <si>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</si>
  <si>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</si>
  <si>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</si>
  <si>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</si>
  <si>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</si>
  <si>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</si>
  <si>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</si>
  <si>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</si>
  <si>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</si>
  <si>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</si>
  <si>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</si>
  <si>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</si>
  <si>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</si>
  <si>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</si>
  <si>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</si>
  <si>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</si>
  <si>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</si>
  <si>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</si>
  <si>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</si>
  <si>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</si>
  <si>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</si>
  <si>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</si>
  <si>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</si>
  <si>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</si>
  <si>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</si>
  <si>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</si>
  <si>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</si>
  <si>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</si>
  <si>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</si>
  <si>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</si>
  <si>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</si>
  <si>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</si>
  <si>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</si>
  <si>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</si>
  <si>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</si>
  <si>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</si>
  <si>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</si>
  <si>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</si>
  <si>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</si>
  <si>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</si>
  <si>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</si>
  <si>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</si>
  <si>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</si>
  <si>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</si>
  <si>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</si>
  <si>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</si>
  <si>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</si>
  <si>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</si>
  <si>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</si>
  <si>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</si>
  <si>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</si>
  <si>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</si>
  <si>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</si>
  <si>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</si>
  <si>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</si>
  <si>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</si>
  <si>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</si>
  <si>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</si>
  <si>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</si>
  <si>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</si>
  <si>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</si>
  <si>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</si>
  <si>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</si>
  <si>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</si>
  <si>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</si>
  <si>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</si>
  <si>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</si>
  <si>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</si>
  <si>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</si>
  <si>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</si>
  <si>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</si>
  <si>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</si>
  <si>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</si>
  <si>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</si>
  <si>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</si>
  <si>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</si>
  <si>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</si>
  <si>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</si>
  <si>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</si>
  <si>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</si>
  <si>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</si>
  <si>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</si>
  <si>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</si>
  <si>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</si>
  <si>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</si>
  <si>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</si>
  <si>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</si>
  <si>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</si>
  <si>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</si>
  <si>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</si>
  <si>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</si>
  <si>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</si>
  <si>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</si>
  <si>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</si>
  <si>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</si>
  <si>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</si>
  <si>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</si>
  <si>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</si>
  <si>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</si>
  <si>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</si>
  <si>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</si>
  <si>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</si>
  <si>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</si>
  <si>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</si>
  <si>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</si>
  <si>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</si>
  <si>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</si>
  <si>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</si>
  <si>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</si>
  <si>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</si>
  <si>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</si>
  <si>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</si>
  <si>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</si>
  <si>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</si>
  <si>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</si>
  <si>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</si>
  <si>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</si>
  <si>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</si>
  <si>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</si>
  <si>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</si>
  <si>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</si>
  <si>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</si>
  <si>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</si>
  <si>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</si>
  <si>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</si>
  <si>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</si>
  <si>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</si>
  <si>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</si>
  <si>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</si>
  <si>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</si>
  <si>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</si>
  <si>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</si>
  <si>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</si>
  <si>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</si>
  <si>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</si>
  <si>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</si>
  <si>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</si>
  <si>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</si>
  <si>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</si>
  <si>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</si>
  <si>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</si>
  <si>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</si>
  <si>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</si>
  <si>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</si>
  <si>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</si>
  <si>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</si>
  <si>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</si>
  <si>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</si>
  <si>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</si>
  <si>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</si>
  <si>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</si>
  <si>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</si>
  <si>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</si>
  <si>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</si>
  <si>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</si>
  <si>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</si>
  <si>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</si>
  <si>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</si>
  <si>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</si>
  <si>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</si>
  <si>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</si>
  <si>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</si>
  <si>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</si>
  <si>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</si>
  <si>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</si>
  <si>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</si>
  <si>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</si>
  <si>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</si>
  <si>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</si>
  <si>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</si>
  <si>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</si>
  <si>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</si>
  <si>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</si>
  <si>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</si>
  <si>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</si>
  <si>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</si>
  <si>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</si>
  <si>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</si>
  <si>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</si>
  <si>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</si>
  <si>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</si>
  <si>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</si>
  <si>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</si>
  <si>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</si>
  <si>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</si>
  <si>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</si>
  <si>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</si>
  <si>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</si>
  <si>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</si>
  <si>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</si>
  <si>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</si>
  <si>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</si>
  <si>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</si>
  <si>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</si>
  <si>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</si>
  <si>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</si>
  <si>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</si>
  <si>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</si>
  <si>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</si>
  <si>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</si>
  <si>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</si>
  <si>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</si>
  <si>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</si>
  <si>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</si>
  <si>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</si>
  <si>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</si>
  <si>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</si>
  <si>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</si>
  <si>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</si>
  <si>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</si>
  <si>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</si>
  <si>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</si>
  <si>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</si>
  <si>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</si>
  <si>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</si>
  <si>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</si>
  <si>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</si>
  <si>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</si>
  <si>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</si>
  <si>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</si>
  <si>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</si>
  <si>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</si>
  <si>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</si>
  <si>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</si>
  <si>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</si>
  <si>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</si>
  <si>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</si>
  <si>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</si>
  <si>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</si>
  <si>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</si>
  <si>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</si>
  <si>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</si>
  <si>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</si>
  <si>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</si>
  <si>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</si>
  <si>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</si>
  <si>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</si>
  <si>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</si>
  <si>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</si>
  <si>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</si>
  <si>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</si>
  <si>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</si>
  <si>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</si>
  <si>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</si>
  <si>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</si>
  <si>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</si>
  <si>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</si>
  <si>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</si>
  <si>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</si>
  <si>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</si>
  <si>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</si>
  <si>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</si>
  <si>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</si>
  <si>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</si>
  <si>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</si>
  <si>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</si>
  <si>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</si>
  <si>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</si>
  <si>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</si>
  <si>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</si>
  <si>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</si>
  <si>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</si>
  <si>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</si>
  <si>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</si>
  <si>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</si>
  <si>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</si>
  <si>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</si>
  <si>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</si>
  <si>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</si>
  <si>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</si>
  <si>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</si>
  <si>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</si>
  <si>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</si>
  <si>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</si>
  <si>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</si>
  <si>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</si>
  <si>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</si>
  <si>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</si>
  <si>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</si>
  <si>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</si>
  <si>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</si>
  <si>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</si>
  <si>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</si>
  <si>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</si>
  <si>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</si>
  <si>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</si>
  <si>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</si>
  <si>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</si>
  <si>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</si>
  <si>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</si>
  <si>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</si>
  <si>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</si>
  <si>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</si>
  <si>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</si>
  <si>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</si>
  <si>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</si>
  <si>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</si>
  <si>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</si>
  <si>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</si>
  <si>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</si>
  <si>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</si>
  <si>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</si>
  <si>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</si>
  <si>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</si>
  <si>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</si>
  <si>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</si>
  <si>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</si>
  <si>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</si>
  <si>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</si>
  <si>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</si>
  <si>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</si>
  <si>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</si>
  <si>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</si>
  <si>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</si>
  <si>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</si>
  <si>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</si>
  <si>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</si>
  <si>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</si>
  <si>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</si>
  <si>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</si>
  <si>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</si>
  <si>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</si>
  <si>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</si>
  <si>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</si>
  <si>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</si>
  <si>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</si>
  <si>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</si>
  <si>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</si>
  <si>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</si>
  <si>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</si>
  <si>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</si>
  <si>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</si>
  <si>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</si>
  <si>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</si>
  <si>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</si>
  <si>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</si>
  <si>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</si>
  <si>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</si>
  <si>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</si>
  <si>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</si>
  <si>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</si>
  <si>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</si>
  <si>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</si>
  <si>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</si>
  <si>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</si>
  <si>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</si>
  <si>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</si>
  <si>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</si>
  <si>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</si>
  <si>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</si>
  <si>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</si>
  <si>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</si>
  <si>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</si>
  <si>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</si>
  <si>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</si>
  <si>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</si>
  <si>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</si>
  <si>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</si>
  <si>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</si>
  <si>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</si>
  <si>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</si>
  <si>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</si>
  <si>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</si>
  <si>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</si>
  <si>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</si>
  <si>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</si>
  <si>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</si>
  <si>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</si>
  <si>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</si>
  <si>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</si>
  <si>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</si>
  <si>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</si>
  <si>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</si>
  <si>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</si>
  <si>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</si>
  <si>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</si>
  <si>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</si>
  <si>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</si>
  <si>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</si>
  <si>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</si>
  <si>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</si>
  <si>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</si>
  <si>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</si>
  <si>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</si>
  <si>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</si>
  <si>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</si>
  <si>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</si>
  <si>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</si>
  <si>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</si>
  <si>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</si>
  <si>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</si>
  <si>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</si>
  <si>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</si>
  <si>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</si>
  <si>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</si>
  <si>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</si>
  <si>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</si>
  <si>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</si>
  <si>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</si>
  <si>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</si>
  <si>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</si>
  <si>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</si>
  <si>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</si>
  <si>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</si>
  <si>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</si>
  <si>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</si>
  <si>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</si>
  <si>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</si>
  <si>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</si>
  <si>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</si>
  <si>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</si>
  <si>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</si>
  <si>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</si>
  <si>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</si>
  <si>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</si>
  <si>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</si>
  <si>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</si>
  <si>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</si>
  <si>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</si>
  <si>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</si>
  <si>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</si>
  <si>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</si>
  <si>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</si>
  <si>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</si>
  <si>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</si>
  <si>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</si>
  <si>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</si>
  <si>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</si>
  <si>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</si>
  <si>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</si>
  <si>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</si>
  <si>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</si>
  <si>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</si>
  <si>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</si>
  <si>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</si>
  <si>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</si>
  <si>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</si>
  <si>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</si>
  <si>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</si>
  <si>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</si>
  <si>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</si>
  <si>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</si>
  <si>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</si>
  <si>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</si>
  <si>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</si>
  <si>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</si>
  <si>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</si>
  <si>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</si>
  <si>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</si>
  <si>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</si>
  <si>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</si>
  <si>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</si>
  <si>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</si>
  <si>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</si>
  <si>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</si>
  <si>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</si>
  <si>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</si>
  <si>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</si>
  <si>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</si>
  <si>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</si>
  <si>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</si>
  <si>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</si>
  <si>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</si>
  <si>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</si>
  <si>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</si>
  <si>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</si>
  <si>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</si>
  <si>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</si>
  <si>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</si>
  <si>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</si>
  <si>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</si>
  <si>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</si>
  <si>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</si>
  <si>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</si>
  <si>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</si>
  <si>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</si>
  <si>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</si>
  <si>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</si>
  <si>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</si>
  <si>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</si>
  <si>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</si>
  <si>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</si>
  <si>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</si>
  <si>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</si>
  <si>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</si>
  <si>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</si>
  <si>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</si>
  <si>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</si>
  <si>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</si>
  <si>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</si>
  <si>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</si>
  <si>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</si>
  <si>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</si>
  <si>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</si>
  <si>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</si>
  <si>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</si>
  <si>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</si>
  <si>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</si>
  <si>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</si>
  <si>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</si>
  <si>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</si>
  <si>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</si>
  <si>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</si>
  <si>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</si>
  <si>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</si>
  <si>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</si>
  <si>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</si>
  <si>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</si>
  <si>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</si>
  <si>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</si>
  <si>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</si>
  <si>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</si>
  <si>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</si>
  <si>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</si>
  <si>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</si>
  <si>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</si>
  <si>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</si>
  <si>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</si>
  <si>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</si>
  <si>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</si>
  <si>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</si>
  <si>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</si>
  <si>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</si>
  <si>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</si>
  <si>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</si>
  <si>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</si>
  <si>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</si>
  <si>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</si>
  <si>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</si>
  <si>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</si>
  <si>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</si>
  <si>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</si>
  <si>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</si>
  <si>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</si>
  <si>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</si>
  <si>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</si>
  <si>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</si>
  <si>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</si>
  <si>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</si>
  <si>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</si>
  <si>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</si>
  <si>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</si>
  <si>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</si>
  <si>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</si>
  <si>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</si>
  <si>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</si>
  <si>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</si>
  <si>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</si>
  <si>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</si>
  <si>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</si>
  <si>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</si>
  <si>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</si>
  <si>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</si>
  <si>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</si>
  <si>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</si>
  <si>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</si>
  <si>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</si>
  <si>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</si>
  <si>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</si>
  <si>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</si>
  <si>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</si>
  <si>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</si>
  <si>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</si>
  <si>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</si>
  <si>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</si>
  <si>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</si>
  <si>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</si>
  <si>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</si>
  <si>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</si>
  <si>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</si>
  <si>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</si>
  <si>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</si>
  <si>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</si>
  <si>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</si>
  <si>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</si>
  <si>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</si>
  <si>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</si>
  <si>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</si>
  <si>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</si>
  <si>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</si>
  <si>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</si>
  <si>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</si>
  <si>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</si>
  <si>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</si>
  <si>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</si>
  <si>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</si>
  <si>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</si>
  <si>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</si>
  <si>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</si>
  <si>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</si>
  <si>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</si>
  <si>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</si>
  <si>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</si>
  <si>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</si>
  <si>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</si>
  <si>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</si>
  <si>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</si>
  <si>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</si>
  <si>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</si>
  <si>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</si>
  <si>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</si>
  <si>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</si>
  <si>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</si>
  <si>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</si>
  <si>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</si>
  <si>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</si>
  <si>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</si>
  <si>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</si>
  <si>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</si>
  <si>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</si>
  <si>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</si>
  <si>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</si>
  <si>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</si>
  <si>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</si>
  <si>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</si>
  <si>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</si>
  <si>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</si>
  <si>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</si>
  <si>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</si>
  <si>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</si>
  <si>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</si>
  <si>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</si>
  <si>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</si>
  <si>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</si>
  <si>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</si>
  <si>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</si>
  <si>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</si>
  <si>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</si>
  <si>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</si>
  <si>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</si>
  <si>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</si>
  <si>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</si>
  <si>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</si>
  <si>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</si>
  <si>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</si>
  <si>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</si>
  <si>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</si>
  <si>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</si>
  <si>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</si>
  <si>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</si>
  <si>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</si>
  <si>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</si>
  <si>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</si>
  <si>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</si>
  <si>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</si>
  <si>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</si>
  <si>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</si>
  <si>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</si>
  <si>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</si>
  <si>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</si>
  <si>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</si>
  <si>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</si>
  <si>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</si>
  <si>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</si>
  <si>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</si>
  <si>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</si>
  <si>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</si>
  <si>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</si>
  <si>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</si>
  <si>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</si>
  <si>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</si>
  <si>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</si>
  <si>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</si>
  <si>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</si>
  <si>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</si>
  <si>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</si>
  <si>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</si>
  <si>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</si>
  <si>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</si>
  <si>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</si>
  <si>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</si>
  <si>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</si>
  <si>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</si>
  <si>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</si>
  <si>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</si>
  <si>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</si>
  <si>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</si>
  <si>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</si>
  <si>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</si>
  <si>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</si>
  <si>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</si>
  <si>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</si>
  <si>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</si>
  <si>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</si>
  <si>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</si>
  <si>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</si>
  <si>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</si>
  <si>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</si>
  <si>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</si>
  <si>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</si>
  <si>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</si>
  <si>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</si>
  <si>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</si>
  <si>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</si>
  <si>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</si>
  <si>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</si>
  <si>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</si>
  <si>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</si>
  <si>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</si>
  <si>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</si>
  <si>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</si>
  <si>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</si>
  <si>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</si>
  <si>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</si>
  <si>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</si>
  <si>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</si>
  <si>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</si>
  <si>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</si>
  <si>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</si>
  <si>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</si>
  <si>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</si>
  <si>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</si>
  <si>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</si>
  <si>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</si>
  <si>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</si>
  <si>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</si>
  <si>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</si>
  <si>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</si>
  <si>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</si>
  <si>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</si>
  <si>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</si>
  <si>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</si>
  <si>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</si>
  <si>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</si>
  <si>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</si>
  <si>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</si>
  <si>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</si>
  <si>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</si>
  <si>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</si>
  <si>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</si>
  <si>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</si>
  <si>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</si>
  <si>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</si>
  <si>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</si>
  <si>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</si>
  <si>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</si>
  <si>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</si>
  <si>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</si>
  <si>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</si>
  <si>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</si>
  <si>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</si>
  <si>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</si>
  <si>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</si>
  <si>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</si>
  <si>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</si>
  <si>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</si>
  <si>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</si>
  <si>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</si>
  <si>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</si>
  <si>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</si>
  <si>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</si>
  <si>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</si>
  <si>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</si>
  <si>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</si>
  <si>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</si>
  <si>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</si>
  <si>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</si>
  <si>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</si>
  <si>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</si>
  <si>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</si>
  <si>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</si>
  <si>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</si>
  <si>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</si>
  <si>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</si>
  <si>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</si>
  <si>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</si>
  <si>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36010</t>
  </si>
  <si>
    <t>LEDEGEM</t>
  </si>
  <si>
    <t>Paarden&amp;pony's 200 - 600 kg</t>
  </si>
  <si>
    <t>Paarden&amp;pony's &lt; 200 kg</t>
  </si>
  <si>
    <t>referentietaak LNE (2017); Jaarverslag De Lijn (2015)</t>
  </si>
  <si>
    <t>op basis van VEA (maart 2018) en Inventaris Hernieuwbare Energiebronnen (juni 2018)</t>
  </si>
  <si>
    <t>VEA (januari 2017)</t>
  </si>
  <si>
    <t>VEA (juni 2018)</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</si>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</sst>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73964.940491172514</c:v>
                </c:pt>
                <c:pt idx="1">
                  <c:v>19576.803218005087</c:v>
                </c:pt>
                <c:pt idx="2">
                  <c:v>685.93600000000004</c:v>
                </c:pt>
                <c:pt idx="3">
                  <c:v>11360.020585401018</c:v>
                </c:pt>
                <c:pt idx="4">
                  <c:v>13672.690941767831</c:v>
                </c:pt>
                <c:pt idx="5">
                  <c:v>101125.8382586142</c:v>
                </c:pt>
                <c:pt idx="6">
                  <c:v>642.74847641904626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124352"/>
        <c:axId val="183125888"/>
      </c:barChart>
      <c:catAx>
        <c:axId val="183124352"/>
        <c:scaling>
          <c:orientation val="minMax"/>
        </c:scaling>
        <c:axPos val="b"/>
        <c:numFmt formatCode="General" sourceLinked="0"/>
        <c:tickLblPos val="nextTo"/>
        <c:crossAx val="183125888"/>
        <c:crosses val="autoZero"/>
        <c:auto val="1"/>
        <c:lblAlgn val="ctr"/>
        <c:lblOffset val="100"/>
      </c:catAx>
      <c:valAx>
        <c:axId val="183125888"/>
        <c:scaling>
          <c:orientation val="minMax"/>
        </c:scaling>
        <c:axPos val="l"/>
        <c:majorGridlines/>
        <c:numFmt formatCode="#,##0" sourceLinked="1"/>
        <c:tickLblPos val="nextTo"/>
        <c:crossAx val="183124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73964.940491172514</c:v>
                </c:pt>
                <c:pt idx="1">
                  <c:v>19576.803218005087</c:v>
                </c:pt>
                <c:pt idx="2">
                  <c:v>685.93600000000004</c:v>
                </c:pt>
                <c:pt idx="3">
                  <c:v>11360.020585401018</c:v>
                </c:pt>
                <c:pt idx="4">
                  <c:v>13672.690941767831</c:v>
                </c:pt>
                <c:pt idx="5">
                  <c:v>101125.8382586142</c:v>
                </c:pt>
                <c:pt idx="6">
                  <c:v>642.74847641904626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13429.985523385265</c:v>
                </c:pt>
                <c:pt idx="2">
                  <c:v>3976.7442797030726</c:v>
                </c:pt>
                <c:pt idx="3">
                  <c:v>138.21224304524756</c:v>
                </c:pt>
                <c:pt idx="4">
                  <c:v>2873.7099341649605</c:v>
                </c:pt>
                <c:pt idx="5">
                  <c:v>2581.7141720085297</c:v>
                </c:pt>
                <c:pt idx="6">
                  <c:v>25911.3687540264</c:v>
                </c:pt>
                <c:pt idx="7">
                  <c:v>166.4509084061184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6048"/>
        <c:axId val="183513856"/>
      </c:barChart>
      <c:catAx>
        <c:axId val="18342604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426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13429.985523385265</c:v>
                </c:pt>
                <c:pt idx="2">
                  <c:v>3976.7442797030726</c:v>
                </c:pt>
                <c:pt idx="3">
                  <c:v>138.21224304524756</c:v>
                </c:pt>
                <c:pt idx="4">
                  <c:v>2873.7099341649605</c:v>
                </c:pt>
                <c:pt idx="5">
                  <c:v>2581.7141720085297</c:v>
                </c:pt>
                <c:pt idx="6">
                  <c:v>25911.3687540264</c:v>
                </c:pt>
                <c:pt idx="7">
                  <c:v>166.4509084061184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36010</v>
      </c>
      <c r="B6" s="415"/>
      <c r="C6" s="416"/>
    </row>
    <row r="7" spans="1:7" s="413" customFormat="1" ht="15.75" customHeight="1">
      <c r="A7" s="417" t="str">
        <f>txtMunicipality</f>
        <v>LEDEGEM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0.20149437126094499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0.20149437126094499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3877</v>
      </c>
      <c r="C9" s="342">
        <v>3887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1664.79</v>
      </c>
    </row>
    <row r="15" spans="1:6">
      <c r="A15" s="348" t="s">
        <v>184</v>
      </c>
      <c r="B15" s="334">
        <v>14</v>
      </c>
    </row>
    <row r="16" spans="1:6">
      <c r="A16" s="348" t="s">
        <v>6</v>
      </c>
      <c r="B16" s="334">
        <v>410</v>
      </c>
    </row>
    <row r="17" spans="1:6">
      <c r="A17" s="348" t="s">
        <v>7</v>
      </c>
      <c r="B17" s="334">
        <v>843</v>
      </c>
    </row>
    <row r="18" spans="1:6">
      <c r="A18" s="348" t="s">
        <v>8</v>
      </c>
      <c r="B18" s="334">
        <v>861</v>
      </c>
    </row>
    <row r="19" spans="1:6">
      <c r="A19" s="348" t="s">
        <v>9</v>
      </c>
      <c r="B19" s="334">
        <v>745</v>
      </c>
    </row>
    <row r="20" spans="1:6">
      <c r="A20" s="348" t="s">
        <v>10</v>
      </c>
      <c r="B20" s="334">
        <v>730</v>
      </c>
    </row>
    <row r="21" spans="1:6">
      <c r="A21" s="348" t="s">
        <v>11</v>
      </c>
      <c r="B21" s="334">
        <v>6558</v>
      </c>
    </row>
    <row r="22" spans="1:6">
      <c r="A22" s="348" t="s">
        <v>12</v>
      </c>
      <c r="B22" s="334">
        <v>26162</v>
      </c>
    </row>
    <row r="23" spans="1:6">
      <c r="A23" s="348" t="s">
        <v>13</v>
      </c>
      <c r="B23" s="334">
        <v>196</v>
      </c>
    </row>
    <row r="24" spans="1:6">
      <c r="A24" s="348" t="s">
        <v>14</v>
      </c>
      <c r="B24" s="334">
        <v>9</v>
      </c>
    </row>
    <row r="25" spans="1:6">
      <c r="A25" s="348" t="s">
        <v>15</v>
      </c>
      <c r="B25" s="334">
        <v>1571</v>
      </c>
    </row>
    <row r="26" spans="1:6">
      <c r="A26" s="348" t="s">
        <v>16</v>
      </c>
      <c r="B26" s="334">
        <v>222</v>
      </c>
    </row>
    <row r="27" spans="1:6">
      <c r="A27" s="348" t="s">
        <v>17</v>
      </c>
      <c r="B27" s="334">
        <v>1</v>
      </c>
    </row>
    <row r="28" spans="1:6" s="356" customFormat="1">
      <c r="A28" s="355" t="s">
        <v>18</v>
      </c>
      <c r="B28" s="355">
        <v>54427</v>
      </c>
    </row>
    <row r="29" spans="1:6">
      <c r="A29" s="355" t="s">
        <v>884</v>
      </c>
      <c r="B29" s="355">
        <v>113</v>
      </c>
      <c r="C29" s="356"/>
      <c r="D29" s="356"/>
      <c r="E29" s="356"/>
      <c r="F29" s="356"/>
    </row>
    <row r="30" spans="1:6">
      <c r="A30" s="355" t="s">
        <v>885</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12327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2676</v>
      </c>
      <c r="D39" s="334">
        <v>39471063.118295997</v>
      </c>
      <c r="E39" s="334">
        <v>3611</v>
      </c>
      <c r="F39" s="334">
        <v>13193894</v>
      </c>
    </row>
    <row r="40" spans="1:6">
      <c r="A40" s="348" t="s">
        <v>30</v>
      </c>
      <c r="B40" s="348" t="s">
        <v>29</v>
      </c>
      <c r="C40" s="334">
        <v>0</v>
      </c>
      <c r="D40" s="334">
        <v>0</v>
      </c>
      <c r="E40" s="334">
        <v>0</v>
      </c>
      <c r="F40" s="334">
        <v>0</v>
      </c>
    </row>
    <row r="41" spans="1:6">
      <c r="A41" s="348" t="s">
        <v>32</v>
      </c>
      <c r="B41" s="348" t="s">
        <v>33</v>
      </c>
      <c r="C41" s="334">
        <v>74</v>
      </c>
      <c r="D41" s="334">
        <v>1782446</v>
      </c>
      <c r="E41" s="334">
        <v>150</v>
      </c>
      <c r="F41" s="334">
        <v>1670581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218823</v>
      </c>
      <c r="E44" s="334">
        <v>28</v>
      </c>
      <c r="F44" s="334">
        <v>969866</v>
      </c>
    </row>
    <row r="45" spans="1:6">
      <c r="A45" s="348" t="s">
        <v>32</v>
      </c>
      <c r="B45" s="348" t="s">
        <v>37</v>
      </c>
      <c r="C45" s="334">
        <v>0</v>
      </c>
      <c r="D45" s="334">
        <v>0</v>
      </c>
      <c r="E45" s="334">
        <v>3</v>
      </c>
      <c r="F45" s="334">
        <v>29358</v>
      </c>
    </row>
    <row r="46" spans="1:6">
      <c r="A46" s="348" t="s">
        <v>32</v>
      </c>
      <c r="B46" s="348" t="s">
        <v>38</v>
      </c>
      <c r="C46" s="334">
        <v>0</v>
      </c>
      <c r="D46" s="334">
        <v>0</v>
      </c>
      <c r="E46" s="334">
        <v>0</v>
      </c>
      <c r="F46" s="334">
        <v>0</v>
      </c>
    </row>
    <row r="47" spans="1:6">
      <c r="A47" s="348" t="s">
        <v>32</v>
      </c>
      <c r="B47" s="348" t="s">
        <v>39</v>
      </c>
      <c r="C47" s="334">
        <v>5</v>
      </c>
      <c r="D47" s="334">
        <v>205361</v>
      </c>
      <c r="E47" s="334">
        <v>5</v>
      </c>
      <c r="F47" s="334">
        <v>65663</v>
      </c>
    </row>
    <row r="48" spans="1:6">
      <c r="A48" s="348" t="s">
        <v>32</v>
      </c>
      <c r="B48" s="348" t="s">
        <v>29</v>
      </c>
      <c r="C48" s="334">
        <v>0</v>
      </c>
      <c r="D48" s="334">
        <v>39893</v>
      </c>
      <c r="E48" s="334">
        <v>0</v>
      </c>
      <c r="F48" s="334">
        <v>0</v>
      </c>
    </row>
    <row r="49" spans="1:6">
      <c r="A49" s="348" t="s">
        <v>32</v>
      </c>
      <c r="B49" s="348" t="s">
        <v>40</v>
      </c>
      <c r="C49" s="334">
        <v>3</v>
      </c>
      <c r="D49" s="334">
        <v>52154</v>
      </c>
      <c r="E49" s="334">
        <v>7</v>
      </c>
      <c r="F49" s="334">
        <v>478525</v>
      </c>
    </row>
    <row r="50" spans="1:6">
      <c r="A50" s="348" t="s">
        <v>32</v>
      </c>
      <c r="B50" s="348" t="s">
        <v>41</v>
      </c>
      <c r="C50" s="334">
        <v>11</v>
      </c>
      <c r="D50" s="334">
        <v>754626</v>
      </c>
      <c r="E50" s="334">
        <v>19</v>
      </c>
      <c r="F50" s="334">
        <v>2859517</v>
      </c>
    </row>
    <row r="51" spans="1:6">
      <c r="A51" s="348" t="s">
        <v>42</v>
      </c>
      <c r="B51" s="348" t="s">
        <v>43</v>
      </c>
      <c r="C51" s="334">
        <v>13</v>
      </c>
      <c r="D51" s="334">
        <v>335768</v>
      </c>
      <c r="E51" s="334">
        <v>117</v>
      </c>
      <c r="F51" s="334">
        <v>2274498</v>
      </c>
    </row>
    <row r="52" spans="1:6">
      <c r="A52" s="348" t="s">
        <v>42</v>
      </c>
      <c r="B52" s="348" t="s">
        <v>29</v>
      </c>
      <c r="C52" s="334">
        <v>0</v>
      </c>
      <c r="D52" s="334">
        <v>0</v>
      </c>
      <c r="E52" s="334">
        <v>1</v>
      </c>
      <c r="F52" s="334">
        <v>4245.5966393999997</v>
      </c>
    </row>
    <row r="53" spans="1:6">
      <c r="A53" s="348" t="s">
        <v>44</v>
      </c>
      <c r="B53" s="348" t="s">
        <v>45</v>
      </c>
      <c r="C53" s="334">
        <v>0</v>
      </c>
      <c r="D53" s="334">
        <v>0</v>
      </c>
      <c r="E53" s="334">
        <v>0</v>
      </c>
      <c r="F53" s="334">
        <v>0</v>
      </c>
    </row>
    <row r="54" spans="1:6">
      <c r="A54" s="348" t="s">
        <v>46</v>
      </c>
      <c r="B54" s="348" t="s">
        <v>47</v>
      </c>
      <c r="C54" s="334">
        <v>0</v>
      </c>
      <c r="D54" s="334">
        <v>0</v>
      </c>
      <c r="E54" s="334">
        <v>62</v>
      </c>
      <c r="F54" s="334">
        <v>685936</v>
      </c>
    </row>
    <row r="55" spans="1:6">
      <c r="A55" s="348" t="s">
        <v>46</v>
      </c>
      <c r="B55" s="348" t="s">
        <v>29</v>
      </c>
      <c r="C55" s="334">
        <v>0</v>
      </c>
      <c r="D55" s="334">
        <v>0</v>
      </c>
      <c r="E55" s="334">
        <v>0</v>
      </c>
      <c r="F55" s="334">
        <v>0</v>
      </c>
    </row>
    <row r="56" spans="1:6">
      <c r="A56" s="348" t="s">
        <v>48</v>
      </c>
      <c r="B56" s="348" t="s">
        <v>29</v>
      </c>
      <c r="C56" s="334">
        <v>42</v>
      </c>
      <c r="D56" s="334">
        <v>774600</v>
      </c>
      <c r="E56" s="334">
        <v>68</v>
      </c>
      <c r="F56" s="334">
        <v>293784</v>
      </c>
    </row>
    <row r="57" spans="1:6">
      <c r="A57" s="348" t="s">
        <v>49</v>
      </c>
      <c r="B57" s="348" t="s">
        <v>50</v>
      </c>
      <c r="C57" s="334">
        <v>33</v>
      </c>
      <c r="D57" s="334">
        <v>1300918</v>
      </c>
      <c r="E57" s="334">
        <v>58</v>
      </c>
      <c r="F57" s="334">
        <v>642405</v>
      </c>
    </row>
    <row r="58" spans="1:6">
      <c r="A58" s="348" t="s">
        <v>49</v>
      </c>
      <c r="B58" s="348" t="s">
        <v>51</v>
      </c>
      <c r="C58" s="334">
        <v>27</v>
      </c>
      <c r="D58" s="334">
        <v>2523083</v>
      </c>
      <c r="E58" s="334">
        <v>21</v>
      </c>
      <c r="F58" s="334">
        <v>894081</v>
      </c>
    </row>
    <row r="59" spans="1:6">
      <c r="A59" s="348" t="s">
        <v>49</v>
      </c>
      <c r="B59" s="348" t="s">
        <v>52</v>
      </c>
      <c r="C59" s="334">
        <v>72</v>
      </c>
      <c r="D59" s="334">
        <v>1763591</v>
      </c>
      <c r="E59" s="334">
        <v>180</v>
      </c>
      <c r="F59" s="334">
        <v>3607270</v>
      </c>
    </row>
    <row r="60" spans="1:6">
      <c r="A60" s="348" t="s">
        <v>49</v>
      </c>
      <c r="B60" s="348" t="s">
        <v>53</v>
      </c>
      <c r="C60" s="334">
        <v>44</v>
      </c>
      <c r="D60" s="334">
        <v>2115956</v>
      </c>
      <c r="E60" s="334">
        <v>39</v>
      </c>
      <c r="F60" s="334">
        <v>929213</v>
      </c>
    </row>
    <row r="61" spans="1:6">
      <c r="A61" s="348" t="s">
        <v>49</v>
      </c>
      <c r="B61" s="348" t="s">
        <v>54</v>
      </c>
      <c r="C61" s="334">
        <v>55</v>
      </c>
      <c r="D61" s="334">
        <v>1481963</v>
      </c>
      <c r="E61" s="334">
        <v>179</v>
      </c>
      <c r="F61" s="334">
        <v>2125436</v>
      </c>
    </row>
    <row r="62" spans="1:6">
      <c r="A62" s="348" t="s">
        <v>49</v>
      </c>
      <c r="B62" s="348" t="s">
        <v>55</v>
      </c>
      <c r="C62" s="334">
        <v>6</v>
      </c>
      <c r="D62" s="334">
        <v>270534</v>
      </c>
      <c r="E62" s="334">
        <v>9</v>
      </c>
      <c r="F62" s="334">
        <v>106464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29165</v>
      </c>
      <c r="E65" s="334">
        <v>0</v>
      </c>
      <c r="F65" s="334">
        <v>7430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58675</v>
      </c>
      <c r="E68" s="334">
        <v>13</v>
      </c>
      <c r="F68" s="334">
        <v>97270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10011705</v>
      </c>
      <c r="E73" s="475">
        <v>9733389.6465927605</v>
      </c>
    </row>
    <row r="74" spans="1:6">
      <c r="A74" s="348" t="s">
        <v>64</v>
      </c>
      <c r="B74" s="348" t="s">
        <v>667</v>
      </c>
      <c r="C74" s="1294" t="s">
        <v>669</v>
      </c>
      <c r="D74" s="475">
        <v>1077010.2609401681</v>
      </c>
      <c r="E74" s="475">
        <v>1068689.5313280781</v>
      </c>
    </row>
    <row r="75" spans="1:6">
      <c r="A75" s="348" t="s">
        <v>65</v>
      </c>
      <c r="B75" s="348" t="s">
        <v>666</v>
      </c>
      <c r="C75" s="1294" t="s">
        <v>670</v>
      </c>
      <c r="D75" s="475">
        <v>21668189</v>
      </c>
      <c r="E75" s="475">
        <v>21265862.240651395</v>
      </c>
    </row>
    <row r="76" spans="1:6">
      <c r="A76" s="348" t="s">
        <v>65</v>
      </c>
      <c r="B76" s="348" t="s">
        <v>667</v>
      </c>
      <c r="C76" s="1294" t="s">
        <v>671</v>
      </c>
      <c r="D76" s="475">
        <v>561941.26094016805</v>
      </c>
      <c r="E76" s="475">
        <v>558626.86929644749</v>
      </c>
    </row>
    <row r="77" spans="1:6">
      <c r="A77" s="348" t="s">
        <v>66</v>
      </c>
      <c r="B77" s="348" t="s">
        <v>666</v>
      </c>
      <c r="C77" s="1294" t="s">
        <v>672</v>
      </c>
      <c r="D77" s="475">
        <v>61193366</v>
      </c>
      <c r="E77" s="475">
        <v>65916339.228809789</v>
      </c>
    </row>
    <row r="78" spans="1:6">
      <c r="A78" s="341" t="s">
        <v>66</v>
      </c>
      <c r="B78" s="341" t="s">
        <v>667</v>
      </c>
      <c r="C78" s="341" t="s">
        <v>673</v>
      </c>
      <c r="D78" s="1295">
        <v>11272473</v>
      </c>
      <c r="E78" s="1295">
        <v>11574773.277848568</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172633.47811966389</v>
      </c>
      <c r="C83" s="475">
        <v>172633.47811966389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2224.4611121386833</v>
      </c>
    </row>
    <row r="92" spans="1:6">
      <c r="A92" s="341" t="s">
        <v>69</v>
      </c>
      <c r="B92" s="342">
        <v>651.28673729084312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1850</v>
      </c>
    </row>
    <row r="98" spans="1:6">
      <c r="A98" s="348" t="s">
        <v>72</v>
      </c>
      <c r="B98" s="334">
        <v>0</v>
      </c>
    </row>
    <row r="99" spans="1:6">
      <c r="A99" s="348" t="s">
        <v>73</v>
      </c>
      <c r="B99" s="334">
        <v>49</v>
      </c>
    </row>
    <row r="100" spans="1:6">
      <c r="A100" s="348" t="s">
        <v>74</v>
      </c>
      <c r="B100" s="334">
        <v>252</v>
      </c>
    </row>
    <row r="101" spans="1:6">
      <c r="A101" s="348" t="s">
        <v>75</v>
      </c>
      <c r="B101" s="334">
        <v>78</v>
      </c>
    </row>
    <row r="102" spans="1:6">
      <c r="A102" s="348" t="s">
        <v>76</v>
      </c>
      <c r="B102" s="334">
        <v>61</v>
      </c>
    </row>
    <row r="103" spans="1:6">
      <c r="A103" s="348" t="s">
        <v>77</v>
      </c>
      <c r="B103" s="334">
        <v>117</v>
      </c>
    </row>
    <row r="104" spans="1:6">
      <c r="A104" s="348" t="s">
        <v>78</v>
      </c>
      <c r="B104" s="334">
        <v>1085</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95</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33076.961186701184</v>
      </c>
      <c r="C3" s="43" t="s">
        <v>170</v>
      </c>
      <c r="D3" s="43"/>
      <c r="E3" s="154"/>
      <c r="F3" s="43"/>
      <c r="G3" s="43"/>
      <c r="H3" s="43"/>
      <c r="I3" s="43"/>
      <c r="J3" s="43"/>
      <c r="K3" s="96"/>
    </row>
    <row r="4" spans="1:11">
      <c r="A4" s="383" t="s">
        <v>171</v>
      </c>
      <c r="B4" s="49">
        <f>IF(ISERROR('SEAP template'!B78+'SEAP template'!C78),0,'SEAP template'!B78+'SEAP template'!C78)</f>
        <v>2919.3978494295266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0.20149437126094499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685.93600000000004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685.93600000000004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0.20149437126094499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138.21224304524756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13193.894</v>
      </c>
      <c r="C5" s="17">
        <f>IF(ISERROR('Eigen informatie GS &amp; warmtenet'!B57),0,'Eigen informatie GS &amp; warmtenet'!B57)</f>
        <v>0</v>
      </c>
      <c r="D5" s="30">
        <f>(SUM(HH_hh_gas_kWh,HH_rest_gas_kWh)/1000)*0.902</f>
        <v>35602.898932702992</v>
      </c>
      <c r="E5" s="17">
        <f>B46*B57</f>
        <v>2353.9909867092115</v>
      </c>
      <c r="F5" s="17">
        <f>B51*B62</f>
        <v>8315.2798536230966</v>
      </c>
      <c r="G5" s="18"/>
      <c r="H5" s="17"/>
      <c r="I5" s="17"/>
      <c r="J5" s="17">
        <f>B50*B61+C50*C61</f>
        <v>1064.8375561597222</v>
      </c>
      <c r="K5" s="17"/>
      <c r="L5" s="17"/>
      <c r="M5" s="17"/>
      <c r="N5" s="17">
        <f>B48*B59+C48*C59</f>
        <v>10642.208049838813</v>
      </c>
      <c r="O5" s="17">
        <f>B69*B70*B71</f>
        <v>186.03666666666666</v>
      </c>
      <c r="P5" s="17">
        <f>B77*B78*B79/1000-B77*B78*B79/1000/B80</f>
        <v>381.33333333333337</v>
      </c>
    </row>
    <row r="6" spans="1:16">
      <c r="A6" s="16" t="s">
        <v>624</v>
      </c>
      <c r="B6" s="788">
        <f>kWh_PV_kleiner_dan_10kW</f>
        <v>2224.4611121386833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15418.355112138684</v>
      </c>
      <c r="C8" s="21">
        <f>C5</f>
        <v>0</v>
      </c>
      <c r="D8" s="21">
        <f>D5</f>
        <v>35602.898932702992</v>
      </c>
      <c r="E8" s="21">
        <f>E5</f>
        <v>2353.9909867092115</v>
      </c>
      <c r="F8" s="21">
        <f>F5</f>
        <v>8315.2798536230966</v>
      </c>
      <c r="G8" s="21"/>
      <c r="H8" s="21"/>
      <c r="I8" s="21"/>
      <c r="J8" s="21">
        <f>J5</f>
        <v>1064.8375561597222</v>
      </c>
      <c r="K8" s="21"/>
      <c r="L8" s="21">
        <f>L5</f>
        <v>0</v>
      </c>
      <c r="M8" s="21">
        <f>M5</f>
        <v>0</v>
      </c>
      <c r="N8" s="21">
        <f>N5</f>
        <v>10642.208049838813</v>
      </c>
      <c r="O8" s="21">
        <f>O5</f>
        <v>186.03666666666666</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0.20149437126094499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3106.7117691983613</v>
      </c>
      <c r="C12" s="23">
        <f ca="1">C10*C8</f>
        <v>0</v>
      </c>
      <c r="D12" s="23">
        <f>D8*D10</f>
        <v>7191.785584406005</v>
      </c>
      <c r="E12" s="23">
        <f>E10*E8</f>
        <v>534.35595398299097</v>
      </c>
      <c r="F12" s="23">
        <f>F10*F8</f>
        <v>2220.1797209173669</v>
      </c>
      <c r="G12" s="23"/>
      <c r="H12" s="23"/>
      <c r="I12" s="23"/>
      <c r="J12" s="23">
        <f>J10*J8</f>
        <v>376.95249488054162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1850</v>
      </c>
      <c r="C18" s="166" t="s">
        <v>111</v>
      </c>
      <c r="D18" s="228"/>
      <c r="E18" s="15"/>
    </row>
    <row r="19" spans="1:7">
      <c r="A19" s="171" t="s">
        <v>72</v>
      </c>
      <c r="B19" s="37">
        <f>aantalw2001_ander</f>
        <v>0</v>
      </c>
      <c r="C19" s="166" t="s">
        <v>111</v>
      </c>
      <c r="D19" s="229"/>
      <c r="E19" s="15"/>
    </row>
    <row r="20" spans="1:7">
      <c r="A20" s="171" t="s">
        <v>73</v>
      </c>
      <c r="B20" s="37">
        <f>aantalw2001_propaan</f>
        <v>49</v>
      </c>
      <c r="C20" s="167">
        <f>IF(ISERROR(B20/SUM($B$20,$B$21,$B$22)*100),0,B20/SUM($B$20,$B$21,$B$22)*100)</f>
        <v>12.928759894459102</v>
      </c>
      <c r="D20" s="229"/>
      <c r="E20" s="15"/>
    </row>
    <row r="21" spans="1:7">
      <c r="A21" s="171" t="s">
        <v>74</v>
      </c>
      <c r="B21" s="37">
        <f>aantalw2001_elektriciteit</f>
        <v>252</v>
      </c>
      <c r="C21" s="167">
        <f>IF(ISERROR(B21/SUM($B$20,$B$21,$B$22)*100),0,B21/SUM($B$20,$B$21,$B$22)*100)</f>
        <v>66.490765171503966</v>
      </c>
      <c r="D21" s="229"/>
      <c r="E21" s="15"/>
    </row>
    <row r="22" spans="1:7">
      <c r="A22" s="171" t="s">
        <v>75</v>
      </c>
      <c r="B22" s="37">
        <f>aantalw2001_hout</f>
        <v>78</v>
      </c>
      <c r="C22" s="167">
        <f>IF(ISERROR(B22/SUM($B$20,$B$21,$B$22)*100),0,B22/SUM($B$20,$B$21,$B$22)*100)</f>
        <v>20.580474934036939</v>
      </c>
      <c r="D22" s="229"/>
      <c r="E22" s="15"/>
    </row>
    <row r="23" spans="1:7">
      <c r="A23" s="171" t="s">
        <v>76</v>
      </c>
      <c r="B23" s="37">
        <f>aantalw2001_niet_gespec</f>
        <v>61</v>
      </c>
      <c r="C23" s="166" t="s">
        <v>111</v>
      </c>
      <c r="D23" s="228"/>
      <c r="E23" s="15"/>
    </row>
    <row r="24" spans="1:7">
      <c r="A24" s="171" t="s">
        <v>77</v>
      </c>
      <c r="B24" s="37">
        <f>aantalw2001_steenkool</f>
        <v>117</v>
      </c>
      <c r="C24" s="166" t="s">
        <v>111</v>
      </c>
      <c r="D24" s="229"/>
      <c r="E24" s="15"/>
    </row>
    <row r="25" spans="1:7">
      <c r="A25" s="171" t="s">
        <v>78</v>
      </c>
      <c r="B25" s="37">
        <f>aantalw2001_stookolie</f>
        <v>1085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3877</v>
      </c>
      <c r="C28" s="36"/>
      <c r="D28" s="228"/>
    </row>
    <row r="29" spans="1:7" s="15" customFormat="1">
      <c r="A29" s="230" t="s">
        <v>699</v>
      </c>
      <c r="B29" s="37">
        <f>SUM(HH_hh_gas_aantal,HH_rest_gas_aantal)</f>
        <v>2676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2676</v>
      </c>
      <c r="C32" s="167">
        <f>IF(ISERROR(B32/SUM($B$32,$B$34,$B$35,$B$36,$B$38,$B$39)*100),0,B32/SUM($B$32,$B$34,$B$35,$B$36,$B$38,$B$39)*100)</f>
        <v>69.380347420274816</v>
      </c>
      <c r="D32" s="233"/>
      <c r="G32" s="15"/>
    </row>
    <row r="33" spans="1:7">
      <c r="A33" s="171" t="s">
        <v>72</v>
      </c>
      <c r="B33" s="34" t="s">
        <v>111</v>
      </c>
      <c r="C33" s="167"/>
      <c r="D33" s="233"/>
      <c r="G33" s="15"/>
    </row>
    <row r="34" spans="1:7">
      <c r="A34" s="171" t="s">
        <v>73</v>
      </c>
      <c r="B34" s="33">
        <f>IF((($B$28-$B$32-$B$39-$B$77-$B$38)*C20/100)&lt;0,0,($B$28-$B$32-$B$39-$B$77-$B$38)*C20/100)</f>
        <v>104.07651715039577</v>
      </c>
      <c r="C34" s="167">
        <f>IF(ISERROR(B34/SUM($B$32,$B$34,$B$35,$B$36,$B$38,$B$39)*100),0,B34/SUM($B$32,$B$34,$B$35,$B$36,$B$38,$B$39)*100)</f>
        <v>2.698380014270048</v>
      </c>
      <c r="D34" s="233"/>
      <c r="G34" s="15"/>
    </row>
    <row r="35" spans="1:7">
      <c r="A35" s="171" t="s">
        <v>74</v>
      </c>
      <c r="B35" s="33">
        <f>IF((($B$28-$B$32-$B$39-$B$77-$B$38)*C21/100)&lt;0,0,($B$28-$B$32-$B$39-$B$77-$B$38)*C21/100)</f>
        <v>535.25065963060695</v>
      </c>
      <c r="C35" s="167">
        <f>IF(ISERROR(B35/SUM($B$32,$B$34,$B$35,$B$36,$B$38,$B$39)*100),0,B35/SUM($B$32,$B$34,$B$35,$B$36,$B$38,$B$39)*100)</f>
        <v>13.877382930531679</v>
      </c>
      <c r="D35" s="233"/>
      <c r="G35" s="15"/>
    </row>
    <row r="36" spans="1:7">
      <c r="A36" s="171" t="s">
        <v>75</v>
      </c>
      <c r="B36" s="33">
        <f>IF((($B$28-$B$32-$B$39-$B$77-$B$38)*C22/100)&lt;0,0,($B$28-$B$32-$B$39-$B$77-$B$38)*C22/100)</f>
        <v>165.67282321899737</v>
      </c>
      <c r="C36" s="167">
        <f>IF(ISERROR(B36/SUM($B$32,$B$34,$B$35,$B$36,$B$38,$B$39)*100),0,B36/SUM($B$32,$B$34,$B$35,$B$36,$B$38,$B$39)*100)</f>
        <v>4.2953804308788524</v>
      </c>
      <c r="D36" s="233"/>
      <c r="G36" s="15"/>
    </row>
    <row r="37" spans="1:7">
      <c r="A37" s="171" t="s">
        <v>76</v>
      </c>
      <c r="B37" s="34" t="s">
        <v>111</v>
      </c>
      <c r="C37" s="167"/>
      <c r="D37" s="173"/>
      <c r="G37" s="15"/>
    </row>
    <row r="38" spans="1:7">
      <c r="A38" s="171" t="s">
        <v>77</v>
      </c>
      <c r="B38" s="33">
        <f>IF((B24-(B29-B18)*0.1)&lt;0,0,B24-(B29-B18)*0.1)</f>
        <v>34.399999999999991</v>
      </c>
      <c r="C38" s="167">
        <f>IF(ISERROR(B38/SUM($B$32,$B$34,$B$35,$B$36,$B$38,$B$39)*100),0,B38/SUM($B$32,$B$34,$B$35,$B$36,$B$38,$B$39)*100)</f>
        <v>0.8918848846253562</v>
      </c>
      <c r="D38" s="234"/>
      <c r="G38" s="15"/>
    </row>
    <row r="39" spans="1:7">
      <c r="A39" s="171" t="s">
        <v>78</v>
      </c>
      <c r="B39" s="33">
        <f>IF((B25-(B29-B18))&lt;0,0,B25-(B29-B18)*0.9)</f>
        <v>341.6</v>
      </c>
      <c r="C39" s="167">
        <f>IF(ISERROR(B39/SUM($B$32,$B$34,$B$35,$B$36,$B$38,$B$39)*100),0,B39/SUM($B$32,$B$34,$B$35,$B$36,$B$38,$B$39)*100)</f>
        <v>8.8566243194192378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2676</v>
      </c>
      <c r="C44" s="34" t="s">
        <v>111</v>
      </c>
      <c r="D44" s="174"/>
    </row>
    <row r="45" spans="1:7">
      <c r="A45" s="171" t="s">
        <v>72</v>
      </c>
      <c r="B45" s="33" t="str">
        <f t="shared" si="0"/>
        <v>-</v>
      </c>
      <c r="C45" s="34" t="s">
        <v>111</v>
      </c>
      <c r="D45" s="174"/>
    </row>
    <row r="46" spans="1:7">
      <c r="A46" s="171" t="s">
        <v>73</v>
      </c>
      <c r="B46" s="33">
        <f t="shared" si="0"/>
        <v>104.07651715039577</v>
      </c>
      <c r="C46" s="34" t="s">
        <v>111</v>
      </c>
      <c r="D46" s="174"/>
    </row>
    <row r="47" spans="1:7">
      <c r="A47" s="171" t="s">
        <v>74</v>
      </c>
      <c r="B47" s="33">
        <f t="shared" si="0"/>
        <v>535.25065963060695</v>
      </c>
      <c r="C47" s="34" t="s">
        <v>111</v>
      </c>
      <c r="D47" s="174"/>
    </row>
    <row r="48" spans="1:7">
      <c r="A48" s="171" t="s">
        <v>75</v>
      </c>
      <c r="B48" s="33">
        <f t="shared" si="0"/>
        <v>165.67282321899737</v>
      </c>
      <c r="C48" s="33">
        <f>B48*10</f>
        <v>1656.7282321899736</v>
      </c>
      <c r="D48" s="234"/>
    </row>
    <row r="49" spans="1:6">
      <c r="A49" s="171" t="s">
        <v>76</v>
      </c>
      <c r="B49" s="33" t="str">
        <f t="shared" si="0"/>
        <v>-</v>
      </c>
      <c r="C49" s="34" t="s">
        <v>111</v>
      </c>
      <c r="D49" s="234"/>
    </row>
    <row r="50" spans="1:6">
      <c r="A50" s="171" t="s">
        <v>77</v>
      </c>
      <c r="B50" s="33">
        <f t="shared" si="0"/>
        <v>34.399999999999991</v>
      </c>
      <c r="C50" s="33">
        <f>B50*2</f>
        <v>68.799999999999983</v>
      </c>
      <c r="D50" s="234"/>
    </row>
    <row r="51" spans="1:6">
      <c r="A51" s="171" t="s">
        <v>78</v>
      </c>
      <c r="B51" s="33">
        <f t="shared" si="0"/>
        <v>341.6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8304.8690000000006</v>
      </c>
      <c r="C5" s="17">
        <f>IF(ISERROR('Eigen informatie GS &amp; warmtenet'!B58),0,'Eigen informatie GS &amp; warmtenet'!B58)</f>
        <v>0</v>
      </c>
      <c r="D5" s="30">
        <f>SUM(D6:D12)</f>
        <v>8529.3525899999986</v>
      </c>
      <c r="E5" s="17">
        <f>SUM(E6:E12)</f>
        <v>173.6948130267948</v>
      </c>
      <c r="F5" s="17">
        <f>SUM(F6:F12)</f>
        <v>2026.2246307358705</v>
      </c>
      <c r="G5" s="18"/>
      <c r="H5" s="17"/>
      <c r="I5" s="17"/>
      <c r="J5" s="17">
        <f>SUM(J6:J12)</f>
        <v>0</v>
      </c>
      <c r="K5" s="17"/>
      <c r="L5" s="17"/>
      <c r="M5" s="17"/>
      <c r="N5" s="17">
        <f>SUM(N6:N12)</f>
        <v>523.59551757575423</v>
      </c>
      <c r="O5" s="17">
        <f>B38*B39*B40</f>
        <v>0</v>
      </c>
      <c r="P5" s="17">
        <f>B46*B47*B48/1000-B46*B47*B48/1000/B49</f>
        <v>19.066666666666666</v>
      </c>
      <c r="R5" s="32"/>
    </row>
    <row r="6" spans="1:18">
      <c r="A6" s="32" t="s">
        <v>54</v>
      </c>
      <c r="B6" s="37">
        <f>B26</f>
        <v>2125.4360000000001</v>
      </c>
      <c r="C6" s="33"/>
      <c r="D6" s="37">
        <f>IF(ISERROR(TER_kantoor_gas_kWh/1000),0,TER_kantoor_gas_kWh/1000)*0.902</f>
        <v>1336.730626</v>
      </c>
      <c r="E6" s="33">
        <f>$C$26*'E Balans VL '!I12/100/3.6*1000000</f>
        <v>27.824575397508625</v>
      </c>
      <c r="F6" s="33">
        <f>$C$26*('E Balans VL '!L12+'E Balans VL '!N12)/100/3.6*1000000</f>
        <v>541.964216564818</v>
      </c>
      <c r="G6" s="34"/>
      <c r="H6" s="33"/>
      <c r="I6" s="33"/>
      <c r="J6" s="33">
        <f>$C$26*('E Balans VL '!D12+'E Balans VL '!E12)/100/3.6*1000000</f>
        <v>0</v>
      </c>
      <c r="K6" s="33"/>
      <c r="L6" s="33"/>
      <c r="M6" s="33"/>
      <c r="N6" s="33">
        <f>$C$26*'E Balans VL '!Y12/100/3.6*1000000</f>
        <v>2.1325932918856769</v>
      </c>
      <c r="O6" s="33"/>
      <c r="P6" s="33"/>
      <c r="R6" s="32"/>
    </row>
    <row r="7" spans="1:18">
      <c r="A7" s="32" t="s">
        <v>53</v>
      </c>
      <c r="B7" s="37">
        <f t="shared" ref="B7:B12" si="0">B27</f>
        <v>929.21299999999997</v>
      </c>
      <c r="C7" s="33"/>
      <c r="D7" s="37">
        <f>IF(ISERROR(TER_horeca_gas_kWh/1000),0,TER_horeca_gas_kWh/1000)*0.902</f>
        <v>1908.5923120000002</v>
      </c>
      <c r="E7" s="33">
        <f>$C$27*'E Balans VL '!I9/100/3.6*1000000</f>
        <v>30.751298086929804</v>
      </c>
      <c r="F7" s="33">
        <f>$C$27*('E Balans VL '!L9+'E Balans VL '!N9)/100/3.6*1000000</f>
        <v>399.55802882442498</v>
      </c>
      <c r="G7" s="34"/>
      <c r="H7" s="33"/>
      <c r="I7" s="33"/>
      <c r="J7" s="33">
        <f>$C$27*('E Balans VL '!D9+'E Balans VL '!E9)/100/3.6*1000000</f>
        <v>0</v>
      </c>
      <c r="K7" s="33"/>
      <c r="L7" s="33"/>
      <c r="M7" s="33"/>
      <c r="N7" s="33">
        <f>$C$27*'E Balans VL '!Y9/100/3.6*1000000</f>
        <v>0.22367506275356541</v>
      </c>
      <c r="O7" s="33"/>
      <c r="P7" s="33"/>
      <c r="R7" s="32"/>
    </row>
    <row r="8" spans="1:18">
      <c r="A8" s="6" t="s">
        <v>52</v>
      </c>
      <c r="B8" s="37">
        <f t="shared" si="0"/>
        <v>3607.27</v>
      </c>
      <c r="C8" s="33"/>
      <c r="D8" s="37">
        <f>IF(ISERROR(TER_handel_gas_kWh/1000),0,TER_handel_gas_kWh/1000)*0.902</f>
        <v>1590.759082</v>
      </c>
      <c r="E8" s="33">
        <f>$C$28*'E Balans VL '!I13/100/3.6*1000000</f>
        <v>113.8509529444942</v>
      </c>
      <c r="F8" s="33">
        <f>$C$28*('E Balans VL '!L13+'E Balans VL '!N13)/100/3.6*1000000</f>
        <v>707.44916708102357</v>
      </c>
      <c r="G8" s="34"/>
      <c r="H8" s="33"/>
      <c r="I8" s="33"/>
      <c r="J8" s="33">
        <f>$C$28*('E Balans VL '!D13+'E Balans VL '!E13)/100/3.6*1000000</f>
        <v>0</v>
      </c>
      <c r="K8" s="33"/>
      <c r="L8" s="33"/>
      <c r="M8" s="33"/>
      <c r="N8" s="33">
        <f>$C$28*'E Balans VL '!Y13/100/3.6*1000000</f>
        <v>4.2811291471272348</v>
      </c>
      <c r="O8" s="33"/>
      <c r="P8" s="33"/>
      <c r="R8" s="32"/>
    </row>
    <row r="9" spans="1:18">
      <c r="A9" s="32" t="s">
        <v>51</v>
      </c>
      <c r="B9" s="37">
        <f t="shared" si="0"/>
        <v>894.08100000000002</v>
      </c>
      <c r="C9" s="33"/>
      <c r="D9" s="37">
        <f>IF(ISERROR(TER_gezond_gas_kWh/1000),0,TER_gezond_gas_kWh/1000)*0.902</f>
        <v>2275.820866</v>
      </c>
      <c r="E9" s="33">
        <f>$C$29*'E Balans VL '!I10/100/3.6*1000000</f>
        <v>0.11446852375930774</v>
      </c>
      <c r="F9" s="33">
        <f>$C$29*('E Balans VL '!L10+'E Balans VL '!N10)/100/3.6*1000000</f>
        <v>186.27454666898797</v>
      </c>
      <c r="G9" s="34"/>
      <c r="H9" s="33"/>
      <c r="I9" s="33"/>
      <c r="J9" s="33">
        <f>$C$29*('E Balans VL '!D10+'E Balans VL '!E10)/100/3.6*1000000</f>
        <v>0</v>
      </c>
      <c r="K9" s="33"/>
      <c r="L9" s="33"/>
      <c r="M9" s="33"/>
      <c r="N9" s="33">
        <f>$C$29*'E Balans VL '!Y10/100/3.6*1000000</f>
        <v>10.501403943237827</v>
      </c>
      <c r="O9" s="33"/>
      <c r="P9" s="33"/>
      <c r="R9" s="32"/>
    </row>
    <row r="10" spans="1:18">
      <c r="A10" s="32" t="s">
        <v>50</v>
      </c>
      <c r="B10" s="37">
        <f t="shared" si="0"/>
        <v>642.40499999999997</v>
      </c>
      <c r="C10" s="33"/>
      <c r="D10" s="37">
        <f>IF(ISERROR(TER_ander_gas_kWh/1000),0,TER_ander_gas_kWh/1000)*0.902</f>
        <v>1173.428036</v>
      </c>
      <c r="E10" s="33">
        <f>$C$30*'E Balans VL '!I14/100/3.6*1000000</f>
        <v>0.96602604845049167</v>
      </c>
      <c r="F10" s="33">
        <f>$C$30*('E Balans VL '!L14+'E Balans VL '!N14)/100/3.6*1000000</f>
        <v>141.8223163337222</v>
      </c>
      <c r="G10" s="34"/>
      <c r="H10" s="33"/>
      <c r="I10" s="33"/>
      <c r="J10" s="33">
        <f>$C$30*('E Balans VL '!D14+'E Balans VL '!E14)/100/3.6*1000000</f>
        <v>0</v>
      </c>
      <c r="K10" s="33"/>
      <c r="L10" s="33"/>
      <c r="M10" s="33"/>
      <c r="N10" s="33">
        <f>$C$30*'E Balans VL '!Y14/100/3.6*1000000</f>
        <v>506.25837222648283</v>
      </c>
      <c r="O10" s="33"/>
      <c r="P10" s="33"/>
      <c r="R10" s="32"/>
    </row>
    <row r="11" spans="1:18">
      <c r="A11" s="32" t="s">
        <v>55</v>
      </c>
      <c r="B11" s="37">
        <f t="shared" si="0"/>
        <v>106.464</v>
      </c>
      <c r="C11" s="33"/>
      <c r="D11" s="37">
        <f>IF(ISERROR(TER_onderwijs_gas_kWh/1000),0,TER_onderwijs_gas_kWh/1000)*0.902</f>
        <v>244.02166800000001</v>
      </c>
      <c r="E11" s="33">
        <f>$C$31*'E Balans VL '!I11/100/3.6*1000000</f>
        <v>0.18749202565236103</v>
      </c>
      <c r="F11" s="33">
        <f>$C$31*('E Balans VL '!L11+'E Balans VL '!N11)/100/3.6*1000000</f>
        <v>49.156355262893754</v>
      </c>
      <c r="G11" s="34"/>
      <c r="H11" s="33"/>
      <c r="I11" s="33"/>
      <c r="J11" s="33">
        <f>$C$31*('E Balans VL '!D11+'E Balans VL '!E11)/100/3.6*1000000</f>
        <v>0</v>
      </c>
      <c r="K11" s="33"/>
      <c r="L11" s="33"/>
      <c r="M11" s="33"/>
      <c r="N11" s="33">
        <f>$C$31*'E Balans VL '!Y11/100/3.6*1000000</f>
        <v>0.19834390426709664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8304.8690000000006</v>
      </c>
      <c r="C16" s="21">
        <f t="shared" ca="1" si="1"/>
        <v>0</v>
      </c>
      <c r="D16" s="21">
        <f t="shared" ca="1" si="1"/>
        <v>8529.3525899999986</v>
      </c>
      <c r="E16" s="21">
        <f t="shared" si="1"/>
        <v>173.6948130267948</v>
      </c>
      <c r="F16" s="21">
        <f t="shared" ca="1" si="1"/>
        <v>2026.2246307358705</v>
      </c>
      <c r="G16" s="21">
        <f t="shared" si="1"/>
        <v>0</v>
      </c>
      <c r="H16" s="21">
        <f t="shared" si="1"/>
        <v>0</v>
      </c>
      <c r="I16" s="21">
        <f t="shared" si="1"/>
        <v>0</v>
      </c>
      <c r="J16" s="21">
        <f t="shared" si="1"/>
        <v>0</v>
      </c>
      <c r="K16" s="21">
        <f t="shared" si="1"/>
        <v>0</v>
      </c>
      <c r="L16" s="21">
        <f t="shared" ca="1" si="1"/>
        <v>0</v>
      </c>
      <c r="M16" s="21">
        <f t="shared" si="1"/>
        <v>0</v>
      </c>
      <c r="N16" s="21">
        <f t="shared" ca="1" si="1"/>
        <v>523.59551757575423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0.20149437126094499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1673.3843575595131</v>
      </c>
      <c r="C20" s="23">
        <f t="shared" ref="C20:P20" ca="1" si="2">C16*C18</f>
        <v>0</v>
      </c>
      <c r="D20" s="23">
        <f t="shared" ca="1" si="2"/>
        <v>1722.9292231799998</v>
      </c>
      <c r="E20" s="23">
        <f t="shared" si="2"/>
        <v>39.428722557082423</v>
      </c>
      <c r="F20" s="23">
        <f t="shared" ca="1" si="2"/>
        <v>541.00197640647741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2125.4360000000001</v>
      </c>
      <c r="C26" s="39">
        <f>IF(ISERROR(B26*3.6/1000000/'E Balans VL '!Z12*100),0,B26*3.6/1000000/'E Balans VL '!Z12*100)</f>
        <v>4.5528490306931957E-2</v>
      </c>
      <c r="D26" s="237" t="s">
        <v>660</v>
      </c>
      <c r="F26" s="6"/>
    </row>
    <row r="27" spans="1:18">
      <c r="A27" s="231" t="s">
        <v>53</v>
      </c>
      <c r="B27" s="33">
        <f>IF(ISERROR(TER_horeca_ele_kWh/1000),0,TER_horeca_ele_kWh/1000)</f>
        <v>929.21299999999997</v>
      </c>
      <c r="C27" s="39">
        <f>IF(ISERROR(B27*3.6/1000000/'E Balans VL '!Z9*100),0,B27*3.6/1000000/'E Balans VL '!Z9*100)</f>
        <v>7.4566113338580237E-2</v>
      </c>
      <c r="D27" s="237" t="s">
        <v>660</v>
      </c>
      <c r="F27" s="6"/>
    </row>
    <row r="28" spans="1:18">
      <c r="A28" s="171" t="s">
        <v>52</v>
      </c>
      <c r="B28" s="33">
        <f>IF(ISERROR(TER_handel_ele_kWh/1000),0,TER_handel_ele_kWh/1000)</f>
        <v>3607.27</v>
      </c>
      <c r="C28" s="39">
        <f>IF(ISERROR(B28*3.6/1000000/'E Balans VL '!Z13*100),0,B28*3.6/1000000/'E Balans VL '!Z13*100)</f>
        <v>0.10639377452455602</v>
      </c>
      <c r="D28" s="237" t="s">
        <v>660</v>
      </c>
      <c r="F28" s="6"/>
    </row>
    <row r="29" spans="1:18">
      <c r="A29" s="231" t="s">
        <v>51</v>
      </c>
      <c r="B29" s="33">
        <f>IF(ISERROR(TER_gezond_ele_kWh/1000),0,TER_gezond_ele_kWh/1000)</f>
        <v>894.08100000000002</v>
      </c>
      <c r="C29" s="39">
        <f>IF(ISERROR(B29*3.6/1000000/'E Balans VL '!Z10*100),0,B29*3.6/1000000/'E Balans VL '!Z10*100)</f>
        <v>9.5463879589477024E-2</v>
      </c>
      <c r="D29" s="237" t="s">
        <v>660</v>
      </c>
      <c r="F29" s="6"/>
    </row>
    <row r="30" spans="1:18">
      <c r="A30" s="231" t="s">
        <v>50</v>
      </c>
      <c r="B30" s="33">
        <f>IF(ISERROR(TER_ander_ele_kWh/1000),0,TER_ander_ele_kWh/1000)</f>
        <v>642.40499999999997</v>
      </c>
      <c r="C30" s="39">
        <f>IF(ISERROR(B30*3.6/1000000/'E Balans VL '!Z14*100),0,B30*3.6/1000000/'E Balans VL '!Z14*100)</f>
        <v>4.852337227268079E-2</v>
      </c>
      <c r="D30" s="237" t="s">
        <v>660</v>
      </c>
      <c r="F30" s="6"/>
    </row>
    <row r="31" spans="1:18">
      <c r="A31" s="231" t="s">
        <v>55</v>
      </c>
      <c r="B31" s="33">
        <f>IF(ISERROR(TER_onderwijs_ele_kWh/1000),0,TER_onderwijs_ele_kWh/1000)</f>
        <v>106.464</v>
      </c>
      <c r="C31" s="39">
        <f>IF(ISERROR(B31*3.6/1000000/'E Balans VL '!Z11*100),0,B31*3.6/1000000/'E Balans VL '!Z11*100)</f>
        <v>2.1498635642884779E-2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6073.5099999999993</v>
      </c>
      <c r="C5" s="17">
        <f>IF(ISERROR('Eigen informatie GS &amp; warmtenet'!B59),0,'Eigen informatie GS &amp; warmtenet'!B59)</f>
        <v>0</v>
      </c>
      <c r="D5" s="30">
        <f>SUM(D6:D15)</f>
        <v>2754.0793060000001</v>
      </c>
      <c r="E5" s="17">
        <f>SUM(E6:E15)</f>
        <v>536.10510778644311</v>
      </c>
      <c r="F5" s="17">
        <f>SUM(F6:F15)</f>
        <v>2540.6292139414081</v>
      </c>
      <c r="G5" s="18"/>
      <c r="H5" s="17"/>
      <c r="I5" s="17"/>
      <c r="J5" s="17">
        <f>SUM(J6:J15)</f>
        <v>4.429982512963571</v>
      </c>
      <c r="K5" s="17"/>
      <c r="L5" s="17"/>
      <c r="M5" s="17"/>
      <c r="N5" s="17">
        <f>SUM(N6:N15)</f>
        <v>1763.9373315270157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969.86599999999999</v>
      </c>
      <c r="C8" s="33"/>
      <c r="D8" s="37">
        <f>IF( ISERROR(IND_metaal_Gas_kWH/1000),0,IND_metaal_Gas_kWH/1000)*0.902</f>
        <v>197.37834600000002</v>
      </c>
      <c r="E8" s="33">
        <f>C30*'E Balans VL '!I18/100/3.6*1000000</f>
        <v>34.898712723542971</v>
      </c>
      <c r="F8" s="33">
        <f>C30*'E Balans VL '!L18/100/3.6*1000000+C30*'E Balans VL '!N18/100/3.6*1000000</f>
        <v>423.50904252687042</v>
      </c>
      <c r="G8" s="34"/>
      <c r="H8" s="33"/>
      <c r="I8" s="33"/>
      <c r="J8" s="40">
        <f>C30*'E Balans VL '!D18/100/3.6*1000000+C30*'E Balans VL '!E18/100/3.6*1000000</f>
        <v>0</v>
      </c>
      <c r="K8" s="33"/>
      <c r="L8" s="33"/>
      <c r="M8" s="33"/>
      <c r="N8" s="33">
        <f>C30*'E Balans VL '!Y18/100/3.6*1000000</f>
        <v>48.609024826215688</v>
      </c>
      <c r="O8" s="33"/>
      <c r="P8" s="33"/>
      <c r="R8" s="32"/>
    </row>
    <row r="9" spans="1:18">
      <c r="A9" s="6" t="s">
        <v>33</v>
      </c>
      <c r="B9" s="37">
        <f t="shared" si="0"/>
        <v>1670.5809999999999</v>
      </c>
      <c r="C9" s="33"/>
      <c r="D9" s="37">
        <f>IF( ISERROR(IND_andere_gas_kWh/1000),0,IND_andere_gas_kWh/1000)*0.902</f>
        <v>1607.766292</v>
      </c>
      <c r="E9" s="33">
        <f>C31*'E Balans VL '!I19/100/3.6*1000000</f>
        <v>426.29447324619349</v>
      </c>
      <c r="F9" s="33">
        <f>C31*'E Balans VL '!L19/100/3.6*1000000+C31*'E Balans VL '!N19/100/3.6*1000000</f>
        <v>1438.2446752504625</v>
      </c>
      <c r="G9" s="34"/>
      <c r="H9" s="33"/>
      <c r="I9" s="33"/>
      <c r="J9" s="40">
        <f>C31*'E Balans VL '!D19/100/3.6*1000000+C31*'E Balans VL '!E19/100/3.6*1000000</f>
        <v>0</v>
      </c>
      <c r="K9" s="33"/>
      <c r="L9" s="33"/>
      <c r="M9" s="33"/>
      <c r="N9" s="33">
        <f>C31*'E Balans VL '!Y19/100/3.6*1000000</f>
        <v>522.44789012415856</v>
      </c>
      <c r="O9" s="33"/>
      <c r="P9" s="33"/>
      <c r="R9" s="32"/>
    </row>
    <row r="10" spans="1:18">
      <c r="A10" s="6" t="s">
        <v>41</v>
      </c>
      <c r="B10" s="37">
        <f t="shared" si="0"/>
        <v>2859.5169999999998</v>
      </c>
      <c r="C10" s="33"/>
      <c r="D10" s="37">
        <f>IF( ISERROR(IND_voed_gas_kWh/1000),0,IND_voed_gas_kWh/1000)*0.902</f>
        <v>680.67265199999997</v>
      </c>
      <c r="E10" s="33">
        <f>C32*'E Balans VL '!I20/100/3.6*1000000</f>
        <v>72.692848578605989</v>
      </c>
      <c r="F10" s="33">
        <f>C32*'E Balans VL '!L20/100/3.6*1000000+C32*'E Balans VL '!N20/100/3.6*1000000</f>
        <v>647.065772047971</v>
      </c>
      <c r="G10" s="34"/>
      <c r="H10" s="33"/>
      <c r="I10" s="33"/>
      <c r="J10" s="40">
        <f>C32*'E Balans VL '!D20/100/3.6*1000000+C32*'E Balans VL '!E20/100/3.6*1000000</f>
        <v>0</v>
      </c>
      <c r="K10" s="33"/>
      <c r="L10" s="33"/>
      <c r="M10" s="33"/>
      <c r="N10" s="33">
        <f>C32*'E Balans VL '!Y20/100/3.6*1000000</f>
        <v>1072.3963852570466</v>
      </c>
      <c r="O10" s="33"/>
      <c r="P10" s="33"/>
      <c r="R10" s="32"/>
    </row>
    <row r="11" spans="1:18">
      <c r="A11" s="6" t="s">
        <v>40</v>
      </c>
      <c r="B11" s="37">
        <f t="shared" si="0"/>
        <v>478.52499999999998</v>
      </c>
      <c r="C11" s="33"/>
      <c r="D11" s="37">
        <f>IF( ISERROR(IND_textiel_gas_kWh/1000),0,IND_textiel_gas_kWh/1000)*0.902</f>
        <v>47.042908000000004</v>
      </c>
      <c r="E11" s="33">
        <f>C33*'E Balans VL '!I21/100/3.6*1000000</f>
        <v>1.313679811306885</v>
      </c>
      <c r="F11" s="33">
        <f>C33*'E Balans VL '!L21/100/3.6*1000000+C33*'E Balans VL '!N21/100/3.6*1000000</f>
        <v>25.369401229355361</v>
      </c>
      <c r="G11" s="34"/>
      <c r="H11" s="33"/>
      <c r="I11" s="33"/>
      <c r="J11" s="40">
        <f>C33*'E Balans VL '!D21/100/3.6*1000000+C33*'E Balans VL '!E21/100/3.6*1000000</f>
        <v>0</v>
      </c>
      <c r="K11" s="33"/>
      <c r="L11" s="33"/>
      <c r="M11" s="33"/>
      <c r="N11" s="33">
        <f>C33*'E Balans VL '!Y21/100/3.6*1000000</f>
        <v>0.96175606243584089</v>
      </c>
      <c r="O11" s="33"/>
      <c r="P11" s="33"/>
      <c r="R11" s="32"/>
    </row>
    <row r="12" spans="1:18">
      <c r="A12" s="6" t="s">
        <v>37</v>
      </c>
      <c r="B12" s="37">
        <f t="shared" si="0"/>
        <v>29.358000000000001</v>
      </c>
      <c r="C12" s="33"/>
      <c r="D12" s="37">
        <f>IF( ISERROR(IND_min_gas_kWh/1000),0,IND_min_gas_kWh/1000)*0.902</f>
        <v>0</v>
      </c>
      <c r="E12" s="33">
        <f>C34*'E Balans VL '!I22/100/3.6*1000000</f>
        <v>0.62378392232821278</v>
      </c>
      <c r="F12" s="33">
        <f>C34*'E Balans VL '!L22/100/3.6*1000000+C34*'E Balans VL '!N22/100/3.6*1000000</f>
        <v>4.7900078917711548</v>
      </c>
      <c r="G12" s="34"/>
      <c r="H12" s="33"/>
      <c r="I12" s="33"/>
      <c r="J12" s="40">
        <f>C34*'E Balans VL '!D22/100/3.6*1000000+C34*'E Balans VL '!E22/100/3.6*1000000</f>
        <v>3.4204809703589849E-2</v>
      </c>
      <c r="K12" s="33"/>
      <c r="L12" s="33"/>
      <c r="M12" s="33"/>
      <c r="N12" s="33">
        <f>C34*'E Balans VL '!Y22/100/3.6*1000000</f>
        <v>0</v>
      </c>
      <c r="O12" s="33"/>
      <c r="P12" s="33"/>
      <c r="R12" s="32"/>
    </row>
    <row r="13" spans="1:18">
      <c r="A13" s="6" t="s">
        <v>39</v>
      </c>
      <c r="B13" s="37">
        <f t="shared" si="0"/>
        <v>65.662999999999997</v>
      </c>
      <c r="C13" s="33"/>
      <c r="D13" s="37">
        <f>IF( ISERROR(IND_papier_gas_kWh/1000),0,IND_papier_gas_kWh/1000)*0.902</f>
        <v>185.23562200000001</v>
      </c>
      <c r="E13" s="33">
        <f>C35*'E Balans VL '!I23/100/3.6*1000000</f>
        <v>0.28160950446557742</v>
      </c>
      <c r="F13" s="33">
        <f>C35*'E Balans VL '!L23/100/3.6*1000000+C35*'E Balans VL '!N23/100/3.6*1000000</f>
        <v>1.6503149949777665</v>
      </c>
      <c r="G13" s="34"/>
      <c r="H13" s="33"/>
      <c r="I13" s="33"/>
      <c r="J13" s="40">
        <f>C35*'E Balans VL '!D23/100/3.6*1000000+C35*'E Balans VL '!E23/100/3.6*1000000</f>
        <v>4.3957777032599816</v>
      </c>
      <c r="K13" s="33"/>
      <c r="L13" s="33"/>
      <c r="M13" s="33"/>
      <c r="N13" s="33">
        <f>C35*'E Balans VL '!Y23/100/3.6*1000000</f>
        <v>119.52227525715905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35.983485999999999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6073.5099999999993</v>
      </c>
      <c r="C18" s="21">
        <f>C5+C16</f>
        <v>0</v>
      </c>
      <c r="D18" s="21">
        <f>MAX((D5+D16),0)</f>
        <v>2754.0793060000001</v>
      </c>
      <c r="E18" s="21">
        <f>MAX((E5+E16),0)</f>
        <v>536.10510778644311</v>
      </c>
      <c r="F18" s="21">
        <f>MAX((F5+F16),0)</f>
        <v>2540.6292139414081</v>
      </c>
      <c r="G18" s="21"/>
      <c r="H18" s="21"/>
      <c r="I18" s="21"/>
      <c r="J18" s="21">
        <f>MAX((J5+J16),0)</f>
        <v>4.429982512963571</v>
      </c>
      <c r="K18" s="21"/>
      <c r="L18" s="21">
        <f>MAX((L5+L16),0)</f>
        <v>0</v>
      </c>
      <c r="M18" s="21"/>
      <c r="N18" s="21">
        <f>MAX((N5+N16),0)</f>
        <v>1763.9373315270157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0.20149437126094499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1223.7780787970619</v>
      </c>
      <c r="C22" s="23">
        <f ca="1">C18*C20</f>
        <v>0</v>
      </c>
      <c r="D22" s="23">
        <f>D18*D20</f>
        <v>556.32401981200007</v>
      </c>
      <c r="E22" s="23">
        <f>E18*E20</f>
        <v>121.6958594675226</v>
      </c>
      <c r="F22" s="23">
        <f>F18*F20</f>
        <v>678.34800012235598</v>
      </c>
      <c r="G22" s="23"/>
      <c r="H22" s="23"/>
      <c r="I22" s="23"/>
      <c r="J22" s="23">
        <f>J18*J20</f>
        <v>1.5682138095891041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969.86599999999999</v>
      </c>
      <c r="C30" s="39">
        <f>IF(ISERROR(B30*3.6/1000000/'E Balans VL '!Z18*100),0,B30*3.6/1000000/'E Balans VL '!Z18*100)</f>
        <v>0.2054938120209808</v>
      </c>
      <c r="D30" s="237" t="s">
        <v>660</v>
      </c>
    </row>
    <row r="31" spans="1:18">
      <c r="A31" s="6" t="s">
        <v>33</v>
      </c>
      <c r="B31" s="37">
        <f>IF( ISERROR(IND_ander_ele_kWh/1000),0,IND_ander_ele_kWh/1000)</f>
        <v>1670.5809999999999</v>
      </c>
      <c r="C31" s="39">
        <f>IF(ISERROR(B31*3.6/1000000/'E Balans VL '!Z19*100),0,B31*3.6/1000000/'E Balans VL '!Z19*100)</f>
        <v>7.031854762003388E-2</v>
      </c>
      <c r="D31" s="237" t="s">
        <v>660</v>
      </c>
    </row>
    <row r="32" spans="1:18">
      <c r="A32" s="171" t="s">
        <v>41</v>
      </c>
      <c r="B32" s="37">
        <f>IF( ISERROR(IND_voed_ele_kWh/1000),0,IND_voed_ele_kWh/1000)</f>
        <v>2859.5169999999998</v>
      </c>
      <c r="C32" s="39">
        <f>IF(ISERROR(B32*3.6/1000000/'E Balans VL '!Z20*100),0,B32*3.6/1000000/'E Balans VL '!Z20*100)</f>
        <v>0.47771466805970875</v>
      </c>
      <c r="D32" s="237" t="s">
        <v>660</v>
      </c>
    </row>
    <row r="33" spans="1:5">
      <c r="A33" s="171" t="s">
        <v>40</v>
      </c>
      <c r="B33" s="37">
        <f>IF( ISERROR(IND_textiel_ele_kWh/1000),0,IND_textiel_ele_kWh/1000)</f>
        <v>478.52499999999998</v>
      </c>
      <c r="C33" s="39">
        <f>IF(ISERROR(B33*3.6/1000000/'E Balans VL '!Z21*100),0,B33*3.6/1000000/'E Balans VL '!Z21*100)</f>
        <v>2.7937721494142077E-2</v>
      </c>
      <c r="D33" s="237" t="s">
        <v>660</v>
      </c>
    </row>
    <row r="34" spans="1:5">
      <c r="A34" s="171" t="s">
        <v>37</v>
      </c>
      <c r="B34" s="37">
        <f>IF( ISERROR(IND_min_ele_kWh/1000),0,IND_min_ele_kWh/1000)</f>
        <v>29.358000000000001</v>
      </c>
      <c r="C34" s="39">
        <f>IF(ISERROR(B34*3.6/1000000/'E Balans VL '!Z22*100),0,B34*3.6/1000000/'E Balans VL '!Z22*100)</f>
        <v>3.7212848272263864E-3</v>
      </c>
      <c r="D34" s="237" t="s">
        <v>660</v>
      </c>
    </row>
    <row r="35" spans="1:5">
      <c r="A35" s="171" t="s">
        <v>39</v>
      </c>
      <c r="B35" s="37">
        <f>IF( ISERROR(IND_papier_ele_kWh/1000),0,IND_papier_ele_kWh/1000)</f>
        <v>65.662999999999997</v>
      </c>
      <c r="C35" s="39">
        <f>IF(ISERROR(B35*3.6/1000000/'E Balans VL '!Z22*100),0,B35*3.6/1000000/'E Balans VL '!Z22*100)</f>
        <v>8.3231393695131217E-3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2278.7435966394</v>
      </c>
      <c r="C5" s="17">
        <f>'Eigen informatie GS &amp; warmtenet'!B60</f>
        <v>0</v>
      </c>
      <c r="D5" s="30">
        <f>IF(ISERROR(SUM(LB_lb_gas_kWh,LB_rest_gas_kWh)/1000),0,SUM(LB_lb_gas_kWh,LB_rest_gas_kWh)/1000)*0.902</f>
        <v>302.86273599999998</v>
      </c>
      <c r="E5" s="17">
        <f>B17*'E Balans VL '!I25/3.6*1000000/100</f>
        <v>58.760047993474608</v>
      </c>
      <c r="F5" s="17">
        <f>B17*('E Balans VL '!L25/3.6*1000000+'E Balans VL '!N25/3.6*1000000)/100</f>
        <v>8329.2418113541771</v>
      </c>
      <c r="G5" s="18"/>
      <c r="H5" s="17"/>
      <c r="I5" s="17"/>
      <c r="J5" s="17">
        <f>('E Balans VL '!D25+'E Balans VL '!E25)/3.6*1000000*landbouw!B17/100</f>
        <v>328.05525055682426</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2278.7435966394</v>
      </c>
      <c r="C8" s="21">
        <f>C5+C6</f>
        <v>62.357142857142847</v>
      </c>
      <c r="D8" s="21">
        <f>MAX((D5+D6),0)</f>
        <v>302.86273599999998</v>
      </c>
      <c r="E8" s="21">
        <f>MAX((E5+E6),0)</f>
        <v>58.760047993474608</v>
      </c>
      <c r="F8" s="21">
        <f>MAX((F5+F6),0)</f>
        <v>8329.2418113541771</v>
      </c>
      <c r="G8" s="21"/>
      <c r="H8" s="21"/>
      <c r="I8" s="21"/>
      <c r="J8" s="21">
        <f>MAX((J5+J6),0)</f>
        <v>328.05525055682426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0.20149437126094499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459.15400826976037</v>
      </c>
      <c r="C12" s="23">
        <f ca="1">C8*C10</f>
        <v>0</v>
      </c>
      <c r="D12" s="23">
        <f>D8*D10</f>
        <v>61.178272671999999</v>
      </c>
      <c r="E12" s="23">
        <f>E8*E10</f>
        <v>13.338530894518737</v>
      </c>
      <c r="F12" s="23">
        <f>F8*F10</f>
        <v>2223.9075636315656</v>
      </c>
      <c r="G12" s="23"/>
      <c r="H12" s="23"/>
      <c r="I12" s="23"/>
      <c r="J12" s="23">
        <f>J8*J10</f>
        <v>116.13155869711578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0.32131794118528739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294.40693075537848</v>
      </c>
      <c r="C26" s="247">
        <f>B26*'GWP N2O_CH4'!B5</f>
        <v>6182.5455458629485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184.01102273875034</v>
      </c>
      <c r="C27" s="247">
        <f>B27*'GWP N2O_CH4'!B5</f>
        <v>3864.231477513757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4.3709641484252275</v>
      </c>
      <c r="C28" s="247">
        <f>B28*'GWP N2O_CH4'!B4</f>
        <v>1354.9988860118206</v>
      </c>
      <c r="D28" s="50"/>
    </row>
    <row r="29" spans="1:4">
      <c r="A29" s="41" t="s">
        <v>277</v>
      </c>
      <c r="B29" s="247">
        <f>B34*'ha_N2O bodem landbouw'!B4</f>
        <v>10.982753838492123</v>
      </c>
      <c r="C29" s="247">
        <f>B29*'GWP N2O_CH4'!B4</f>
        <v>3404.6536899325579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2.4717164338654502E-3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7.8348520523181716E-5</v>
      </c>
      <c r="C5" s="463" t="s">
        <v>211</v>
      </c>
      <c r="D5" s="448">
        <f>SUM(D6:D11)</f>
        <v>1.884754812963286E-4</v>
      </c>
      <c r="E5" s="448">
        <f>SUM(E6:E11)</f>
        <v>8.266767262254547E-4</v>
      </c>
      <c r="F5" s="461" t="s">
        <v>211</v>
      </c>
      <c r="G5" s="448">
        <f>SUM(G6:G11)</f>
        <v>0.3001952654389563</v>
      </c>
      <c r="H5" s="448">
        <f>SUM(H6:H11)</f>
        <v>5.1756133302556684E-2</v>
      </c>
      <c r="I5" s="463" t="s">
        <v>211</v>
      </c>
      <c r="J5" s="463" t="s">
        <v>211</v>
      </c>
      <c r="K5" s="463" t="s">
        <v>211</v>
      </c>
      <c r="L5" s="463" t="s">
        <v>211</v>
      </c>
      <c r="M5" s="448">
        <f>SUM(M6:M11)</f>
        <v>1.1008118261453106E-2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8.4459431559152867E-6</v>
      </c>
      <c r="C6" s="449"/>
      <c r="D6" s="892">
        <f>vkm_2011_GW_PW*SUMIFS(TableVerdeelsleutelVkm[CNG],TableVerdeelsleutelVkm[Voertuigtype],"Lichte voertuigen")*SUMIFS(TableECFTransport[EnergieConsumptieFactor (PJ per km)],TableECFTransport[Index],CONCATENATE($A6,"_CNG_CNG"))</f>
        <v>1.6782236994458027E-5</v>
      </c>
      <c r="E6" s="892">
        <f>vkm_2011_GW_PW*SUMIFS(TableVerdeelsleutelVkm[LPG],TableVerdeelsleutelVkm[Voertuigtype],"Lichte voertuigen")*SUMIFS(TableECFTransport[EnergieConsumptieFactor (PJ per km)],TableECFTransport[Index],CONCATENATE($A6,"_LPG_LPG"))</f>
        <v>6.6044118554170041E-5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1.5703025286333567E-2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4.5434564368378779E-3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6.3089906636859994E-4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1.0320125228686933E-2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3.3338412576151524E-6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3.2517135537931627E-4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1.8279433182023335E-5</v>
      </c>
      <c r="C8" s="449"/>
      <c r="D8" s="451">
        <f>vkm_2011_NGW_PW*SUMIFS(TableVerdeelsleutelVkm[CNG],TableVerdeelsleutelVkm[Voertuigtype],"Lichte voertuigen")*SUMIFS(TableECFTransport[EnergieConsumptieFactor (PJ per km)],TableECFTransport[Index],CONCATENATE($A8,"_CNG_CNG"))</f>
        <v>6.431222225043365E-5</v>
      </c>
      <c r="E8" s="451">
        <f>vkm_2011_NGW_PW*SUMIFS(TableVerdeelsleutelVkm[LPG],TableVerdeelsleutelVkm[Voertuigtype],"Lichte voertuigen")*SUMIFS(TableECFTransport[EnergieConsumptieFactor (PJ per km)],TableECFTransport[Index],CONCATENATE($A8,"_LPG_LPG"))</f>
        <v>2.3406506272207619E-4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5.1969023732770049E-2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1.6882900085902253E-2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2.1433335217624734E-3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6.8729590237982469E-3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2.0997472583140071E-6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2.1655280814392367E-4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5.1623144185243101E-5</v>
      </c>
      <c r="C10" s="449"/>
      <c r="D10" s="451">
        <f>vkm_2011_SW_PW*SUMIFS(TableVerdeelsleutelVkm[CNG],TableVerdeelsleutelVkm[Voertuigtype],"Lichte voertuigen")*SUMIFS(TableECFTransport[EnergieConsumptieFactor (PJ per km)],TableECFTransport[Index],CONCATENATE($A10,"_CNG_CNG"))</f>
        <v>1.0738102205143692E-4</v>
      </c>
      <c r="E10" s="451">
        <f>vkm_2011_SW_PW*SUMIFS(TableVerdeelsleutelVkm[LPG],TableVerdeelsleutelVkm[Voertuigtype],"Lichte voertuigen")*SUMIFS(TableECFTransport[EnergieConsumptieFactor (PJ per km)],TableECFTransport[Index],CONCATENATE($A10,"_LPG_LPG"))</f>
        <v>5.2656754494920851E-4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0.11215284122375621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3.0288431459215493E-2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4.4411255269524285E-3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0.10317729094361129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3.5911732085125962E-5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3.2510359828463644E-3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21.763477923106031</v>
      </c>
      <c r="C14" s="21"/>
      <c r="D14" s="21">
        <f t="shared" ref="D14:M14" si="0">((D5)*10^9/3600)+D12</f>
        <v>52.35430036009128</v>
      </c>
      <c r="E14" s="21">
        <f t="shared" si="0"/>
        <v>229.63242395151519</v>
      </c>
      <c r="F14" s="21"/>
      <c r="G14" s="21">
        <f t="shared" si="0"/>
        <v>83387.57373304342</v>
      </c>
      <c r="H14" s="21">
        <f t="shared" si="0"/>
        <v>14376.703695154634</v>
      </c>
      <c r="I14" s="21"/>
      <c r="J14" s="21"/>
      <c r="K14" s="21"/>
      <c r="L14" s="21"/>
      <c r="M14" s="21">
        <f t="shared" si="0"/>
        <v>3057.8106281814185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0.20149437126094499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4.3852183005677068</v>
      </c>
      <c r="C18" s="23"/>
      <c r="D18" s="23">
        <f t="shared" ref="D18:M18" si="1">D14*D16</f>
        <v>10.57556867273844</v>
      </c>
      <c r="E18" s="23">
        <f t="shared" si="1"/>
        <v>52.126560236993953</v>
      </c>
      <c r="F18" s="23"/>
      <c r="G18" s="23">
        <f t="shared" si="1"/>
        <v>22264.482186722595</v>
      </c>
      <c r="H18" s="23">
        <f t="shared" si="1"/>
        <v>3579.7992200935041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2.2442819110937316E-3</v>
      </c>
      <c r="H50" s="321">
        <f t="shared" si="2"/>
        <v>0</v>
      </c>
      <c r="I50" s="321">
        <f t="shared" si="2"/>
        <v>0</v>
      </c>
      <c r="J50" s="321">
        <f t="shared" si="2"/>
        <v>0</v>
      </c>
      <c r="K50" s="321">
        <f t="shared" si="2"/>
        <v>0</v>
      </c>
      <c r="L50" s="321">
        <f t="shared" si="2"/>
        <v>0</v>
      </c>
      <c r="M50" s="321">
        <f t="shared" si="2"/>
        <v>6.9612604014835337E-5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2.2442819110937316E-3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6.9612604014835337E-5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623.4116419704809</v>
      </c>
      <c r="H54" s="21">
        <f t="shared" si="3"/>
        <v>0</v>
      </c>
      <c r="I54" s="21">
        <f t="shared" si="3"/>
        <v>0</v>
      </c>
      <c r="J54" s="21">
        <f t="shared" si="3"/>
        <v>0</v>
      </c>
      <c r="K54" s="21">
        <f t="shared" si="3"/>
        <v>0</v>
      </c>
      <c r="L54" s="21">
        <f t="shared" si="3"/>
        <v>0</v>
      </c>
      <c r="M54" s="21">
        <f t="shared" si="3"/>
        <v>19.336834448565369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0.20149437126094499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166.4509084061184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8990.8050000000003</v>
      </c>
      <c r="D10" s="1012">
        <f ca="1">tertiair!C16</f>
        <v>0</v>
      </c>
      <c r="E10" s="1012">
        <f ca="1">tertiair!D16</f>
        <v>8529.3525899999986</v>
      </c>
      <c r="F10" s="1012">
        <f>tertiair!E16</f>
        <v>173.6948130267948</v>
      </c>
      <c r="G10" s="1012">
        <f ca="1">tertiair!F16</f>
        <v>2026.2246307358705</v>
      </c>
      <c r="H10" s="1012">
        <f>tertiair!G16</f>
        <v>0</v>
      </c>
      <c r="I10" s="1012">
        <f>tertiair!H16</f>
        <v>0</v>
      </c>
      <c r="J10" s="1012">
        <f>tertiair!I16</f>
        <v>0</v>
      </c>
      <c r="K10" s="1012">
        <f>tertiair!J16</f>
        <v>0</v>
      </c>
      <c r="L10" s="1012">
        <f>tertiair!K16</f>
        <v>0</v>
      </c>
      <c r="M10" s="1012">
        <f ca="1">tertiair!L16</f>
        <v>0</v>
      </c>
      <c r="N10" s="1012">
        <f>tertiair!M16</f>
        <v>0</v>
      </c>
      <c r="O10" s="1012">
        <f ca="1">tertiair!N16</f>
        <v>523.59551757575423</v>
      </c>
      <c r="P10" s="1012">
        <f>tertiair!O16</f>
        <v>0</v>
      </c>
      <c r="Q10" s="1013">
        <f>tertiair!P16</f>
        <v>19.066666666666666</v>
      </c>
      <c r="R10" s="700">
        <f ca="1">SUM(C10:Q10)</f>
        <v>20262.739218005085</v>
      </c>
      <c r="S10" s="67"/>
    </row>
    <row r="11" spans="1:19" s="473" customFormat="1">
      <c r="A11" s="809" t="s">
        <v>225</v>
      </c>
      <c r="B11" s="814"/>
      <c r="C11" s="1012">
        <f>huishoudens!B8</f>
        <v>15418.355112138684</v>
      </c>
      <c r="D11" s="1012">
        <f>huishoudens!C8</f>
        <v>0</v>
      </c>
      <c r="E11" s="1012">
        <f>huishoudens!D8</f>
        <v>35602.898932702992</v>
      </c>
      <c r="F11" s="1012">
        <f>huishoudens!E8</f>
        <v>2353.9909867092115</v>
      </c>
      <c r="G11" s="1012">
        <f>huishoudens!F8</f>
        <v>8315.2798536230966</v>
      </c>
      <c r="H11" s="1012">
        <f>huishoudens!G8</f>
        <v>0</v>
      </c>
      <c r="I11" s="1012">
        <f>huishoudens!H8</f>
        <v>0</v>
      </c>
      <c r="J11" s="1012">
        <f>huishoudens!I8</f>
        <v>0</v>
      </c>
      <c r="K11" s="1012">
        <f>huishoudens!J8</f>
        <v>1064.8375561597222</v>
      </c>
      <c r="L11" s="1012">
        <f>huishoudens!K8</f>
        <v>0</v>
      </c>
      <c r="M11" s="1012">
        <f>huishoudens!L8</f>
        <v>0</v>
      </c>
      <c r="N11" s="1012">
        <f>huishoudens!M8</f>
        <v>0</v>
      </c>
      <c r="O11" s="1012">
        <f>huishoudens!N8</f>
        <v>10642.208049838813</v>
      </c>
      <c r="P11" s="1012">
        <f>huishoudens!O8</f>
        <v>186.03666666666666</v>
      </c>
      <c r="Q11" s="1013">
        <f>huishoudens!P8</f>
        <v>381.33333333333337</v>
      </c>
      <c r="R11" s="700">
        <f>SUM(C11:Q11)</f>
        <v>73964.940491172514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6073.5099999999993</v>
      </c>
      <c r="D13" s="1012">
        <f>industrie!C18</f>
        <v>0</v>
      </c>
      <c r="E13" s="1012">
        <f>industrie!D18</f>
        <v>2754.0793060000001</v>
      </c>
      <c r="F13" s="1012">
        <f>industrie!E18</f>
        <v>536.10510778644311</v>
      </c>
      <c r="G13" s="1012">
        <f>industrie!F18</f>
        <v>2540.6292139414081</v>
      </c>
      <c r="H13" s="1012">
        <f>industrie!G18</f>
        <v>0</v>
      </c>
      <c r="I13" s="1012">
        <f>industrie!H18</f>
        <v>0</v>
      </c>
      <c r="J13" s="1012">
        <f>industrie!I18</f>
        <v>0</v>
      </c>
      <c r="K13" s="1012">
        <f>industrie!J18</f>
        <v>4.429982512963571</v>
      </c>
      <c r="L13" s="1012">
        <f>industrie!K18</f>
        <v>0</v>
      </c>
      <c r="M13" s="1012">
        <f>industrie!L18</f>
        <v>0</v>
      </c>
      <c r="N13" s="1012">
        <f>industrie!M18</f>
        <v>0</v>
      </c>
      <c r="O13" s="1012">
        <f>industrie!N18</f>
        <v>1763.9373315270157</v>
      </c>
      <c r="P13" s="1012">
        <f>industrie!O18</f>
        <v>0</v>
      </c>
      <c r="Q13" s="1013">
        <f>industrie!P18</f>
        <v>0</v>
      </c>
      <c r="R13" s="700">
        <f>SUM(C13:Q13)</f>
        <v>13672.690941767831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30482.670112138683</v>
      </c>
      <c r="D16" s="732">
        <f t="shared" ref="D16:R16" ca="1" si="0">SUM(D9:D15)</f>
        <v>0</v>
      </c>
      <c r="E16" s="732">
        <f t="shared" ca="1" si="0"/>
        <v>46886.330828702994</v>
      </c>
      <c r="F16" s="732">
        <f t="shared" si="0"/>
        <v>3063.7909075224493</v>
      </c>
      <c r="G16" s="732">
        <f t="shared" ca="1" si="0"/>
        <v>12882.133698300375</v>
      </c>
      <c r="H16" s="732">
        <f t="shared" si="0"/>
        <v>0</v>
      </c>
      <c r="I16" s="732">
        <f t="shared" si="0"/>
        <v>0</v>
      </c>
      <c r="J16" s="732">
        <f t="shared" si="0"/>
        <v>0</v>
      </c>
      <c r="K16" s="732">
        <f t="shared" si="0"/>
        <v>1069.2675386726858</v>
      </c>
      <c r="L16" s="732">
        <f t="shared" si="0"/>
        <v>0</v>
      </c>
      <c r="M16" s="732">
        <f t="shared" ca="1" si="0"/>
        <v>0</v>
      </c>
      <c r="N16" s="732">
        <f t="shared" si="0"/>
        <v>0</v>
      </c>
      <c r="O16" s="732">
        <f t="shared" ca="1" si="0"/>
        <v>12929.740898941582</v>
      </c>
      <c r="P16" s="732">
        <f t="shared" si="0"/>
        <v>186.03666666666666</v>
      </c>
      <c r="Q16" s="732">
        <f t="shared" si="0"/>
        <v>400.40000000000003</v>
      </c>
      <c r="R16" s="732">
        <f t="shared" ca="1" si="0"/>
        <v>107900.37065094542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623.4116419704809</v>
      </c>
      <c r="I19" s="1012">
        <f>transport!H54</f>
        <v>0</v>
      </c>
      <c r="J19" s="1012">
        <f>transport!I54</f>
        <v>0</v>
      </c>
      <c r="K19" s="1012">
        <f>transport!J54</f>
        <v>0</v>
      </c>
      <c r="L19" s="1012">
        <f>transport!K54</f>
        <v>0</v>
      </c>
      <c r="M19" s="1012">
        <f>transport!L54</f>
        <v>0</v>
      </c>
      <c r="N19" s="1012">
        <f>transport!M54</f>
        <v>19.336834448565369</v>
      </c>
      <c r="O19" s="1012">
        <f>transport!N54</f>
        <v>0</v>
      </c>
      <c r="P19" s="1012">
        <f>transport!O54</f>
        <v>0</v>
      </c>
      <c r="Q19" s="1013">
        <f>transport!P54</f>
        <v>0</v>
      </c>
      <c r="R19" s="700">
        <f>SUM(C19:Q19)</f>
        <v>642.74847641904626</v>
      </c>
      <c r="S19" s="67"/>
    </row>
    <row r="20" spans="1:19" s="473" customFormat="1">
      <c r="A20" s="809" t="s">
        <v>307</v>
      </c>
      <c r="B20" s="814"/>
      <c r="C20" s="1012">
        <f>transport!B14</f>
        <v>21.763477923106031</v>
      </c>
      <c r="D20" s="1012">
        <f>transport!C14</f>
        <v>0</v>
      </c>
      <c r="E20" s="1012">
        <f>transport!D14</f>
        <v>52.35430036009128</v>
      </c>
      <c r="F20" s="1012">
        <f>transport!E14</f>
        <v>229.63242395151519</v>
      </c>
      <c r="G20" s="1012">
        <f>transport!F14</f>
        <v>0</v>
      </c>
      <c r="H20" s="1012">
        <f>transport!G14</f>
        <v>83387.57373304342</v>
      </c>
      <c r="I20" s="1012">
        <f>transport!H14</f>
        <v>14376.703695154634</v>
      </c>
      <c r="J20" s="1012">
        <f>transport!I14</f>
        <v>0</v>
      </c>
      <c r="K20" s="1012">
        <f>transport!J14</f>
        <v>0</v>
      </c>
      <c r="L20" s="1012">
        <f>transport!K14</f>
        <v>0</v>
      </c>
      <c r="M20" s="1012">
        <f>transport!L14</f>
        <v>0</v>
      </c>
      <c r="N20" s="1012">
        <f>transport!M14</f>
        <v>3057.8106281814185</v>
      </c>
      <c r="O20" s="1012">
        <f>transport!N14</f>
        <v>0</v>
      </c>
      <c r="P20" s="1012">
        <f>transport!O14</f>
        <v>0</v>
      </c>
      <c r="Q20" s="1013">
        <f>transport!P14</f>
        <v>0</v>
      </c>
      <c r="R20" s="700">
        <f>SUM(C20:Q20)</f>
        <v>101125.8382586142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21.763477923106031</v>
      </c>
      <c r="D22" s="812">
        <f t="shared" ref="D22:R22" si="1">SUM(D18:D21)</f>
        <v>0</v>
      </c>
      <c r="E22" s="812">
        <f t="shared" si="1"/>
        <v>52.35430036009128</v>
      </c>
      <c r="F22" s="812">
        <f t="shared" si="1"/>
        <v>229.63242395151519</v>
      </c>
      <c r="G22" s="812">
        <f t="shared" si="1"/>
        <v>0</v>
      </c>
      <c r="H22" s="812">
        <f t="shared" si="1"/>
        <v>84010.985375013901</v>
      </c>
      <c r="I22" s="812">
        <f t="shared" si="1"/>
        <v>14376.703695154634</v>
      </c>
      <c r="J22" s="812">
        <f t="shared" si="1"/>
        <v>0</v>
      </c>
      <c r="K22" s="812">
        <f t="shared" si="1"/>
        <v>0</v>
      </c>
      <c r="L22" s="812">
        <f t="shared" si="1"/>
        <v>0</v>
      </c>
      <c r="M22" s="812">
        <f t="shared" si="1"/>
        <v>0</v>
      </c>
      <c r="N22" s="812">
        <f t="shared" si="1"/>
        <v>3077.1474626299837</v>
      </c>
      <c r="O22" s="812">
        <f t="shared" si="1"/>
        <v>0</v>
      </c>
      <c r="P22" s="812">
        <f t="shared" si="1"/>
        <v>0</v>
      </c>
      <c r="Q22" s="812">
        <f t="shared" si="1"/>
        <v>0</v>
      </c>
      <c r="R22" s="812">
        <f t="shared" si="1"/>
        <v>101768.58673503324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2278.7435966394</v>
      </c>
      <c r="D24" s="1012">
        <f>+landbouw!C8</f>
        <v>62.357142857142847</v>
      </c>
      <c r="E24" s="1012">
        <f>+landbouw!D8</f>
        <v>302.86273599999998</v>
      </c>
      <c r="F24" s="1012">
        <f>+landbouw!E8</f>
        <v>58.760047993474608</v>
      </c>
      <c r="G24" s="1012">
        <f>+landbouw!F8</f>
        <v>8329.2418113541771</v>
      </c>
      <c r="H24" s="1012">
        <f>+landbouw!G8</f>
        <v>0</v>
      </c>
      <c r="I24" s="1012">
        <f>+landbouw!H8</f>
        <v>0</v>
      </c>
      <c r="J24" s="1012">
        <f>+landbouw!I8</f>
        <v>0</v>
      </c>
      <c r="K24" s="1012">
        <f>+landbouw!J8</f>
        <v>328.05525055682426</v>
      </c>
      <c r="L24" s="1012">
        <f>+landbouw!K8</f>
        <v>0</v>
      </c>
      <c r="M24" s="1012">
        <f>+landbouw!L8</f>
        <v>0</v>
      </c>
      <c r="N24" s="1012">
        <f>+landbouw!M8</f>
        <v>0</v>
      </c>
      <c r="O24" s="1012">
        <f>+landbouw!N8</f>
        <v>0</v>
      </c>
      <c r="P24" s="1012">
        <f>+landbouw!O8</f>
        <v>0</v>
      </c>
      <c r="Q24" s="1013">
        <f>+landbouw!P8</f>
        <v>0</v>
      </c>
      <c r="R24" s="700">
        <f>SUM(C24:Q24)</f>
        <v>11360.020585401018</v>
      </c>
      <c r="S24" s="67"/>
    </row>
    <row r="25" spans="1:19" s="473" customFormat="1" ht="15" thickBot="1">
      <c r="A25" s="831" t="s">
        <v>848</v>
      </c>
      <c r="B25" s="1015"/>
      <c r="C25" s="1016">
        <f>IF(Onbekend_ele_kWh="---",0,Onbekend_ele_kWh)/1000+IF(REST_rest_ele_kWh="---",0,REST_rest_ele_kWh)/1000</f>
        <v>293.78399999999999</v>
      </c>
      <c r="D25" s="1016"/>
      <c r="E25" s="1016">
        <f>IF(onbekend_gas_kWh="---",0,onbekend_gas_kWh)/1000+IF(REST_rest_gas_kWh="---",0,REST_rest_gas_kWh)/1000</f>
        <v>774.6</v>
      </c>
      <c r="F25" s="1016"/>
      <c r="G25" s="1016"/>
      <c r="H25" s="1016"/>
      <c r="I25" s="1016"/>
      <c r="J25" s="1016"/>
      <c r="K25" s="1016"/>
      <c r="L25" s="1016"/>
      <c r="M25" s="1016"/>
      <c r="N25" s="1016"/>
      <c r="O25" s="1016"/>
      <c r="P25" s="1016"/>
      <c r="Q25" s="1017"/>
      <c r="R25" s="700">
        <f>SUM(C25:Q25)</f>
        <v>1068.384</v>
      </c>
      <c r="S25" s="67"/>
    </row>
    <row r="26" spans="1:19" s="473" customFormat="1" ht="15.75" thickBot="1">
      <c r="A26" s="705" t="s">
        <v>849</v>
      </c>
      <c r="B26" s="817"/>
      <c r="C26" s="812">
        <f>SUM(C24:C25)</f>
        <v>2572.5275966394001</v>
      </c>
      <c r="D26" s="812">
        <f t="shared" ref="D26:R26" si="2">SUM(D24:D25)</f>
        <v>62.357142857142847</v>
      </c>
      <c r="E26" s="812">
        <f t="shared" si="2"/>
        <v>1077.4627359999999</v>
      </c>
      <c r="F26" s="812">
        <f t="shared" si="2"/>
        <v>58.760047993474608</v>
      </c>
      <c r="G26" s="812">
        <f t="shared" si="2"/>
        <v>8329.2418113541771</v>
      </c>
      <c r="H26" s="812">
        <f t="shared" si="2"/>
        <v>0</v>
      </c>
      <c r="I26" s="812">
        <f t="shared" si="2"/>
        <v>0</v>
      </c>
      <c r="J26" s="812">
        <f t="shared" si="2"/>
        <v>0</v>
      </c>
      <c r="K26" s="812">
        <f t="shared" si="2"/>
        <v>328.05525055682426</v>
      </c>
      <c r="L26" s="812">
        <f t="shared" si="2"/>
        <v>0</v>
      </c>
      <c r="M26" s="812">
        <f t="shared" si="2"/>
        <v>0</v>
      </c>
      <c r="N26" s="812">
        <f t="shared" si="2"/>
        <v>0</v>
      </c>
      <c r="O26" s="812">
        <f t="shared" si="2"/>
        <v>0</v>
      </c>
      <c r="P26" s="812">
        <f t="shared" si="2"/>
        <v>0</v>
      </c>
      <c r="Q26" s="812">
        <f t="shared" si="2"/>
        <v>0</v>
      </c>
      <c r="R26" s="812">
        <f t="shared" si="2"/>
        <v>12428.404585401018</v>
      </c>
      <c r="S26" s="67"/>
    </row>
    <row r="27" spans="1:19" s="473" customFormat="1" ht="17.25" thickTop="1" thickBot="1">
      <c r="A27" s="706" t="s">
        <v>116</v>
      </c>
      <c r="B27" s="805"/>
      <c r="C27" s="707">
        <f ca="1">C22+C16+C26</f>
        <v>33076.961186701184</v>
      </c>
      <c r="D27" s="707">
        <f t="shared" ref="D27:R27" ca="1" si="3">D22+D16+D26</f>
        <v>62.357142857142847</v>
      </c>
      <c r="E27" s="707">
        <f t="shared" ca="1" si="3"/>
        <v>48016.147865063089</v>
      </c>
      <c r="F27" s="707">
        <f t="shared" si="3"/>
        <v>3352.183379467439</v>
      </c>
      <c r="G27" s="707">
        <f t="shared" ca="1" si="3"/>
        <v>21211.37550965455</v>
      </c>
      <c r="H27" s="707">
        <f t="shared" si="3"/>
        <v>84010.985375013901</v>
      </c>
      <c r="I27" s="707">
        <f t="shared" si="3"/>
        <v>14376.703695154634</v>
      </c>
      <c r="J27" s="707">
        <f t="shared" si="3"/>
        <v>0</v>
      </c>
      <c r="K27" s="707">
        <f t="shared" si="3"/>
        <v>1397.3227892295099</v>
      </c>
      <c r="L27" s="707">
        <f t="shared" si="3"/>
        <v>0</v>
      </c>
      <c r="M27" s="707">
        <f t="shared" ca="1" si="3"/>
        <v>0</v>
      </c>
      <c r="N27" s="707">
        <f t="shared" si="3"/>
        <v>3077.1474626299837</v>
      </c>
      <c r="O27" s="707">
        <f t="shared" ca="1" si="3"/>
        <v>12929.740898941582</v>
      </c>
      <c r="P27" s="707">
        <f t="shared" si="3"/>
        <v>186.03666666666666</v>
      </c>
      <c r="Q27" s="707">
        <f t="shared" si="3"/>
        <v>400.40000000000003</v>
      </c>
      <c r="R27" s="707">
        <f t="shared" ca="1" si="3"/>
        <v>222097.36197137967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1811.5966006047606</v>
      </c>
      <c r="D40" s="1012">
        <f ca="1">tertiair!C20</f>
        <v>0</v>
      </c>
      <c r="E40" s="1012">
        <f ca="1">tertiair!D20</f>
        <v>1722.9292231799998</v>
      </c>
      <c r="F40" s="1012">
        <f>tertiair!E20</f>
        <v>39.428722557082423</v>
      </c>
      <c r="G40" s="1012">
        <f ca="1">tertiair!F20</f>
        <v>541.00197640647741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4114.9565227483199</v>
      </c>
    </row>
    <row r="41" spans="1:18">
      <c r="A41" s="822" t="s">
        <v>225</v>
      </c>
      <c r="B41" s="829"/>
      <c r="C41" s="1012">
        <f ca="1">huishoudens!B12</f>
        <v>3106.7117691983613</v>
      </c>
      <c r="D41" s="1012">
        <f ca="1">huishoudens!C12</f>
        <v>0</v>
      </c>
      <c r="E41" s="1012">
        <f>huishoudens!D12</f>
        <v>7191.785584406005</v>
      </c>
      <c r="F41" s="1012">
        <f>huishoudens!E12</f>
        <v>534.35595398299097</v>
      </c>
      <c r="G41" s="1012">
        <f>huishoudens!F12</f>
        <v>2220.1797209173669</v>
      </c>
      <c r="H41" s="1012">
        <f>huishoudens!G12</f>
        <v>0</v>
      </c>
      <c r="I41" s="1012">
        <f>huishoudens!H12</f>
        <v>0</v>
      </c>
      <c r="J41" s="1012">
        <f>huishoudens!I12</f>
        <v>0</v>
      </c>
      <c r="K41" s="1012">
        <f>huishoudens!J12</f>
        <v>376.95249488054162</v>
      </c>
      <c r="L41" s="1012">
        <f>huishoudens!K12</f>
        <v>0</v>
      </c>
      <c r="M41" s="1012">
        <f>huishoudens!L12</f>
        <v>0</v>
      </c>
      <c r="N41" s="1012">
        <f>huishoudens!M12</f>
        <v>0</v>
      </c>
      <c r="O41" s="1012">
        <f>huishoudens!N12</f>
        <v>0</v>
      </c>
      <c r="P41" s="1012">
        <f>huishoudens!O12</f>
        <v>0</v>
      </c>
      <c r="Q41" s="774">
        <f>huishoudens!P12</f>
        <v>0</v>
      </c>
      <c r="R41" s="850">
        <f t="shared" ca="1" si="4"/>
        <v>13429.985523385265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1223.7780787970619</v>
      </c>
      <c r="D43" s="1012">
        <f ca="1">industrie!C22</f>
        <v>0</v>
      </c>
      <c r="E43" s="1012">
        <f>industrie!D22</f>
        <v>556.32401981200007</v>
      </c>
      <c r="F43" s="1012">
        <f>industrie!E22</f>
        <v>121.6958594675226</v>
      </c>
      <c r="G43" s="1012">
        <f>industrie!F22</f>
        <v>678.34800012235598</v>
      </c>
      <c r="H43" s="1012">
        <f>industrie!G22</f>
        <v>0</v>
      </c>
      <c r="I43" s="1012">
        <f>industrie!H22</f>
        <v>0</v>
      </c>
      <c r="J43" s="1012">
        <f>industrie!I22</f>
        <v>0</v>
      </c>
      <c r="K43" s="1012">
        <f>industrie!J22</f>
        <v>1.5682138095891041</v>
      </c>
      <c r="L43" s="1012">
        <f>industrie!K22</f>
        <v>0</v>
      </c>
      <c r="M43" s="1012">
        <f>industrie!L22</f>
        <v>0</v>
      </c>
      <c r="N43" s="1012">
        <f>industrie!M22</f>
        <v>0</v>
      </c>
      <c r="O43" s="1012">
        <f>industrie!N22</f>
        <v>0</v>
      </c>
      <c r="P43" s="1012">
        <f>industrie!O22</f>
        <v>0</v>
      </c>
      <c r="Q43" s="774">
        <f>industrie!P22</f>
        <v>0</v>
      </c>
      <c r="R43" s="849">
        <f t="shared" ca="1" si="4"/>
        <v>2581.7141720085297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6142.0864486001847</v>
      </c>
      <c r="D46" s="732">
        <f t="shared" ref="D46:Q46" ca="1" si="5">SUM(D39:D45)</f>
        <v>0</v>
      </c>
      <c r="E46" s="732">
        <f t="shared" ca="1" si="5"/>
        <v>9471.0388273980043</v>
      </c>
      <c r="F46" s="732">
        <f t="shared" si="5"/>
        <v>695.48053600759602</v>
      </c>
      <c r="G46" s="732">
        <f t="shared" ca="1" si="5"/>
        <v>3439.5296974462003</v>
      </c>
      <c r="H46" s="732">
        <f t="shared" si="5"/>
        <v>0</v>
      </c>
      <c r="I46" s="732">
        <f t="shared" si="5"/>
        <v>0</v>
      </c>
      <c r="J46" s="732">
        <f t="shared" si="5"/>
        <v>0</v>
      </c>
      <c r="K46" s="732">
        <f t="shared" si="5"/>
        <v>378.52070869013073</v>
      </c>
      <c r="L46" s="732">
        <f t="shared" si="5"/>
        <v>0</v>
      </c>
      <c r="M46" s="732">
        <f t="shared" ca="1" si="5"/>
        <v>0</v>
      </c>
      <c r="N46" s="732">
        <f t="shared" si="5"/>
        <v>0</v>
      </c>
      <c r="O46" s="732">
        <f t="shared" ca="1" si="5"/>
        <v>0</v>
      </c>
      <c r="P46" s="732">
        <f t="shared" si="5"/>
        <v>0</v>
      </c>
      <c r="Q46" s="732">
        <f t="shared" si="5"/>
        <v>0</v>
      </c>
      <c r="R46" s="732">
        <f ca="1">SUM(R39:R45)</f>
        <v>20126.656218142114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166.4509084061184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166.4509084061184</v>
      </c>
    </row>
    <row r="50" spans="1:18">
      <c r="A50" s="825" t="s">
        <v>307</v>
      </c>
      <c r="B50" s="835"/>
      <c r="C50" s="703">
        <f ca="1">transport!B18</f>
        <v>4.3852183005677068</v>
      </c>
      <c r="D50" s="703">
        <f>transport!C18</f>
        <v>0</v>
      </c>
      <c r="E50" s="703">
        <f>transport!D18</f>
        <v>10.57556867273844</v>
      </c>
      <c r="F50" s="703">
        <f>transport!E18</f>
        <v>52.126560236993953</v>
      </c>
      <c r="G50" s="703">
        <f>transport!F18</f>
        <v>0</v>
      </c>
      <c r="H50" s="703">
        <f>transport!G18</f>
        <v>22264.482186722595</v>
      </c>
      <c r="I50" s="703">
        <f>transport!H18</f>
        <v>3579.7992200935041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25911.3687540264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4.3852183005677068</v>
      </c>
      <c r="D52" s="732">
        <f t="shared" ref="D52:Q52" ca="1" si="6">SUM(D48:D51)</f>
        <v>0</v>
      </c>
      <c r="E52" s="732">
        <f t="shared" si="6"/>
        <v>10.57556867273844</v>
      </c>
      <c r="F52" s="732">
        <f t="shared" si="6"/>
        <v>52.126560236993953</v>
      </c>
      <c r="G52" s="732">
        <f t="shared" si="6"/>
        <v>0</v>
      </c>
      <c r="H52" s="732">
        <f t="shared" si="6"/>
        <v>22430.933095128712</v>
      </c>
      <c r="I52" s="732">
        <f t="shared" si="6"/>
        <v>3579.7992200935041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26077.819662432517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459.15400826976037</v>
      </c>
      <c r="D54" s="703">
        <f ca="1">+landbouw!C12</f>
        <v>0</v>
      </c>
      <c r="E54" s="703">
        <f>+landbouw!D12</f>
        <v>61.178272671999999</v>
      </c>
      <c r="F54" s="703">
        <f>+landbouw!E12</f>
        <v>13.338530894518737</v>
      </c>
      <c r="G54" s="703">
        <f>+landbouw!F12</f>
        <v>2223.9075636315656</v>
      </c>
      <c r="H54" s="703">
        <f>+landbouw!G12</f>
        <v>0</v>
      </c>
      <c r="I54" s="703">
        <f>+landbouw!H12</f>
        <v>0</v>
      </c>
      <c r="J54" s="703">
        <f>+landbouw!I12</f>
        <v>0</v>
      </c>
      <c r="K54" s="703">
        <f>+landbouw!J12</f>
        <v>116.13155869711578</v>
      </c>
      <c r="L54" s="703">
        <f>+landbouw!K12</f>
        <v>0</v>
      </c>
      <c r="M54" s="703">
        <f>+landbouw!L12</f>
        <v>0</v>
      </c>
      <c r="N54" s="703">
        <f>+landbouw!M12</f>
        <v>0</v>
      </c>
      <c r="O54" s="703">
        <f>+landbouw!N12</f>
        <v>0</v>
      </c>
      <c r="P54" s="703">
        <f>+landbouw!O12</f>
        <v>0</v>
      </c>
      <c r="Q54" s="704">
        <f>+landbouw!P12</f>
        <v>0</v>
      </c>
      <c r="R54" s="731">
        <f ca="1">SUM(C54:Q54)</f>
        <v>2873.7099341649605</v>
      </c>
    </row>
    <row r="55" spans="1:18" ht="15" thickBot="1">
      <c r="A55" s="825" t="s">
        <v>848</v>
      </c>
      <c r="B55" s="835"/>
      <c r="C55" s="703">
        <f ca="1">C25*'EF ele_warmte'!B12</f>
        <v>59.195822366525462</v>
      </c>
      <c r="D55" s="703"/>
      <c r="E55" s="703">
        <f>E25*EF_CO2_aardgas</f>
        <v>156.4692</v>
      </c>
      <c r="F55" s="703"/>
      <c r="G55" s="703"/>
      <c r="H55" s="703"/>
      <c r="I55" s="703"/>
      <c r="J55" s="703"/>
      <c r="K55" s="703"/>
      <c r="L55" s="703"/>
      <c r="M55" s="703"/>
      <c r="N55" s="703"/>
      <c r="O55" s="703"/>
      <c r="P55" s="703"/>
      <c r="Q55" s="704"/>
      <c r="R55" s="731">
        <f ca="1">SUM(C55:Q55)</f>
        <v>215.66502236652548</v>
      </c>
    </row>
    <row r="56" spans="1:18" ht="15.75" thickBot="1">
      <c r="A56" s="823" t="s">
        <v>849</v>
      </c>
      <c r="B56" s="836"/>
      <c r="C56" s="732">
        <f ca="1">SUM(C54:C55)</f>
        <v>518.34983063628579</v>
      </c>
      <c r="D56" s="732">
        <f t="shared" ref="D56:Q56" ca="1" si="7">SUM(D54:D55)</f>
        <v>0</v>
      </c>
      <c r="E56" s="732">
        <f t="shared" si="7"/>
        <v>217.64747267199999</v>
      </c>
      <c r="F56" s="732">
        <f t="shared" si="7"/>
        <v>13.338530894518737</v>
      </c>
      <c r="G56" s="732">
        <f t="shared" si="7"/>
        <v>2223.9075636315656</v>
      </c>
      <c r="H56" s="732">
        <f t="shared" si="7"/>
        <v>0</v>
      </c>
      <c r="I56" s="732">
        <f t="shared" si="7"/>
        <v>0</v>
      </c>
      <c r="J56" s="732">
        <f t="shared" si="7"/>
        <v>0</v>
      </c>
      <c r="K56" s="732">
        <f t="shared" si="7"/>
        <v>116.13155869711578</v>
      </c>
      <c r="L56" s="732">
        <f t="shared" si="7"/>
        <v>0</v>
      </c>
      <c r="M56" s="732">
        <f t="shared" si="7"/>
        <v>0</v>
      </c>
      <c r="N56" s="732">
        <f t="shared" si="7"/>
        <v>0</v>
      </c>
      <c r="O56" s="732">
        <f t="shared" si="7"/>
        <v>0</v>
      </c>
      <c r="P56" s="732">
        <f t="shared" si="7"/>
        <v>0</v>
      </c>
      <c r="Q56" s="733">
        <f t="shared" si="7"/>
        <v>0</v>
      </c>
      <c r="R56" s="734">
        <f ca="1">SUM(R54:R55)</f>
        <v>3089.3749565314861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6664.8214975370374</v>
      </c>
      <c r="D61" s="740">
        <f t="shared" ref="D61:Q61" ca="1" si="8">D46+D52+D56</f>
        <v>0</v>
      </c>
      <c r="E61" s="740">
        <f t="shared" ca="1" si="8"/>
        <v>9699.2618687427439</v>
      </c>
      <c r="F61" s="740">
        <f t="shared" si="8"/>
        <v>760.94562713910864</v>
      </c>
      <c r="G61" s="740">
        <f t="shared" ca="1" si="8"/>
        <v>5663.4372610777664</v>
      </c>
      <c r="H61" s="740">
        <f t="shared" si="8"/>
        <v>22430.933095128712</v>
      </c>
      <c r="I61" s="740">
        <f t="shared" si="8"/>
        <v>3579.7992200935041</v>
      </c>
      <c r="J61" s="740">
        <f t="shared" si="8"/>
        <v>0</v>
      </c>
      <c r="K61" s="740">
        <f t="shared" si="8"/>
        <v>494.65226738724652</v>
      </c>
      <c r="L61" s="740">
        <f t="shared" si="8"/>
        <v>0</v>
      </c>
      <c r="M61" s="740">
        <f t="shared" ca="1" si="8"/>
        <v>0</v>
      </c>
      <c r="N61" s="740">
        <f t="shared" si="8"/>
        <v>0</v>
      </c>
      <c r="O61" s="740">
        <f t="shared" ca="1" si="8"/>
        <v>0</v>
      </c>
      <c r="P61" s="740">
        <f t="shared" si="8"/>
        <v>0</v>
      </c>
      <c r="Q61" s="740">
        <f t="shared" si="8"/>
        <v>0</v>
      </c>
      <c r="R61" s="740">
        <f ca="1">R46+R52+R56</f>
        <v>49293.850837106118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0.20149437126094502</v>
      </c>
      <c r="D63" s="781">
        <f t="shared" ca="1" si="9"/>
        <v>0</v>
      </c>
      <c r="E63" s="1023">
        <f t="shared" ca="1" si="9"/>
        <v>0.20200000000000001</v>
      </c>
      <c r="F63" s="781">
        <f t="shared" si="9"/>
        <v>0.22700000000000001</v>
      </c>
      <c r="G63" s="781">
        <f t="shared" ca="1" si="9"/>
        <v>0.26700000000000007</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2875.7478494295265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2919.3978494295266</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2875.7478494295265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2919.3978494295266</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36010</v>
      </c>
      <c r="C28" s="796">
        <v>8880</v>
      </c>
      <c r="D28" s="653" t="s">
        <v>890</v>
      </c>
      <c r="E28" s="652" t="s">
        <v>891</v>
      </c>
      <c r="F28" s="652" t="s">
        <v>892</v>
      </c>
      <c r="G28" s="652" t="s">
        <v>893</v>
      </c>
      <c r="H28" s="652" t="s">
        <v>894</v>
      </c>
      <c r="I28" s="652" t="s">
        <v>891</v>
      </c>
      <c r="J28" s="795">
        <v>41890</v>
      </c>
      <c r="K28" s="795">
        <v>41890</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15418.355112138684</v>
      </c>
      <c r="C4" s="477">
        <f>huishoudens!C8</f>
        <v>0</v>
      </c>
      <c r="D4" s="477">
        <f>huishoudens!D8</f>
        <v>35602.898932702992</v>
      </c>
      <c r="E4" s="477">
        <f>huishoudens!E8</f>
        <v>2353.9909867092115</v>
      </c>
      <c r="F4" s="477">
        <f>huishoudens!F8</f>
        <v>8315.2798536230966</v>
      </c>
      <c r="G4" s="477">
        <f>huishoudens!G8</f>
        <v>0</v>
      </c>
      <c r="H4" s="477">
        <f>huishoudens!H8</f>
        <v>0</v>
      </c>
      <c r="I4" s="477">
        <f>huishoudens!I8</f>
        <v>0</v>
      </c>
      <c r="J4" s="477">
        <f>huishoudens!J8</f>
        <v>1064.8375561597222</v>
      </c>
      <c r="K4" s="477">
        <f>huishoudens!K8</f>
        <v>0</v>
      </c>
      <c r="L4" s="477">
        <f>huishoudens!L8</f>
        <v>0</v>
      </c>
      <c r="M4" s="477">
        <f>huishoudens!M8</f>
        <v>0</v>
      </c>
      <c r="N4" s="477">
        <f>huishoudens!N8</f>
        <v>10642.208049838813</v>
      </c>
      <c r="O4" s="477">
        <f>huishoudens!O8</f>
        <v>186.03666666666666</v>
      </c>
      <c r="P4" s="478">
        <f>huishoudens!P8</f>
        <v>381.33333333333337</v>
      </c>
      <c r="Q4" s="479">
        <f>SUM(B4:P4)</f>
        <v>73964.940491172514</v>
      </c>
    </row>
    <row r="5" spans="1:17">
      <c r="A5" s="476" t="s">
        <v>156</v>
      </c>
      <c r="B5" s="477">
        <f ca="1">tertiair!B16</f>
        <v>8304.8690000000006</v>
      </c>
      <c r="C5" s="477">
        <f ca="1">tertiair!C16</f>
        <v>0</v>
      </c>
      <c r="D5" s="477">
        <f ca="1">tertiair!D16</f>
        <v>8529.3525899999986</v>
      </c>
      <c r="E5" s="477">
        <f>tertiair!E16</f>
        <v>173.6948130267948</v>
      </c>
      <c r="F5" s="477">
        <f ca="1">tertiair!F16</f>
        <v>2026.2246307358705</v>
      </c>
      <c r="G5" s="477">
        <f>tertiair!G16</f>
        <v>0</v>
      </c>
      <c r="H5" s="477">
        <f>tertiair!H16</f>
        <v>0</v>
      </c>
      <c r="I5" s="477">
        <f>tertiair!I16</f>
        <v>0</v>
      </c>
      <c r="J5" s="477">
        <f>tertiair!J16</f>
        <v>0</v>
      </c>
      <c r="K5" s="477">
        <f>tertiair!K16</f>
        <v>0</v>
      </c>
      <c r="L5" s="477">
        <f ca="1">tertiair!L16</f>
        <v>0</v>
      </c>
      <c r="M5" s="477">
        <f>tertiair!M16</f>
        <v>0</v>
      </c>
      <c r="N5" s="477">
        <f ca="1">tertiair!N16</f>
        <v>523.59551757575423</v>
      </c>
      <c r="O5" s="477">
        <f>tertiair!O16</f>
        <v>0</v>
      </c>
      <c r="P5" s="478">
        <f>tertiair!P16</f>
        <v>19.066666666666666</v>
      </c>
      <c r="Q5" s="476">
        <f t="shared" ref="Q5:Q14" ca="1" si="0">SUM(B5:P5)</f>
        <v>19576.803218005087</v>
      </c>
    </row>
    <row r="6" spans="1:17">
      <c r="A6" s="476" t="s">
        <v>194</v>
      </c>
      <c r="B6" s="477">
        <f>'openbare verlichting'!B8</f>
        <v>685.93600000000004</v>
      </c>
      <c r="C6" s="477"/>
      <c r="D6" s="477"/>
      <c r="E6" s="477"/>
      <c r="F6" s="477"/>
      <c r="G6" s="477"/>
      <c r="H6" s="477"/>
      <c r="I6" s="477"/>
      <c r="J6" s="477"/>
      <c r="K6" s="477"/>
      <c r="L6" s="477"/>
      <c r="M6" s="477"/>
      <c r="N6" s="477"/>
      <c r="O6" s="477"/>
      <c r="P6" s="478"/>
      <c r="Q6" s="476">
        <f t="shared" si="0"/>
        <v>685.93600000000004</v>
      </c>
    </row>
    <row r="7" spans="1:17">
      <c r="A7" s="476" t="s">
        <v>112</v>
      </c>
      <c r="B7" s="477">
        <f>landbouw!B8</f>
        <v>2278.7435966394</v>
      </c>
      <c r="C7" s="477">
        <f>landbouw!C8</f>
        <v>62.357142857142847</v>
      </c>
      <c r="D7" s="477">
        <f>landbouw!D8</f>
        <v>302.86273599999998</v>
      </c>
      <c r="E7" s="477">
        <f>landbouw!E8</f>
        <v>58.760047993474608</v>
      </c>
      <c r="F7" s="477">
        <f>landbouw!F8</f>
        <v>8329.2418113541771</v>
      </c>
      <c r="G7" s="477">
        <f>landbouw!G8</f>
        <v>0</v>
      </c>
      <c r="H7" s="477">
        <f>landbouw!H8</f>
        <v>0</v>
      </c>
      <c r="I7" s="477">
        <f>landbouw!I8</f>
        <v>0</v>
      </c>
      <c r="J7" s="477">
        <f>landbouw!J8</f>
        <v>328.05525055682426</v>
      </c>
      <c r="K7" s="477">
        <f>landbouw!K8</f>
        <v>0</v>
      </c>
      <c r="L7" s="477">
        <f>landbouw!L8</f>
        <v>0</v>
      </c>
      <c r="M7" s="477">
        <f>landbouw!M8</f>
        <v>0</v>
      </c>
      <c r="N7" s="477">
        <f>landbouw!N8</f>
        <v>0</v>
      </c>
      <c r="O7" s="477">
        <f>landbouw!O8</f>
        <v>0</v>
      </c>
      <c r="P7" s="478">
        <f>landbouw!P8</f>
        <v>0</v>
      </c>
      <c r="Q7" s="476">
        <f t="shared" si="0"/>
        <v>11360.020585401018</v>
      </c>
    </row>
    <row r="8" spans="1:17">
      <c r="A8" s="476" t="s">
        <v>638</v>
      </c>
      <c r="B8" s="477">
        <f>industrie!B18</f>
        <v>6073.5099999999993</v>
      </c>
      <c r="C8" s="477">
        <f>industrie!C18</f>
        <v>0</v>
      </c>
      <c r="D8" s="477">
        <f>industrie!D18</f>
        <v>2754.0793060000001</v>
      </c>
      <c r="E8" s="477">
        <f>industrie!E18</f>
        <v>536.10510778644311</v>
      </c>
      <c r="F8" s="477">
        <f>industrie!F18</f>
        <v>2540.6292139414081</v>
      </c>
      <c r="G8" s="477">
        <f>industrie!G18</f>
        <v>0</v>
      </c>
      <c r="H8" s="477">
        <f>industrie!H18</f>
        <v>0</v>
      </c>
      <c r="I8" s="477">
        <f>industrie!I18</f>
        <v>0</v>
      </c>
      <c r="J8" s="477">
        <f>industrie!J18</f>
        <v>4.429982512963571</v>
      </c>
      <c r="K8" s="477">
        <f>industrie!K18</f>
        <v>0</v>
      </c>
      <c r="L8" s="477">
        <f>industrie!L18</f>
        <v>0</v>
      </c>
      <c r="M8" s="477">
        <f>industrie!M18</f>
        <v>0</v>
      </c>
      <c r="N8" s="477">
        <f>industrie!N18</f>
        <v>1763.9373315270157</v>
      </c>
      <c r="O8" s="477">
        <f>industrie!O18</f>
        <v>0</v>
      </c>
      <c r="P8" s="478">
        <f>industrie!P18</f>
        <v>0</v>
      </c>
      <c r="Q8" s="476">
        <f t="shared" si="0"/>
        <v>13672.690941767831</v>
      </c>
    </row>
    <row r="9" spans="1:17" s="482" customFormat="1">
      <c r="A9" s="480" t="s">
        <v>564</v>
      </c>
      <c r="B9" s="481">
        <f>transport!B14</f>
        <v>21.763477923106031</v>
      </c>
      <c r="C9" s="481">
        <f>transport!C14</f>
        <v>0</v>
      </c>
      <c r="D9" s="481">
        <f>transport!D14</f>
        <v>52.35430036009128</v>
      </c>
      <c r="E9" s="481">
        <f>transport!E14</f>
        <v>229.63242395151519</v>
      </c>
      <c r="F9" s="481">
        <f>transport!F14</f>
        <v>0</v>
      </c>
      <c r="G9" s="481">
        <f>transport!G14</f>
        <v>83387.57373304342</v>
      </c>
      <c r="H9" s="481">
        <f>transport!H14</f>
        <v>14376.703695154634</v>
      </c>
      <c r="I9" s="481">
        <f>transport!I14</f>
        <v>0</v>
      </c>
      <c r="J9" s="481">
        <f>transport!J14</f>
        <v>0</v>
      </c>
      <c r="K9" s="481">
        <f>transport!K14</f>
        <v>0</v>
      </c>
      <c r="L9" s="481">
        <f>transport!L14</f>
        <v>0</v>
      </c>
      <c r="M9" s="481">
        <f>transport!M14</f>
        <v>3057.8106281814185</v>
      </c>
      <c r="N9" s="481">
        <f>transport!N14</f>
        <v>0</v>
      </c>
      <c r="O9" s="481">
        <f>transport!O14</f>
        <v>0</v>
      </c>
      <c r="P9" s="481">
        <f>transport!P14</f>
        <v>0</v>
      </c>
      <c r="Q9" s="480">
        <f>SUM(B9:P9)</f>
        <v>101125.8382586142</v>
      </c>
    </row>
    <row r="10" spans="1:17">
      <c r="A10" s="476" t="s">
        <v>554</v>
      </c>
      <c r="B10" s="477">
        <f>transport!B54</f>
        <v>0</v>
      </c>
      <c r="C10" s="477">
        <f>transport!C54</f>
        <v>0</v>
      </c>
      <c r="D10" s="477">
        <f>transport!D54</f>
        <v>0</v>
      </c>
      <c r="E10" s="477">
        <f>transport!E54</f>
        <v>0</v>
      </c>
      <c r="F10" s="477">
        <f>transport!F54</f>
        <v>0</v>
      </c>
      <c r="G10" s="477">
        <f>transport!G54</f>
        <v>623.4116419704809</v>
      </c>
      <c r="H10" s="477">
        <f>transport!H54</f>
        <v>0</v>
      </c>
      <c r="I10" s="477">
        <f>transport!I54</f>
        <v>0</v>
      </c>
      <c r="J10" s="477">
        <f>transport!J54</f>
        <v>0</v>
      </c>
      <c r="K10" s="477">
        <f>transport!K54</f>
        <v>0</v>
      </c>
      <c r="L10" s="477">
        <f>transport!L54</f>
        <v>0</v>
      </c>
      <c r="M10" s="477">
        <f>transport!M54</f>
        <v>19.336834448565369</v>
      </c>
      <c r="N10" s="477">
        <f>transport!N54</f>
        <v>0</v>
      </c>
      <c r="O10" s="477">
        <f>transport!O54</f>
        <v>0</v>
      </c>
      <c r="P10" s="478">
        <f>transport!P54</f>
        <v>0</v>
      </c>
      <c r="Q10" s="476">
        <f t="shared" si="0"/>
        <v>642.74847641904626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293.78399999999999</v>
      </c>
      <c r="C14" s="484"/>
      <c r="D14" s="484">
        <f>'SEAP template'!E25</f>
        <v>774.6</v>
      </c>
      <c r="E14" s="484"/>
      <c r="F14" s="484"/>
      <c r="G14" s="484"/>
      <c r="H14" s="484"/>
      <c r="I14" s="484"/>
      <c r="J14" s="484"/>
      <c r="K14" s="484"/>
      <c r="L14" s="484"/>
      <c r="M14" s="484"/>
      <c r="N14" s="484"/>
      <c r="O14" s="484"/>
      <c r="P14" s="485"/>
      <c r="Q14" s="476">
        <f t="shared" si="0"/>
        <v>1068.384</v>
      </c>
    </row>
    <row r="15" spans="1:17" s="486" customFormat="1">
      <c r="A15" s="1038" t="s">
        <v>558</v>
      </c>
      <c r="B15" s="978">
        <f ca="1">SUM(B4:B14)</f>
        <v>33076.961186701192</v>
      </c>
      <c r="C15" s="978">
        <f t="shared" ref="C15:Q15" ca="1" si="1">SUM(C4:C14)</f>
        <v>62.357142857142847</v>
      </c>
      <c r="D15" s="978">
        <f t="shared" ca="1" si="1"/>
        <v>48016.147865063089</v>
      </c>
      <c r="E15" s="978">
        <f t="shared" si="1"/>
        <v>3352.183379467439</v>
      </c>
      <c r="F15" s="978">
        <f t="shared" ca="1" si="1"/>
        <v>21211.37550965455</v>
      </c>
      <c r="G15" s="978">
        <f t="shared" si="1"/>
        <v>84010.985375013901</v>
      </c>
      <c r="H15" s="978">
        <f t="shared" si="1"/>
        <v>14376.703695154634</v>
      </c>
      <c r="I15" s="978">
        <f t="shared" si="1"/>
        <v>0</v>
      </c>
      <c r="J15" s="978">
        <f t="shared" si="1"/>
        <v>1397.3227892295101</v>
      </c>
      <c r="K15" s="978">
        <f t="shared" si="1"/>
        <v>0</v>
      </c>
      <c r="L15" s="978">
        <f t="shared" ca="1" si="1"/>
        <v>0</v>
      </c>
      <c r="M15" s="978">
        <f t="shared" si="1"/>
        <v>3077.1474626299837</v>
      </c>
      <c r="N15" s="978">
        <f t="shared" ca="1" si="1"/>
        <v>12929.740898941582</v>
      </c>
      <c r="O15" s="978">
        <f t="shared" si="1"/>
        <v>186.03666666666666</v>
      </c>
      <c r="P15" s="978">
        <f t="shared" si="1"/>
        <v>400.40000000000003</v>
      </c>
      <c r="Q15" s="978">
        <f t="shared" ca="1" si="1"/>
        <v>222097.36197137967</v>
      </c>
    </row>
    <row r="17" spans="1:17">
      <c r="A17" s="487" t="s">
        <v>559</v>
      </c>
      <c r="B17" s="786">
        <f ca="1">huishoudens!B10</f>
        <v>0.20149437126094499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3106.7117691983613</v>
      </c>
      <c r="C22" s="477">
        <f t="shared" ref="C22:C32" ca="1" si="3">C4*$C$17</f>
        <v>0</v>
      </c>
      <c r="D22" s="477">
        <f t="shared" ref="D22:D32" si="4">D4*$D$17</f>
        <v>7191.785584406005</v>
      </c>
      <c r="E22" s="477">
        <f t="shared" ref="E22:E32" si="5">E4*$E$17</f>
        <v>534.35595398299097</v>
      </c>
      <c r="F22" s="477">
        <f t="shared" ref="F22:F32" si="6">F4*$F$17</f>
        <v>2220.1797209173669</v>
      </c>
      <c r="G22" s="477">
        <f t="shared" ref="G22:G32" si="7">G4*$G$17</f>
        <v>0</v>
      </c>
      <c r="H22" s="477">
        <f t="shared" ref="H22:H32" si="8">H4*$H$17</f>
        <v>0</v>
      </c>
      <c r="I22" s="477">
        <f t="shared" ref="I22:I32" si="9">I4*$I$17</f>
        <v>0</v>
      </c>
      <c r="J22" s="477">
        <f t="shared" ref="J22:J32" si="10">J4*$J$17</f>
        <v>376.95249488054162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13429.985523385265</v>
      </c>
    </row>
    <row r="23" spans="1:17">
      <c r="A23" s="476" t="s">
        <v>156</v>
      </c>
      <c r="B23" s="477">
        <f t="shared" ca="1" si="2"/>
        <v>1673.3843575595131</v>
      </c>
      <c r="C23" s="477">
        <f t="shared" ca="1" si="3"/>
        <v>0</v>
      </c>
      <c r="D23" s="477">
        <f t="shared" ca="1" si="4"/>
        <v>1722.9292231799998</v>
      </c>
      <c r="E23" s="477">
        <f t="shared" si="5"/>
        <v>39.428722557082423</v>
      </c>
      <c r="F23" s="477">
        <f t="shared" ca="1" si="6"/>
        <v>541.00197640647741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3976.7442797030726</v>
      </c>
    </row>
    <row r="24" spans="1:17">
      <c r="A24" s="476" t="s">
        <v>194</v>
      </c>
      <c r="B24" s="477">
        <f t="shared" ca="1" si="2"/>
        <v>138.21224304524756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138.21224304524756</v>
      </c>
    </row>
    <row r="25" spans="1:17">
      <c r="A25" s="476" t="s">
        <v>112</v>
      </c>
      <c r="B25" s="477">
        <f t="shared" ca="1" si="2"/>
        <v>459.15400826976037</v>
      </c>
      <c r="C25" s="477">
        <f t="shared" ca="1" si="3"/>
        <v>0</v>
      </c>
      <c r="D25" s="477">
        <f t="shared" si="4"/>
        <v>61.178272671999999</v>
      </c>
      <c r="E25" s="477">
        <f t="shared" si="5"/>
        <v>13.338530894518737</v>
      </c>
      <c r="F25" s="477">
        <f t="shared" si="6"/>
        <v>2223.9075636315656</v>
      </c>
      <c r="G25" s="477">
        <f t="shared" si="7"/>
        <v>0</v>
      </c>
      <c r="H25" s="477">
        <f t="shared" si="8"/>
        <v>0</v>
      </c>
      <c r="I25" s="477">
        <f t="shared" si="9"/>
        <v>0</v>
      </c>
      <c r="J25" s="477">
        <f t="shared" si="10"/>
        <v>116.13155869711578</v>
      </c>
      <c r="K25" s="477">
        <f t="shared" si="11"/>
        <v>0</v>
      </c>
      <c r="L25" s="477">
        <f t="shared" si="12"/>
        <v>0</v>
      </c>
      <c r="M25" s="477">
        <f t="shared" si="13"/>
        <v>0</v>
      </c>
      <c r="N25" s="477">
        <f t="shared" si="14"/>
        <v>0</v>
      </c>
      <c r="O25" s="477">
        <f t="shared" si="15"/>
        <v>0</v>
      </c>
      <c r="P25" s="478">
        <f t="shared" si="16"/>
        <v>0</v>
      </c>
      <c r="Q25" s="476">
        <f t="shared" ca="1" si="17"/>
        <v>2873.7099341649605</v>
      </c>
    </row>
    <row r="26" spans="1:17">
      <c r="A26" s="476" t="s">
        <v>638</v>
      </c>
      <c r="B26" s="477">
        <f t="shared" ca="1" si="2"/>
        <v>1223.7780787970619</v>
      </c>
      <c r="C26" s="477">
        <f t="shared" ca="1" si="3"/>
        <v>0</v>
      </c>
      <c r="D26" s="477">
        <f t="shared" si="4"/>
        <v>556.32401981200007</v>
      </c>
      <c r="E26" s="477">
        <f t="shared" si="5"/>
        <v>121.6958594675226</v>
      </c>
      <c r="F26" s="477">
        <f t="shared" si="6"/>
        <v>678.34800012235598</v>
      </c>
      <c r="G26" s="477">
        <f t="shared" si="7"/>
        <v>0</v>
      </c>
      <c r="H26" s="477">
        <f t="shared" si="8"/>
        <v>0</v>
      </c>
      <c r="I26" s="477">
        <f t="shared" si="9"/>
        <v>0</v>
      </c>
      <c r="J26" s="477">
        <f t="shared" si="10"/>
        <v>1.5682138095891041</v>
      </c>
      <c r="K26" s="477">
        <f t="shared" si="11"/>
        <v>0</v>
      </c>
      <c r="L26" s="477">
        <f t="shared" si="12"/>
        <v>0</v>
      </c>
      <c r="M26" s="477">
        <f t="shared" si="13"/>
        <v>0</v>
      </c>
      <c r="N26" s="477">
        <f t="shared" si="14"/>
        <v>0</v>
      </c>
      <c r="O26" s="477">
        <f t="shared" si="15"/>
        <v>0</v>
      </c>
      <c r="P26" s="478">
        <f t="shared" si="16"/>
        <v>0</v>
      </c>
      <c r="Q26" s="476">
        <f t="shared" ca="1" si="17"/>
        <v>2581.7141720085297</v>
      </c>
    </row>
    <row r="27" spans="1:17" s="482" customFormat="1">
      <c r="A27" s="480" t="s">
        <v>564</v>
      </c>
      <c r="B27" s="780">
        <f t="shared" ca="1" si="2"/>
        <v>4.3852183005677068</v>
      </c>
      <c r="C27" s="481">
        <f t="shared" ca="1" si="3"/>
        <v>0</v>
      </c>
      <c r="D27" s="481">
        <f t="shared" si="4"/>
        <v>10.57556867273844</v>
      </c>
      <c r="E27" s="481">
        <f t="shared" si="5"/>
        <v>52.126560236993953</v>
      </c>
      <c r="F27" s="481">
        <f t="shared" si="6"/>
        <v>0</v>
      </c>
      <c r="G27" s="481">
        <f t="shared" si="7"/>
        <v>22264.482186722595</v>
      </c>
      <c r="H27" s="481">
        <f t="shared" si="8"/>
        <v>3579.7992200935041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25911.3687540264</v>
      </c>
    </row>
    <row r="28" spans="1:17">
      <c r="A28" s="476" t="s">
        <v>554</v>
      </c>
      <c r="B28" s="477">
        <f t="shared" ca="1" si="2"/>
        <v>0</v>
      </c>
      <c r="C28" s="477">
        <f t="shared" ca="1" si="3"/>
        <v>0</v>
      </c>
      <c r="D28" s="477">
        <f t="shared" si="4"/>
        <v>0</v>
      </c>
      <c r="E28" s="477">
        <f t="shared" si="5"/>
        <v>0</v>
      </c>
      <c r="F28" s="477">
        <f t="shared" si="6"/>
        <v>0</v>
      </c>
      <c r="G28" s="477">
        <f t="shared" si="7"/>
        <v>166.4509084061184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166.4509084061184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59.195822366525462</v>
      </c>
      <c r="C32" s="477">
        <f t="shared" ca="1" si="3"/>
        <v>0</v>
      </c>
      <c r="D32" s="477">
        <f t="shared" si="4"/>
        <v>156.4692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215.66502236652548</v>
      </c>
    </row>
    <row r="33" spans="1:17" s="486" customFormat="1">
      <c r="A33" s="1038" t="s">
        <v>558</v>
      </c>
      <c r="B33" s="978">
        <f ca="1">SUM(B22:B32)</f>
        <v>6664.8214975370365</v>
      </c>
      <c r="C33" s="978">
        <f t="shared" ref="C33:Q33" ca="1" si="18">SUM(C22:C32)</f>
        <v>0</v>
      </c>
      <c r="D33" s="978">
        <f t="shared" ca="1" si="18"/>
        <v>9699.2618687427421</v>
      </c>
      <c r="E33" s="978">
        <f t="shared" si="18"/>
        <v>760.94562713910864</v>
      </c>
      <c r="F33" s="978">
        <f t="shared" ca="1" si="18"/>
        <v>5663.4372610777664</v>
      </c>
      <c r="G33" s="978">
        <f t="shared" si="18"/>
        <v>22430.933095128712</v>
      </c>
      <c r="H33" s="978">
        <f t="shared" si="18"/>
        <v>3579.7992200935041</v>
      </c>
      <c r="I33" s="978">
        <f t="shared" si="18"/>
        <v>0</v>
      </c>
      <c r="J33" s="978">
        <f t="shared" si="18"/>
        <v>494.65226738724652</v>
      </c>
      <c r="K33" s="978">
        <f t="shared" si="18"/>
        <v>0</v>
      </c>
      <c r="L33" s="978">
        <f t="shared" ca="1" si="18"/>
        <v>0</v>
      </c>
      <c r="M33" s="978">
        <f t="shared" si="18"/>
        <v>0</v>
      </c>
      <c r="N33" s="978">
        <f t="shared" ca="1" si="18"/>
        <v>0</v>
      </c>
      <c r="O33" s="978">
        <f t="shared" si="18"/>
        <v>0</v>
      </c>
      <c r="P33" s="978">
        <f t="shared" si="18"/>
        <v>0</v>
      </c>
      <c r="Q33" s="978">
        <f t="shared" ca="1" si="18"/>
        <v>49293.850837106125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2875.7478494295265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2919.3978494295266</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0.20149437126094499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0.20149437126094499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2019-08-12T08:24:46Z</dcterms:modified>
</cp:coreProperties>
</file>