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E89" i="14" s="1"/>
  <c r="E19" i="59" s="1"/>
  <c r="C19" i="18"/>
  <c r="D89" i="14" s="1"/>
  <c r="D19" i="59" s="1"/>
  <c r="B19" i="18"/>
  <c r="N18"/>
  <c r="L88" i="14" s="1"/>
  <c r="L18" i="59" s="1"/>
  <c r="M18" i="18"/>
  <c r="L18"/>
  <c r="K18"/>
  <c r="J18"/>
  <c r="J88" i="14" s="1"/>
  <c r="J18" i="59" s="1"/>
  <c r="I18" i="18"/>
  <c r="H18"/>
  <c r="G18"/>
  <c r="F18"/>
  <c r="F20" s="1"/>
  <c r="E18"/>
  <c r="F88" i="14" s="1"/>
  <c r="F18" i="59" s="1"/>
  <c r="D18" i="18"/>
  <c r="C18"/>
  <c r="B18"/>
  <c r="L9"/>
  <c r="L10" s="1"/>
  <c r="K9"/>
  <c r="G9"/>
  <c r="H77" i="14" s="1"/>
  <c r="H9" i="59" s="1"/>
  <c r="F9" i="18"/>
  <c r="E9"/>
  <c r="F77" i="14" s="1"/>
  <c r="F9" i="59" s="1"/>
  <c r="D9" i="18"/>
  <c r="D10" s="1"/>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74" i="14" s="1"/>
  <c r="B6" i="59" s="1"/>
  <c r="B5" i="18"/>
  <c r="B4"/>
  <c r="N6" i="17"/>
  <c r="L6"/>
  <c r="D6"/>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N10" s="1"/>
  <c r="L76" i="14"/>
  <c r="K76"/>
  <c r="K8" i="59" s="1"/>
  <c r="H76" i="14"/>
  <c r="G76"/>
  <c r="G8" i="59" s="1"/>
  <c r="G10" s="1"/>
  <c r="E76" i="14"/>
  <c r="E8" i="59" s="1"/>
  <c r="E10" s="1"/>
  <c r="B75" i="14"/>
  <c r="B7" i="59" s="1"/>
  <c r="B73" i="14"/>
  <c r="B5" i="59" s="1"/>
  <c r="B72" i="14"/>
  <c r="B4" i="59" s="1"/>
  <c r="C64" i="14"/>
  <c r="Q54"/>
  <c r="P54"/>
  <c r="P56" s="1"/>
  <c r="L54"/>
  <c r="J54"/>
  <c r="J56" s="1"/>
  <c r="I54"/>
  <c r="H54"/>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L56"/>
  <c r="H56"/>
  <c r="Q56"/>
  <c r="I56"/>
  <c r="R44"/>
  <c r="E25"/>
  <c r="E55" s="1"/>
  <c r="C25"/>
  <c r="B14" i="48" s="1"/>
  <c r="N26" i="14"/>
  <c r="J26"/>
  <c r="I26"/>
  <c r="H26"/>
  <c r="L22"/>
  <c r="D22"/>
  <c r="Q22"/>
  <c r="P22"/>
  <c r="M22"/>
  <c r="G22"/>
  <c r="R12"/>
  <c r="N19" i="59" l="1"/>
  <c r="N20" s="1"/>
  <c r="N90" i="14"/>
  <c r="L78"/>
  <c r="L8" i="59"/>
  <c r="L10" s="1"/>
  <c r="H90" i="14"/>
  <c r="H18" i="59"/>
  <c r="H78" i="14"/>
  <c r="H8" i="59"/>
  <c r="H10" s="1"/>
  <c r="L20"/>
  <c r="Q11" i="48"/>
  <c r="O19" i="18"/>
  <c r="K10" i="59"/>
  <c r="H20"/>
  <c r="C98" i="18"/>
  <c r="E101" s="1"/>
  <c r="E8" s="1"/>
  <c r="O90" i="14"/>
  <c r="P29" i="48"/>
  <c r="B10" i="18"/>
  <c r="O78" i="14"/>
  <c r="O9" i="59"/>
  <c r="K90" i="14"/>
  <c r="E20" i="59"/>
  <c r="B13" i="15"/>
  <c r="B17" i="18"/>
  <c r="B20" s="1"/>
  <c r="L90" i="14"/>
  <c r="K20" i="59"/>
  <c r="D14" i="48"/>
  <c r="R25" i="14"/>
  <c r="O10" i="59"/>
  <c r="L13" i="15"/>
  <c r="N13"/>
  <c r="Q77" i="14"/>
  <c r="P9" i="59" s="1"/>
  <c r="O9" i="18"/>
  <c r="O18"/>
  <c r="G88" i="14"/>
  <c r="C88" s="1"/>
  <c r="C18" i="59" s="1"/>
  <c r="F89" i="14"/>
  <c r="B89" s="1"/>
  <c r="B19" i="59" s="1"/>
  <c r="I101" i="18"/>
  <c r="H8" s="1"/>
  <c r="H101"/>
  <c r="D101"/>
  <c r="G101"/>
  <c r="F101"/>
  <c r="B101"/>
  <c r="C8" s="1"/>
  <c r="I102"/>
  <c r="H17" s="1"/>
  <c r="E102"/>
  <c r="E17" s="1"/>
  <c r="H102"/>
  <c r="D102"/>
  <c r="G102"/>
  <c r="C102"/>
  <c r="F102"/>
  <c r="B102"/>
  <c r="C17" s="1"/>
  <c r="B77" i="14"/>
  <c r="B9" i="59" s="1"/>
  <c r="Q14" i="48"/>
  <c r="O24"/>
  <c r="O30"/>
  <c r="P24"/>
  <c r="P30"/>
  <c r="C77" i="14"/>
  <c r="C9" i="59" s="1"/>
  <c r="E78" i="14"/>
  <c r="E90"/>
  <c r="N78"/>
  <c r="C101" i="18" l="1"/>
  <c r="G90" i="14"/>
  <c r="G18" i="59"/>
  <c r="G20" s="1"/>
  <c r="C89" i="14"/>
  <c r="C19" i="59" s="1"/>
  <c r="F19"/>
  <c r="Q88" i="14"/>
  <c r="P18" i="59" s="1"/>
  <c r="B88" i="14"/>
  <c r="B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F90" i="14" l="1"/>
  <c r="F17" i="59"/>
  <c r="F20" s="1"/>
  <c r="M78" i="14"/>
  <c r="M8" i="59"/>
  <c r="M1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27"/>
  <c r="J32"/>
  <c r="J31"/>
  <c r="J29"/>
  <c r="J28"/>
  <c r="J30"/>
  <c r="J24"/>
  <c r="P4"/>
  <c r="Q11" i="14"/>
  <c r="O4" i="48"/>
  <c r="P11" i="14"/>
  <c r="I32" i="48"/>
  <c r="I31"/>
  <c r="I29"/>
  <c r="I28"/>
  <c r="I30"/>
  <c r="I22"/>
  <c r="I24"/>
  <c r="I26"/>
  <c r="I25"/>
  <c r="I27"/>
  <c r="D4"/>
  <c r="D22" s="1"/>
  <c r="E11" i="14"/>
  <c r="H32" i="48"/>
  <c r="H25"/>
  <c r="H29"/>
  <c r="H28"/>
  <c r="H26"/>
  <c r="H24"/>
  <c r="H22"/>
  <c r="H30"/>
  <c r="H23"/>
  <c r="N46" i="14"/>
  <c r="K28" i="48"/>
  <c r="K27"/>
  <c r="K32"/>
  <c r="K31"/>
  <c r="K25"/>
  <c r="K29"/>
  <c r="K26"/>
  <c r="K30"/>
  <c r="K24"/>
  <c r="K22"/>
  <c r="C4"/>
  <c r="D11" i="14"/>
  <c r="G32" i="48"/>
  <c r="G25"/>
  <c r="G26"/>
  <c r="G22"/>
  <c r="G30"/>
  <c r="G29"/>
  <c r="G24"/>
  <c r="G23"/>
  <c r="B4"/>
  <c r="C11" i="14"/>
  <c r="F27" i="48"/>
  <c r="F32"/>
  <c r="F31"/>
  <c r="F28"/>
  <c r="F30"/>
  <c r="F29"/>
  <c r="F24"/>
  <c r="N27"/>
  <c r="N32"/>
  <c r="N31"/>
  <c r="N30"/>
  <c r="N29"/>
  <c r="N24"/>
  <c r="N28"/>
  <c r="C19" i="14"/>
  <c r="B10" i="48"/>
  <c r="E31"/>
  <c r="E28"/>
  <c r="E32"/>
  <c r="E29"/>
  <c r="E30"/>
  <c r="E24"/>
  <c r="M32"/>
  <c r="M25"/>
  <c r="M29"/>
  <c r="M24"/>
  <c r="M26"/>
  <c r="M22"/>
  <c r="M30"/>
  <c r="M23"/>
  <c r="L10" i="14"/>
  <c r="L16" s="1"/>
  <c r="L27" s="1"/>
  <c r="K5" i="48"/>
  <c r="D29"/>
  <c r="D28"/>
  <c r="D30"/>
  <c r="D31"/>
  <c r="D24"/>
  <c r="D32"/>
  <c r="L29"/>
  <c r="L28"/>
  <c r="L32"/>
  <c r="L31"/>
  <c r="L24"/>
  <c r="L22"/>
  <c r="L30"/>
  <c r="L27"/>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M12" i="22"/>
  <c r="M13" i="48"/>
  <c r="M31" s="1"/>
  <c r="N18" i="14"/>
  <c r="C22"/>
  <c r="H18"/>
  <c r="G13" i="48"/>
  <c r="I18" i="14"/>
  <c r="H13" i="48"/>
  <c r="H31" s="1"/>
  <c r="K15"/>
  <c r="K23"/>
  <c r="P22"/>
  <c r="P33" s="1"/>
  <c r="P8"/>
  <c r="P26" s="1"/>
  <c r="Q13" i="14"/>
  <c r="Q16" s="1"/>
  <c r="Q27" s="1"/>
  <c r="Q63" s="1"/>
  <c r="O22" i="48"/>
  <c r="F20" i="14"/>
  <c r="F22" s="1"/>
  <c r="E9" i="48"/>
  <c r="E27" s="1"/>
  <c r="E20" i="14"/>
  <c r="E22" s="1"/>
  <c r="D9" i="48"/>
  <c r="D27" s="1"/>
  <c r="O5"/>
  <c r="O23" s="1"/>
  <c r="P10" i="14"/>
  <c r="J7" i="48"/>
  <c r="J25" s="1"/>
  <c r="K24" i="14"/>
  <c r="K26" s="1"/>
  <c r="B9" i="48"/>
  <c r="C20" i="14"/>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E4" i="48"/>
  <c r="O11" i="14"/>
  <c r="N4" i="48"/>
  <c r="N22" s="1"/>
  <c r="R18" i="14"/>
  <c r="J4" i="48"/>
  <c r="K11" i="14"/>
  <c r="F24"/>
  <c r="F26" s="1"/>
  <c r="E7" i="48"/>
  <c r="E25" s="1"/>
  <c r="G31"/>
  <c r="Q13"/>
  <c r="I23"/>
  <c r="I33" s="1"/>
  <c r="I15"/>
  <c r="N20" i="14"/>
  <c r="M9" i="48"/>
  <c r="O22" i="16"/>
  <c r="P43" i="14" s="1"/>
  <c r="P13"/>
  <c r="O8" i="48"/>
  <c r="O26" s="1"/>
  <c r="O33" s="1"/>
  <c r="I20" i="14"/>
  <c r="I22" s="1"/>
  <c r="I27" s="1"/>
  <c r="H9" i="48"/>
  <c r="M10"/>
  <c r="M28" s="1"/>
  <c r="N19" i="14"/>
  <c r="P46"/>
  <c r="P61" s="1"/>
  <c r="P63" s="1"/>
  <c r="G14" i="22"/>
  <c r="P16" i="14"/>
  <c r="P27" s="1"/>
  <c r="O15" i="48"/>
  <c r="N22" i="14"/>
  <c r="N27" s="1"/>
  <c r="G10" i="48"/>
  <c r="H19" i="14"/>
  <c r="R19" s="1"/>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5" i="48"/>
  <c r="J23" s="1"/>
  <c r="K10" i="14"/>
  <c r="H20"/>
  <c r="R20" s="1"/>
  <c r="G9" i="48"/>
  <c r="M27"/>
  <c r="M33" s="1"/>
  <c r="M15"/>
  <c r="G28"/>
  <c r="Q10"/>
  <c r="H27"/>
  <c r="H33" s="1"/>
  <c r="H15"/>
  <c r="R11" i="14"/>
  <c r="R24"/>
  <c r="R26" s="1"/>
  <c r="J20" i="15"/>
  <c r="K40" i="14" s="1"/>
  <c r="R22"/>
  <c r="E22" i="48"/>
  <c r="Q4"/>
  <c r="E5"/>
  <c r="E23" s="1"/>
  <c r="F10" i="14"/>
  <c r="J22" i="48"/>
  <c r="Q7"/>
  <c r="E20" i="15"/>
  <c r="F40" i="14" s="1"/>
  <c r="J18" i="16"/>
  <c r="E18"/>
  <c r="F18"/>
  <c r="F22" s="1"/>
  <c r="G43" i="14" s="1"/>
  <c r="N18" i="16"/>
  <c r="G18" i="22"/>
  <c r="H50" i="14" s="1"/>
  <c r="E22" i="16"/>
  <c r="F43" i="14" s="1"/>
  <c r="H18" i="22"/>
  <c r="I50" i="14" s="1"/>
  <c r="I52" s="1"/>
  <c r="I61" s="1"/>
  <c r="I63" s="1"/>
  <c r="J33" i="48" l="1"/>
  <c r="F46" i="14"/>
  <c r="F61" s="1"/>
  <c r="F63" s="1"/>
  <c r="J22" i="16"/>
  <c r="K43" i="14" s="1"/>
  <c r="J8" i="48"/>
  <c r="J26" s="1"/>
  <c r="K13" i="14"/>
  <c r="E8" i="48"/>
  <c r="F13" i="14"/>
  <c r="G27" i="48"/>
  <c r="G33" s="1"/>
  <c r="G15"/>
  <c r="Q9"/>
  <c r="K16" i="14"/>
  <c r="K27" s="1"/>
  <c r="F16"/>
  <c r="F27" s="1"/>
  <c r="H22"/>
  <c r="H27" s="1"/>
  <c r="H63" s="1"/>
  <c r="K46"/>
  <c r="K61" s="1"/>
  <c r="K63" s="1"/>
  <c r="N8" i="48"/>
  <c r="N26" s="1"/>
  <c r="O13" i="14"/>
  <c r="N22" i="16"/>
  <c r="O43" i="14" s="1"/>
  <c r="G13"/>
  <c r="F8" i="48"/>
  <c r="E26" l="1"/>
  <c r="E33" s="1"/>
  <c r="E15"/>
  <c r="R1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<sst xmlns="http://schemas.openxmlformats.org/spreadsheetml/2006/main" count="2401" uniqueCount="897">
  <si>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</si>
  <si>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</si>
  <si>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</si>
  <si>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</si>
  <si>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</si>
  <si>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</si>
  <si>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</si>
  <si>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</si>
  <si>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</si>
  <si>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</si>
  <si>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</si>
  <si>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</si>
  <si>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</si>
  <si>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</si>
  <si>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</si>
  <si>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</si>
  <si>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</si>
  <si>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</si>
  <si>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</si>
  <si>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</si>
  <si>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</si>
  <si>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</si>
  <si>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</si>
  <si>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</si>
  <si>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</si>
  <si>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</si>
  <si>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</si>
  <si>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</si>
  <si>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</si>
  <si>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</si>
  <si>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</si>
  <si>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</si>
  <si>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</si>
  <si>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</si>
  <si>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</si>
  <si>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</si>
  <si>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</si>
  <si>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</si>
  <si>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</si>
  <si>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</si>
  <si>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</si>
  <si>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</si>
  <si>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</si>
  <si>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</si>
  <si>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</si>
  <si>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</si>
  <si>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</si>
  <si>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</si>
  <si>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</si>
  <si>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</si>
  <si>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</si>
  <si>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</si>
  <si>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</si>
  <si>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</si>
  <si>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</si>
  <si>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</si>
  <si>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</si>
  <si>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</si>
  <si>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</si>
  <si>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</si>
  <si>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</si>
  <si>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</si>
  <si>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</si>
  <si>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</si>
  <si>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</si>
  <si>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</si>
  <si>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</si>
  <si>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</si>
  <si>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</si>
  <si>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</si>
  <si>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</si>
  <si>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</si>
  <si>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</si>
  <si>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</si>
  <si>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</si>
  <si>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</si>
  <si>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</si>
  <si>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</si>
  <si>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</si>
  <si>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</si>
  <si>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</si>
  <si>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</si>
  <si>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</si>
  <si>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</si>
  <si>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</si>
  <si>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</si>
  <si>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</si>
  <si>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</si>
  <si>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</si>
  <si>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</si>
  <si>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</si>
  <si>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</si>
  <si>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</si>
  <si>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</si>
  <si>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</si>
  <si>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</si>
  <si>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</si>
  <si>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</si>
  <si>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</si>
  <si>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</si>
  <si>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</si>
  <si>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</si>
  <si>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</si>
  <si>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</si>
  <si>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</si>
  <si>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</si>
  <si>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</si>
  <si>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</si>
  <si>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</si>
  <si>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</si>
  <si>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</si>
  <si>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</si>
  <si>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</si>
  <si>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</si>
  <si>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</si>
  <si>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</si>
  <si>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</si>
  <si>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</si>
  <si>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</si>
  <si>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</si>
  <si>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</si>
  <si>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</si>
  <si>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</si>
  <si>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</si>
  <si>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</si>
  <si>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</si>
  <si>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</si>
  <si>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</si>
  <si>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</si>
  <si>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</si>
  <si>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</si>
  <si>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</si>
  <si>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</si>
  <si>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</si>
  <si>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</si>
  <si>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</si>
  <si>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</si>
  <si>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</si>
  <si>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</si>
  <si>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</si>
  <si>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</si>
  <si>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</si>
  <si>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</si>
  <si>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</si>
  <si>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</si>
  <si>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</si>
  <si>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</si>
  <si>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</si>
  <si>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</si>
  <si>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</si>
  <si>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</si>
  <si>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</si>
  <si>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</si>
  <si>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</si>
  <si>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</si>
  <si>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</si>
  <si>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</si>
  <si>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</si>
  <si>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</si>
  <si>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</si>
  <si>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</si>
  <si>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</si>
  <si>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</si>
  <si>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</si>
  <si>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</si>
  <si>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</si>
  <si>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</si>
  <si>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</si>
  <si>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</si>
  <si>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</si>
  <si>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</si>
  <si>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</si>
  <si>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</si>
  <si>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</si>
  <si>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</si>
  <si>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</si>
  <si>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</si>
  <si>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</si>
  <si>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</si>
  <si>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</si>
  <si>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</si>
  <si>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</si>
  <si>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</si>
  <si>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</si>
  <si>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</si>
  <si>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</si>
  <si>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</si>
  <si>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</si>
  <si>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</si>
  <si>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</si>
  <si>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</si>
  <si>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</si>
  <si>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</si>
  <si>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</si>
  <si>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</si>
  <si>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</si>
  <si>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</si>
  <si>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</si>
  <si>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</si>
  <si>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</si>
  <si>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</si>
  <si>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</si>
  <si>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</si>
  <si>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</si>
  <si>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</si>
  <si>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</si>
  <si>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</si>
  <si>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</si>
  <si>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</si>
  <si>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</si>
  <si>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</si>
  <si>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</si>
  <si>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</si>
  <si>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</si>
  <si>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</si>
  <si>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</si>
  <si>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</si>
  <si>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</si>
  <si>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</si>
  <si>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</si>
  <si>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</si>
  <si>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</si>
  <si>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</si>
  <si>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</si>
  <si>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</si>
  <si>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</si>
  <si>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</si>
  <si>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</si>
  <si>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</si>
  <si>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</si>
  <si>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</si>
  <si>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</si>
  <si>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</si>
  <si>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</si>
  <si>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</si>
  <si>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</si>
  <si>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</si>
  <si>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</si>
  <si>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</si>
  <si>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</si>
  <si>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</si>
  <si>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</si>
  <si>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</si>
  <si>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</si>
  <si>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</si>
  <si>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</si>
  <si>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</si>
  <si>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</si>
  <si>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</si>
  <si>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</si>
  <si>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</si>
  <si>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</si>
  <si>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</si>
  <si>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</si>
  <si>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</si>
  <si>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</si>
  <si>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</si>
  <si>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</si>
  <si>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</si>
  <si>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</si>
  <si>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</si>
  <si>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</si>
  <si>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</si>
  <si>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</si>
  <si>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</si>
  <si>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</si>
  <si>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</si>
  <si>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</si>
  <si>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</si>
  <si>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</si>
  <si>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</si>
  <si>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</si>
  <si>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</si>
  <si>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</si>
  <si>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</si>
  <si>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</si>
  <si>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</si>
  <si>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</si>
  <si>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</si>
  <si>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</si>
  <si>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</si>
  <si>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</si>
  <si>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</si>
  <si>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</si>
  <si>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</si>
  <si>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</si>
  <si>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</si>
  <si>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</si>
  <si>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</si>
  <si>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</si>
  <si>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</si>
  <si>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</si>
  <si>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</si>
  <si>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</si>
  <si>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</si>
  <si>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</si>
  <si>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</si>
  <si>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</si>
  <si>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</si>
  <si>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</si>
  <si>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</si>
  <si>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</si>
  <si>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</si>
  <si>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</si>
  <si>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</si>
  <si>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</si>
  <si>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</si>
  <si>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</si>
  <si>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</si>
  <si>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</si>
  <si>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</si>
  <si>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</si>
  <si>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</si>
  <si>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</si>
  <si>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</si>
  <si>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</si>
  <si>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</si>
  <si>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</si>
  <si>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</si>
  <si>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</si>
  <si>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</si>
  <si>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</si>
  <si>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</si>
  <si>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</si>
  <si>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</si>
  <si>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</si>
  <si>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</si>
  <si>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</si>
  <si>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</si>
  <si>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</si>
  <si>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</si>
  <si>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</si>
  <si>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</si>
  <si>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</si>
  <si>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</si>
  <si>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</si>
  <si>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</si>
  <si>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</si>
  <si>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</si>
  <si>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</si>
  <si>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</si>
  <si>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</si>
  <si>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</si>
  <si>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</si>
  <si>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</si>
  <si>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</si>
  <si>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</si>
  <si>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</si>
  <si>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</si>
  <si>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</si>
  <si>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</si>
  <si>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</si>
  <si>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</si>
  <si>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</si>
  <si>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</si>
  <si>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</si>
  <si>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</si>
  <si>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</si>
  <si>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</si>
  <si>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</si>
  <si>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</si>
  <si>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</si>
  <si>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</si>
  <si>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</si>
  <si>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</si>
  <si>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</si>
  <si>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</si>
  <si>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</si>
  <si>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</si>
  <si>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</si>
  <si>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</si>
  <si>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</si>
  <si>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</si>
  <si>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</si>
  <si>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</si>
  <si>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</si>
  <si>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</si>
  <si>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</si>
  <si>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</si>
  <si>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</si>
  <si>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</si>
  <si>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</si>
  <si>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</si>
  <si>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</si>
  <si>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</si>
  <si>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</si>
  <si>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</si>
  <si>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</si>
  <si>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</si>
  <si>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</si>
  <si>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</si>
  <si>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</si>
  <si>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</si>
  <si>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</si>
  <si>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</si>
  <si>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</si>
  <si>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</si>
  <si>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</si>
  <si>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</si>
  <si>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</si>
  <si>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</si>
  <si>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</si>
  <si>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</si>
  <si>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</si>
  <si>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</si>
  <si>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</si>
  <si>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</si>
  <si>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</si>
  <si>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</si>
  <si>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</si>
  <si>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</si>
  <si>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</si>
  <si>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</si>
  <si>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</si>
  <si>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</si>
  <si>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</si>
  <si>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</si>
  <si>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</si>
  <si>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</si>
  <si>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</si>
  <si>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</si>
  <si>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</si>
  <si>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</si>
  <si>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</si>
  <si>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</si>
  <si>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</si>
  <si>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</si>
  <si>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</si>
  <si>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</si>
  <si>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</si>
  <si>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</si>
  <si>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</si>
  <si>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</si>
  <si>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</si>
  <si>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</si>
  <si>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</si>
  <si>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</si>
  <si>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</si>
  <si>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</si>
  <si>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</si>
  <si>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</si>
  <si>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</si>
  <si>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</si>
  <si>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</si>
  <si>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</si>
  <si>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</si>
  <si>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</si>
  <si>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</si>
  <si>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</si>
  <si>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</si>
  <si>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</si>
  <si>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</si>
  <si>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</si>
  <si>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</si>
  <si>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</si>
  <si>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</si>
  <si>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</si>
  <si>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</si>
  <si>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</si>
  <si>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</si>
  <si>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</si>
  <si>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</si>
  <si>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</si>
  <si>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</si>
  <si>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</si>
  <si>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</si>
  <si>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</si>
  <si>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</si>
  <si>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</si>
  <si>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</si>
  <si>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</si>
  <si>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</si>
  <si>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</si>
  <si>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</si>
  <si>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</si>
  <si>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</si>
  <si>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</si>
  <si>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</si>
  <si>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</si>
  <si>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</si>
  <si>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</si>
  <si>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</si>
  <si>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</si>
  <si>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</si>
  <si>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</si>
  <si>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</si>
  <si>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</si>
  <si>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</si>
  <si>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</si>
  <si>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</si>
  <si>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</si>
  <si>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</si>
  <si>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</si>
  <si>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</si>
  <si>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</si>
  <si>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</si>
  <si>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</si>
  <si>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</si>
  <si>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</si>
  <si>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</si>
  <si>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</si>
  <si>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</si>
  <si>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</si>
  <si>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</si>
  <si>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</si>
  <si>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</si>
  <si>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</si>
  <si>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</si>
  <si>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</si>
  <si>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</si>
  <si>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</si>
  <si>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</si>
  <si>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</si>
  <si>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</si>
  <si>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</si>
  <si>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</si>
  <si>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</si>
  <si>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</si>
  <si>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</si>
  <si>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</si>
  <si>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</si>
  <si>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</si>
  <si>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</si>
  <si>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</si>
  <si>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</si>
  <si>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</si>
  <si>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</si>
  <si>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</si>
  <si>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</si>
  <si>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</si>
  <si>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</si>
  <si>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</si>
  <si>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</si>
  <si>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</si>
  <si>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</si>
  <si>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</si>
  <si>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</si>
  <si>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</si>
  <si>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</si>
  <si>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</si>
  <si>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</si>
  <si>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</si>
  <si>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</si>
  <si>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</si>
  <si>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</si>
  <si>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</si>
  <si>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</si>
  <si>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</si>
  <si>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</si>
  <si>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</si>
  <si>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</si>
  <si>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</si>
  <si>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</si>
  <si>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</si>
  <si>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</si>
  <si>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</si>
  <si>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</si>
  <si>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</si>
  <si>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</si>
  <si>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</si>
  <si>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</si>
  <si>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</si>
  <si>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</si>
  <si>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</si>
  <si>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</si>
  <si>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</si>
  <si>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</si>
  <si>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</si>
  <si>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</si>
  <si>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</si>
  <si>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</si>
  <si>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</si>
  <si>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</si>
  <si>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</si>
  <si>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</si>
  <si>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</si>
  <si>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</si>
  <si>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</si>
  <si>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</si>
  <si>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</si>
  <si>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</si>
  <si>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</si>
  <si>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</si>
  <si>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</si>
  <si>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</si>
  <si>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</si>
  <si>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</si>
  <si>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</si>
  <si>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</si>
  <si>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</si>
  <si>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</si>
  <si>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</si>
  <si>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</si>
  <si>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</si>
  <si>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</si>
  <si>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</si>
  <si>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</si>
  <si>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</si>
  <si>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</si>
  <si>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</si>
  <si>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</si>
  <si>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</si>
  <si>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</si>
  <si>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</si>
  <si>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</si>
  <si>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</si>
  <si>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</si>
  <si>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</si>
  <si>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</si>
  <si>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</si>
  <si>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</si>
  <si>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</si>
  <si>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</si>
  <si>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</si>
  <si>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</si>
  <si>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</si>
  <si>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</si>
  <si>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</si>
  <si>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</si>
  <si>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</si>
  <si>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</si>
  <si>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</si>
  <si>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</si>
  <si>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</si>
  <si>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</si>
  <si>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</si>
  <si>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</si>
  <si>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</si>
  <si>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</si>
  <si>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</si>
  <si>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</si>
  <si>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</si>
  <si>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</si>
  <si>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</si>
  <si>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</si>
  <si>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</si>
  <si>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</si>
  <si>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</si>
  <si>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</si>
  <si>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</si>
  <si>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</si>
  <si>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</si>
  <si>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</si>
  <si>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</si>
  <si>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</si>
  <si>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</si>
  <si>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</si>
  <si>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</si>
  <si>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</si>
  <si>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</si>
  <si>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</si>
  <si>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</si>
  <si>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</si>
  <si>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</si>
  <si>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</si>
  <si>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</si>
  <si>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</si>
  <si>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</si>
  <si>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</si>
  <si>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</si>
  <si>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</si>
  <si>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</si>
  <si>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</si>
  <si>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</si>
  <si>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</si>
  <si>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</si>
  <si>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</si>
  <si>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</si>
  <si>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</si>
  <si>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</si>
  <si>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</si>
  <si>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</si>
  <si>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</si>
  <si>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</si>
  <si>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</si>
  <si>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</si>
  <si>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</si>
  <si>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</si>
  <si>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</si>
  <si>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</si>
  <si>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</si>
  <si>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</si>
  <si>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</si>
  <si>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</si>
  <si>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</si>
  <si>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</si>
  <si>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</si>
  <si>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</si>
  <si>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</si>
  <si>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</si>
  <si>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</si>
  <si>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</si>
  <si>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</si>
  <si>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</si>
  <si>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</si>
  <si>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</si>
  <si>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</si>
  <si>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</si>
  <si>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</si>
  <si>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</si>
  <si>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</si>
  <si>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</si>
  <si>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</si>
  <si>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</si>
  <si>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</si>
  <si>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</si>
  <si>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</si>
  <si>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</si>
  <si>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</si>
  <si>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</si>
  <si>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</si>
  <si>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</si>
  <si>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</si>
  <si>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</si>
  <si>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</si>
  <si>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</si>
  <si>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</si>
  <si>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</si>
  <si>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</si>
  <si>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</si>
  <si>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</si>
  <si>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</si>
  <si>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</si>
  <si>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</si>
  <si>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</si>
  <si>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</si>
  <si>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</si>
  <si>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</si>
  <si>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</si>
  <si>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</si>
  <si>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</si>
  <si>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</si>
  <si>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</si>
  <si>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</si>
  <si>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</si>
  <si>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</si>
  <si>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</si>
  <si>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</si>
  <si>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</si>
  <si>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</si>
  <si>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</si>
  <si>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</si>
  <si>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</si>
  <si>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</si>
  <si>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</si>
  <si>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</si>
  <si>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</si>
  <si>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</si>
  <si>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</si>
  <si>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</si>
  <si>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</si>
  <si>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</si>
  <si>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</si>
  <si>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</si>
  <si>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</si>
  <si>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</si>
  <si>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</si>
  <si>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</si>
  <si>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</si>
  <si>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</si>
  <si>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</si>
  <si>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</si>
  <si>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</si>
  <si>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</si>
  <si>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</si>
  <si>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</si>
  <si>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</si>
  <si>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</si>
  <si>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</si>
  <si>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</si>
  <si>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</si>
  <si>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</si>
  <si>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</si>
  <si>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</si>
  <si>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</si>
  <si>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</si>
  <si>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</si>
  <si>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</si>
  <si>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</si>
  <si>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</si>
  <si>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</si>
  <si>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</si>
  <si>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</si>
  <si>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</si>
  <si>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</si>
  <si>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</si>
  <si>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</si>
  <si>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</si>
  <si>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</si>
  <si>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</si>
  <si>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</si>
  <si>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</si>
  <si>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</si>
  <si>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</si>
  <si>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</si>
  <si>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</si>
  <si>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</si>
  <si>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</si>
  <si>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</si>
  <si>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</si>
  <si>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</si>
  <si>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</si>
  <si>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</si>
  <si>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</si>
  <si>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</si>
  <si>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</si>
  <si>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</si>
  <si>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</si>
  <si>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</si>
  <si>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</si>
  <si>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</si>
  <si>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</si>
  <si>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</si>
  <si>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</si>
  <si>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</si>
  <si>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</si>
  <si>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</si>
  <si>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</si>
  <si>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</si>
  <si>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</si>
  <si>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</si>
  <si>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</si>
  <si>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</si>
  <si>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</si>
  <si>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</si>
  <si>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</si>
  <si>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</si>
  <si>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</si>
  <si>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</si>
  <si>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</si>
  <si>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</si>
  <si>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</si>
  <si>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</si>
  <si>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</si>
  <si>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</si>
  <si>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</si>
  <si>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</si>
  <si>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</si>
  <si>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</si>
  <si>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</si>
  <si>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</si>
  <si>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</si>
  <si>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</si>
  <si>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</si>
  <si>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</si>
  <si>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</si>
  <si>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</si>
  <si>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</si>
  <si>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</si>
  <si>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</si>
  <si>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</si>
  <si>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</si>
  <si>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</si>
  <si>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</si>
  <si>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</si>
  <si>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</si>
  <si>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</si>
  <si>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</si>
  <si>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</si>
  <si>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</si>
  <si>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</si>
  <si>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</si>
  <si>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</si>
  <si>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</si>
  <si>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</si>
  <si>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</si>
  <si>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</si>
  <si>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</si>
  <si>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</si>
  <si>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</si>
  <si>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</si>
  <si>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</si>
  <si>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</si>
  <si>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</si>
  <si>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</si>
  <si>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</si>
  <si>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</si>
  <si>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</si>
  <si>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</si>
  <si>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</si>
  <si>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</si>
  <si>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</si>
  <si>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36008</t>
  </si>
  <si>
    <t>IZEGEM</t>
  </si>
  <si>
    <t>Paarden&amp;pony's 200 - 600 kg</t>
  </si>
  <si>
    <t>Paarden&amp;pony's &lt; 200 kg</t>
  </si>
  <si>
    <t>referentietaak LNE (2017); Jaarverslag De Lijn (2015)</t>
  </si>
  <si>
    <t>op basis van VEA (maart 2018) en Inventaris Hernieuwbare Energiebronnen (juni 2018)</t>
  </si>
  <si>
    <t>VEA (januari 2017)</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</si>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</sst>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201371.5020112317</c:v>
                </c:pt>
                <c:pt idx="1">
                  <c:v>79337.136857149788</c:v>
                </c:pt>
                <c:pt idx="2">
                  <c:v>2209.2750000000001</c:v>
                </c:pt>
                <c:pt idx="3">
                  <c:v>14952.675531873869</c:v>
                </c:pt>
                <c:pt idx="4">
                  <c:v>180079.56086317421</c:v>
                </c:pt>
                <c:pt idx="5">
                  <c:v>149462.8602995401</c:v>
                </c:pt>
                <c:pt idx="6">
                  <c:v>676.96601921534045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148928"/>
        <c:axId val="183150464"/>
      </c:barChart>
      <c:catAx>
        <c:axId val="183148928"/>
        <c:scaling>
          <c:orientation val="minMax"/>
        </c:scaling>
        <c:axPos val="b"/>
        <c:numFmt formatCode="General" sourceLinked="0"/>
        <c:tickLblPos val="nextTo"/>
        <c:crossAx val="183150464"/>
        <c:crosses val="autoZero"/>
        <c:auto val="1"/>
        <c:lblAlgn val="ctr"/>
        <c:lblOffset val="100"/>
      </c:catAx>
      <c:valAx>
        <c:axId val="183150464"/>
        <c:scaling>
          <c:orientation val="minMax"/>
        </c:scaling>
        <c:axPos val="l"/>
        <c:majorGridlines/>
        <c:numFmt formatCode="#,##0" sourceLinked="1"/>
        <c:tickLblPos val="nextTo"/>
        <c:crossAx val="183148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201371.5020112317</c:v>
                </c:pt>
                <c:pt idx="1">
                  <c:v>79337.136857149788</c:v>
                </c:pt>
                <c:pt idx="2">
                  <c:v>2209.2750000000001</c:v>
                </c:pt>
                <c:pt idx="3">
                  <c:v>14952.675531873869</c:v>
                </c:pt>
                <c:pt idx="4">
                  <c:v>180079.56086317421</c:v>
                </c:pt>
                <c:pt idx="5">
                  <c:v>149462.8602995401</c:v>
                </c:pt>
                <c:pt idx="6">
                  <c:v>676.96601921534045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33904.796691865675</c:v>
                </c:pt>
                <c:pt idx="2">
                  <c:v>15389.064822329794</c:v>
                </c:pt>
                <c:pt idx="3">
                  <c:v>400.45975640603501</c:v>
                </c:pt>
                <c:pt idx="4">
                  <c:v>3687.4055325001195</c:v>
                </c:pt>
                <c:pt idx="5">
                  <c:v>32426.913448126263</c:v>
                </c:pt>
                <c:pt idx="6">
                  <c:v>38289.700106873192</c:v>
                </c:pt>
                <c:pt idx="7">
                  <c:v>175.3121368505638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62912"/>
        <c:axId val="183546624"/>
      </c:barChart>
      <c:catAx>
        <c:axId val="18346291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6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33904.796691865675</c:v>
                </c:pt>
                <c:pt idx="2">
                  <c:v>15389.064822329794</c:v>
                </c:pt>
                <c:pt idx="3">
                  <c:v>400.45975640603501</c:v>
                </c:pt>
                <c:pt idx="4">
                  <c:v>3687.4055325001195</c:v>
                </c:pt>
                <c:pt idx="5">
                  <c:v>32426.913448126263</c:v>
                </c:pt>
                <c:pt idx="6">
                  <c:v>38289.700106873192</c:v>
                </c:pt>
                <c:pt idx="7">
                  <c:v>175.3121368505638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0.18126297378372316</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0.18126297378372316</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11932</v>
      </c>
      <c r="C9" s="342">
        <v>12171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893.26</v>
      </c>
    </row>
    <row r="15" spans="1:6">
      <c r="A15" s="348" t="s">
        <v>184</v>
      </c>
      <c r="B15" s="334">
        <v>3</v>
      </c>
    </row>
    <row r="16" spans="1:6">
      <c r="A16" s="348" t="s">
        <v>6</v>
      </c>
      <c r="B16" s="334">
        <v>66</v>
      </c>
    </row>
    <row r="17" spans="1:6">
      <c r="A17" s="348" t="s">
        <v>7</v>
      </c>
      <c r="B17" s="334">
        <v>168</v>
      </c>
    </row>
    <row r="18" spans="1:6">
      <c r="A18" s="348" t="s">
        <v>8</v>
      </c>
      <c r="B18" s="334">
        <v>163</v>
      </c>
    </row>
    <row r="19" spans="1:6">
      <c r="A19" s="348" t="s">
        <v>9</v>
      </c>
      <c r="B19" s="334">
        <v>165</v>
      </c>
    </row>
    <row r="20" spans="1:6">
      <c r="A20" s="348" t="s">
        <v>10</v>
      </c>
      <c r="B20" s="334">
        <v>120</v>
      </c>
    </row>
    <row r="21" spans="1:6">
      <c r="A21" s="348" t="s">
        <v>11</v>
      </c>
      <c r="B21" s="334">
        <v>3151</v>
      </c>
    </row>
    <row r="22" spans="1:6">
      <c r="A22" s="348" t="s">
        <v>12</v>
      </c>
      <c r="B22" s="334">
        <v>16828</v>
      </c>
    </row>
    <row r="23" spans="1:6">
      <c r="A23" s="348" t="s">
        <v>13</v>
      </c>
      <c r="B23" s="334">
        <v>108</v>
      </c>
    </row>
    <row r="24" spans="1:6">
      <c r="A24" s="348" t="s">
        <v>14</v>
      </c>
      <c r="B24" s="334">
        <v>4</v>
      </c>
    </row>
    <row r="25" spans="1:6">
      <c r="A25" s="348" t="s">
        <v>15</v>
      </c>
      <c r="B25" s="334">
        <v>698</v>
      </c>
    </row>
    <row r="26" spans="1:6">
      <c r="A26" s="348" t="s">
        <v>16</v>
      </c>
      <c r="B26" s="334">
        <v>175</v>
      </c>
    </row>
    <row r="27" spans="1:6">
      <c r="A27" s="348" t="s">
        <v>17</v>
      </c>
      <c r="B27" s="334">
        <v>3</v>
      </c>
    </row>
    <row r="28" spans="1:6" s="356" customFormat="1">
      <c r="A28" s="355" t="s">
        <v>18</v>
      </c>
      <c r="B28" s="355">
        <v>72340</v>
      </c>
    </row>
    <row r="29" spans="1:6">
      <c r="A29" s="355" t="s">
        <v>884</v>
      </c>
      <c r="B29" s="355">
        <v>51</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180556</v>
      </c>
    </row>
    <row r="37" spans="1:6">
      <c r="A37" s="348" t="s">
        <v>25</v>
      </c>
      <c r="B37" s="348" t="s">
        <v>28</v>
      </c>
      <c r="C37" s="334">
        <v>0</v>
      </c>
      <c r="D37" s="334">
        <v>0</v>
      </c>
      <c r="E37" s="334">
        <v>0</v>
      </c>
      <c r="F37" s="334">
        <v>0</v>
      </c>
    </row>
    <row r="38" spans="1:6">
      <c r="A38" s="348" t="s">
        <v>25</v>
      </c>
      <c r="B38" s="348" t="s">
        <v>29</v>
      </c>
      <c r="C38" s="334">
        <v>1</v>
      </c>
      <c r="D38" s="334">
        <v>102499.70843</v>
      </c>
      <c r="E38" s="334">
        <v>0</v>
      </c>
      <c r="F38" s="334">
        <v>15669</v>
      </c>
    </row>
    <row r="39" spans="1:6">
      <c r="A39" s="348" t="s">
        <v>30</v>
      </c>
      <c r="B39" s="348" t="s">
        <v>31</v>
      </c>
      <c r="C39" s="334">
        <v>9316</v>
      </c>
      <c r="D39" s="334">
        <v>134124894.63</v>
      </c>
      <c r="E39" s="334">
        <v>11862</v>
      </c>
      <c r="F39" s="334">
        <v>38627100</v>
      </c>
    </row>
    <row r="40" spans="1:6">
      <c r="A40" s="348" t="s">
        <v>30</v>
      </c>
      <c r="B40" s="348" t="s">
        <v>29</v>
      </c>
      <c r="C40" s="334">
        <v>0</v>
      </c>
      <c r="D40" s="334">
        <v>0</v>
      </c>
      <c r="E40" s="334">
        <v>0</v>
      </c>
      <c r="F40" s="334">
        <v>0</v>
      </c>
    </row>
    <row r="41" spans="1:6">
      <c r="A41" s="348" t="s">
        <v>32</v>
      </c>
      <c r="B41" s="348" t="s">
        <v>33</v>
      </c>
      <c r="C41" s="334">
        <v>196</v>
      </c>
      <c r="D41" s="334">
        <v>8869666.9540999997</v>
      </c>
      <c r="E41" s="334">
        <v>401</v>
      </c>
      <c r="F41" s="334">
        <v>16174477</v>
      </c>
    </row>
    <row r="42" spans="1:6">
      <c r="A42" s="348" t="s">
        <v>32</v>
      </c>
      <c r="B42" s="348" t="s">
        <v>34</v>
      </c>
      <c r="C42" s="334">
        <v>0</v>
      </c>
      <c r="D42" s="334">
        <v>0</v>
      </c>
      <c r="E42" s="334">
        <v>3</v>
      </c>
      <c r="F42" s="334">
        <v>389776</v>
      </c>
    </row>
    <row r="43" spans="1:6">
      <c r="A43" s="348" t="s">
        <v>32</v>
      </c>
      <c r="B43" s="348" t="s">
        <v>35</v>
      </c>
      <c r="C43" s="334">
        <v>0</v>
      </c>
      <c r="D43" s="334">
        <v>0</v>
      </c>
      <c r="E43" s="334">
        <v>6</v>
      </c>
      <c r="F43" s="334">
        <v>191741</v>
      </c>
    </row>
    <row r="44" spans="1:6">
      <c r="A44" s="348" t="s">
        <v>32</v>
      </c>
      <c r="B44" s="348" t="s">
        <v>36</v>
      </c>
      <c r="C44" s="334">
        <v>10</v>
      </c>
      <c r="D44" s="334">
        <v>428060.50672</v>
      </c>
      <c r="E44" s="334">
        <v>77</v>
      </c>
      <c r="F44" s="334">
        <v>15884263</v>
      </c>
    </row>
    <row r="45" spans="1:6">
      <c r="A45" s="348" t="s">
        <v>32</v>
      </c>
      <c r="B45" s="348" t="s">
        <v>37</v>
      </c>
      <c r="C45" s="334">
        <v>5</v>
      </c>
      <c r="D45" s="334">
        <v>37177.006260000002</v>
      </c>
      <c r="E45" s="334">
        <v>12</v>
      </c>
      <c r="F45" s="334">
        <v>459384</v>
      </c>
    </row>
    <row r="46" spans="1:6">
      <c r="A46" s="348" t="s">
        <v>32</v>
      </c>
      <c r="B46" s="348" t="s">
        <v>38</v>
      </c>
      <c r="C46" s="334">
        <v>0</v>
      </c>
      <c r="D46" s="334">
        <v>0</v>
      </c>
      <c r="E46" s="334">
        <v>0</v>
      </c>
      <c r="F46" s="334">
        <v>0</v>
      </c>
    </row>
    <row r="47" spans="1:6">
      <c r="A47" s="348" t="s">
        <v>32</v>
      </c>
      <c r="B47" s="348" t="s">
        <v>39</v>
      </c>
      <c r="C47" s="334">
        <v>7</v>
      </c>
      <c r="D47" s="334">
        <v>376048.61442</v>
      </c>
      <c r="E47" s="334">
        <v>10</v>
      </c>
      <c r="F47" s="334">
        <v>336374</v>
      </c>
    </row>
    <row r="48" spans="1:6">
      <c r="A48" s="348" t="s">
        <v>32</v>
      </c>
      <c r="B48" s="348" t="s">
        <v>29</v>
      </c>
      <c r="C48" s="334">
        <v>67</v>
      </c>
      <c r="D48" s="334">
        <v>34368371.913000003</v>
      </c>
      <c r="E48" s="334">
        <v>0</v>
      </c>
      <c r="F48" s="334">
        <v>0</v>
      </c>
    </row>
    <row r="49" spans="1:6">
      <c r="A49" s="348" t="s">
        <v>32</v>
      </c>
      <c r="B49" s="348" t="s">
        <v>40</v>
      </c>
      <c r="C49" s="334">
        <v>0</v>
      </c>
      <c r="D49" s="334">
        <v>0</v>
      </c>
      <c r="E49" s="334">
        <v>17</v>
      </c>
      <c r="F49" s="334">
        <v>5699249</v>
      </c>
    </row>
    <row r="50" spans="1:6">
      <c r="A50" s="348" t="s">
        <v>32</v>
      </c>
      <c r="B50" s="348" t="s">
        <v>41</v>
      </c>
      <c r="C50" s="334">
        <v>13</v>
      </c>
      <c r="D50" s="334">
        <v>2148929.5441999999</v>
      </c>
      <c r="E50" s="334">
        <v>38</v>
      </c>
      <c r="F50" s="334">
        <v>41039667</v>
      </c>
    </row>
    <row r="51" spans="1:6">
      <c r="A51" s="348" t="s">
        <v>42</v>
      </c>
      <c r="B51" s="348" t="s">
        <v>43</v>
      </c>
      <c r="C51" s="334">
        <v>19</v>
      </c>
      <c r="D51" s="334">
        <v>8101280.5620999997</v>
      </c>
      <c r="E51" s="334">
        <v>82</v>
      </c>
      <c r="F51" s="334">
        <v>1987848</v>
      </c>
    </row>
    <row r="52" spans="1:6">
      <c r="A52" s="348" t="s">
        <v>42</v>
      </c>
      <c r="B52" s="348" t="s">
        <v>29</v>
      </c>
      <c r="C52" s="334">
        <v>3</v>
      </c>
      <c r="D52" s="334">
        <v>66418.744451999999</v>
      </c>
      <c r="E52" s="334">
        <v>0</v>
      </c>
      <c r="F52" s="334">
        <v>0</v>
      </c>
    </row>
    <row r="53" spans="1:6">
      <c r="A53" s="348" t="s">
        <v>44</v>
      </c>
      <c r="B53" s="348" t="s">
        <v>45</v>
      </c>
      <c r="C53" s="334">
        <v>191</v>
      </c>
      <c r="D53" s="334">
        <v>8482018.4809000008</v>
      </c>
      <c r="E53" s="334">
        <v>0</v>
      </c>
      <c r="F53" s="334">
        <v>0</v>
      </c>
    </row>
    <row r="54" spans="1:6">
      <c r="A54" s="348" t="s">
        <v>46</v>
      </c>
      <c r="B54" s="348" t="s">
        <v>47</v>
      </c>
      <c r="C54" s="334">
        <v>0</v>
      </c>
      <c r="D54" s="334">
        <v>0</v>
      </c>
      <c r="E54" s="334">
        <v>171</v>
      </c>
      <c r="F54" s="334">
        <v>2209275</v>
      </c>
    </row>
    <row r="55" spans="1:6">
      <c r="A55" s="348" t="s">
        <v>46</v>
      </c>
      <c r="B55" s="348" t="s">
        <v>29</v>
      </c>
      <c r="C55" s="334">
        <v>0</v>
      </c>
      <c r="D55" s="334">
        <v>0</v>
      </c>
      <c r="E55" s="334">
        <v>0</v>
      </c>
      <c r="F55" s="334">
        <v>0</v>
      </c>
    </row>
    <row r="56" spans="1:6">
      <c r="A56" s="348" t="s">
        <v>48</v>
      </c>
      <c r="B56" s="348" t="s">
        <v>29</v>
      </c>
      <c r="C56" s="334">
        <v>0</v>
      </c>
      <c r="D56" s="334">
        <v>0</v>
      </c>
      <c r="E56" s="334">
        <v>234</v>
      </c>
      <c r="F56" s="334">
        <v>1329890</v>
      </c>
    </row>
    <row r="57" spans="1:6">
      <c r="A57" s="348" t="s">
        <v>49</v>
      </c>
      <c r="B57" s="348" t="s">
        <v>50</v>
      </c>
      <c r="C57" s="334">
        <v>108</v>
      </c>
      <c r="D57" s="334">
        <v>5278850.7751000002</v>
      </c>
      <c r="E57" s="334">
        <v>151</v>
      </c>
      <c r="F57" s="334">
        <v>2779415</v>
      </c>
    </row>
    <row r="58" spans="1:6">
      <c r="A58" s="348" t="s">
        <v>49</v>
      </c>
      <c r="B58" s="348" t="s">
        <v>51</v>
      </c>
      <c r="C58" s="334">
        <v>50</v>
      </c>
      <c r="D58" s="334">
        <v>2066812.0730999999</v>
      </c>
      <c r="E58" s="334">
        <v>68</v>
      </c>
      <c r="F58" s="334">
        <v>5088554</v>
      </c>
    </row>
    <row r="59" spans="1:6">
      <c r="A59" s="348" t="s">
        <v>49</v>
      </c>
      <c r="B59" s="348" t="s">
        <v>52</v>
      </c>
      <c r="C59" s="334">
        <v>202</v>
      </c>
      <c r="D59" s="334">
        <v>6672212.1890000002</v>
      </c>
      <c r="E59" s="334">
        <v>472</v>
      </c>
      <c r="F59" s="334">
        <v>15701589</v>
      </c>
    </row>
    <row r="60" spans="1:6">
      <c r="A60" s="348" t="s">
        <v>49</v>
      </c>
      <c r="B60" s="348" t="s">
        <v>53</v>
      </c>
      <c r="C60" s="334">
        <v>100</v>
      </c>
      <c r="D60" s="334">
        <v>3844435.6151999999</v>
      </c>
      <c r="E60" s="334">
        <v>124</v>
      </c>
      <c r="F60" s="334">
        <v>2795039</v>
      </c>
    </row>
    <row r="61" spans="1:6">
      <c r="A61" s="348" t="s">
        <v>49</v>
      </c>
      <c r="B61" s="348" t="s">
        <v>54</v>
      </c>
      <c r="C61" s="334">
        <v>241</v>
      </c>
      <c r="D61" s="334">
        <v>7671192.1941</v>
      </c>
      <c r="E61" s="334">
        <v>583</v>
      </c>
      <c r="F61" s="334">
        <v>7662692</v>
      </c>
    </row>
    <row r="62" spans="1:6">
      <c r="A62" s="348" t="s">
        <v>49</v>
      </c>
      <c r="B62" s="348" t="s">
        <v>55</v>
      </c>
      <c r="C62" s="334">
        <v>23</v>
      </c>
      <c r="D62" s="334">
        <v>4611895.9543000003</v>
      </c>
      <c r="E62" s="334">
        <v>24</v>
      </c>
      <c r="F62" s="334">
        <v>1080487</v>
      </c>
    </row>
    <row r="63" spans="1:6">
      <c r="A63" s="348" t="s">
        <v>49</v>
      </c>
      <c r="B63" s="348" t="s">
        <v>29</v>
      </c>
      <c r="C63" s="334">
        <v>104</v>
      </c>
      <c r="D63" s="334">
        <v>6202105.9307000004</v>
      </c>
      <c r="E63" s="334">
        <v>0</v>
      </c>
      <c r="F63" s="334">
        <v>0</v>
      </c>
    </row>
    <row r="64" spans="1:6">
      <c r="A64" s="348" t="s">
        <v>56</v>
      </c>
      <c r="B64" s="348" t="s">
        <v>57</v>
      </c>
      <c r="C64" s="334">
        <v>0</v>
      </c>
      <c r="D64" s="334">
        <v>0</v>
      </c>
      <c r="E64" s="334">
        <v>0</v>
      </c>
      <c r="F64" s="334">
        <v>0</v>
      </c>
    </row>
    <row r="65" spans="1:6">
      <c r="A65" s="348" t="s">
        <v>56</v>
      </c>
      <c r="B65" s="348" t="s">
        <v>29</v>
      </c>
      <c r="C65" s="334">
        <v>5</v>
      </c>
      <c r="D65" s="334">
        <v>229306.36955999999</v>
      </c>
      <c r="E65" s="334">
        <v>0</v>
      </c>
      <c r="F65" s="334">
        <v>0</v>
      </c>
    </row>
    <row r="66" spans="1:6">
      <c r="A66" s="348" t="s">
        <v>56</v>
      </c>
      <c r="B66" s="348" t="s">
        <v>58</v>
      </c>
      <c r="C66" s="334">
        <v>0</v>
      </c>
      <c r="D66" s="334">
        <v>0</v>
      </c>
      <c r="E66" s="334">
        <v>0</v>
      </c>
      <c r="F66" s="334">
        <v>0</v>
      </c>
    </row>
    <row r="67" spans="1:6">
      <c r="A67" s="355" t="s">
        <v>56</v>
      </c>
      <c r="B67" s="355" t="s">
        <v>59</v>
      </c>
      <c r="C67" s="334">
        <v>16</v>
      </c>
      <c r="D67" s="334">
        <v>2457781.0547000002</v>
      </c>
      <c r="E67" s="334">
        <v>0</v>
      </c>
      <c r="F67" s="334">
        <v>0</v>
      </c>
    </row>
    <row r="68" spans="1:6">
      <c r="A68" s="341" t="s">
        <v>56</v>
      </c>
      <c r="B68" s="341" t="s">
        <v>60</v>
      </c>
      <c r="C68" s="334">
        <v>11</v>
      </c>
      <c r="D68" s="334">
        <v>1204865.8622000001</v>
      </c>
      <c r="E68" s="334">
        <v>27</v>
      </c>
      <c r="F68" s="334">
        <v>653353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48224957</v>
      </c>
      <c r="E73" s="475">
        <v>47826191.951063886</v>
      </c>
    </row>
    <row r="74" spans="1:6">
      <c r="A74" s="348" t="s">
        <v>64</v>
      </c>
      <c r="B74" s="348" t="s">
        <v>667</v>
      </c>
      <c r="C74" s="1294" t="s">
        <v>669</v>
      </c>
      <c r="D74" s="475">
        <v>6611423.0781880105</v>
      </c>
      <c r="E74" s="475">
        <v>6593472.5585257467</v>
      </c>
    </row>
    <row r="75" spans="1:6">
      <c r="A75" s="348" t="s">
        <v>65</v>
      </c>
      <c r="B75" s="348" t="s">
        <v>666</v>
      </c>
      <c r="C75" s="1294" t="s">
        <v>670</v>
      </c>
      <c r="D75" s="475">
        <v>43801764</v>
      </c>
      <c r="E75" s="475">
        <v>43244483.073238611</v>
      </c>
    </row>
    <row r="76" spans="1:6">
      <c r="A76" s="348" t="s">
        <v>65</v>
      </c>
      <c r="B76" s="348" t="s">
        <v>667</v>
      </c>
      <c r="C76" s="1294" t="s">
        <v>671</v>
      </c>
      <c r="D76" s="475">
        <v>3826286.0781880105</v>
      </c>
      <c r="E76" s="475">
        <v>3803606.0859741108</v>
      </c>
    </row>
    <row r="77" spans="1:6">
      <c r="A77" s="348" t="s">
        <v>66</v>
      </c>
      <c r="B77" s="348" t="s">
        <v>666</v>
      </c>
      <c r="C77" s="1294" t="s">
        <v>672</v>
      </c>
      <c r="D77" s="475">
        <v>44023536</v>
      </c>
      <c r="E77" s="475">
        <v>47373994.179091685</v>
      </c>
    </row>
    <row r="78" spans="1:6">
      <c r="A78" s="341" t="s">
        <v>66</v>
      </c>
      <c r="B78" s="341" t="s">
        <v>667</v>
      </c>
      <c r="C78" s="341" t="s">
        <v>673</v>
      </c>
      <c r="D78" s="1295">
        <v>7738718</v>
      </c>
      <c r="E78" s="1295">
        <v>7890059.5638286248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181823.84362397899</v>
      </c>
      <c r="C83" s="475">
        <v>181823.84362397899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22224.526317281263</v>
      </c>
    </row>
    <row r="91" spans="1:6">
      <c r="A91" s="348" t="s">
        <v>68</v>
      </c>
      <c r="B91" s="334">
        <v>4653.143403059963</v>
      </c>
    </row>
    <row r="92" spans="1:6">
      <c r="A92" s="341" t="s">
        <v>69</v>
      </c>
      <c r="B92" s="342">
        <v>2915.0472940265972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3</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164121.84477305444</v>
      </c>
      <c r="C3" s="43" t="s">
        <v>170</v>
      </c>
      <c r="D3" s="43"/>
      <c r="E3" s="154"/>
      <c r="F3" s="43"/>
      <c r="G3" s="43"/>
      <c r="H3" s="43"/>
      <c r="I3" s="43"/>
      <c r="J3" s="43"/>
      <c r="K3" s="96"/>
    </row>
    <row r="4" spans="1:11">
      <c r="A4" s="383" t="s">
        <v>171</v>
      </c>
      <c r="B4" s="49">
        <f>IF(ISERROR('SEAP template'!B78+'SEAP template'!C78),0,'SEAP template'!B78+'SEAP template'!C78)</f>
        <v>33545.717014367823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891.88941176470587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0.18126297378372316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1274.127731092437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5361.4285714285716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2209.2750000000001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2209.2750000000001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0.18126297378372316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400.45975640603501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38627.1</v>
      </c>
      <c r="C5" s="17">
        <f>IF(ISERROR('Eigen informatie GS &amp; warmtenet'!B57),0,'Eigen informatie GS &amp; warmtenet'!B57)</f>
        <v>0</v>
      </c>
      <c r="D5" s="30">
        <f>(SUM(HH_hh_gas_kWh,HH_rest_gas_kWh)/1000)*0.902</f>
        <v>120980.65495626</v>
      </c>
      <c r="E5" s="17">
        <f>B46*B57</f>
        <v>7143.6068959433342</v>
      </c>
      <c r="F5" s="17">
        <f>B51*B62</f>
        <v>0</v>
      </c>
      <c r="G5" s="18"/>
      <c r="H5" s="17"/>
      <c r="I5" s="17"/>
      <c r="J5" s="17">
        <f>B50*B61+C50*C61</f>
        <v>0</v>
      </c>
      <c r="K5" s="17"/>
      <c r="L5" s="17"/>
      <c r="M5" s="17"/>
      <c r="N5" s="17">
        <f>B48*B59+C48*C59</f>
        <v>29061.640089301753</v>
      </c>
      <c r="O5" s="17">
        <f>B69*B70*B71</f>
        <v>504.95666666666671</v>
      </c>
      <c r="P5" s="17">
        <f>B77*B78*B79/1000-B77*B78*B79/1000/B80</f>
        <v>400.4</v>
      </c>
    </row>
    <row r="6" spans="1:16">
      <c r="A6" s="16" t="s">
        <v>624</v>
      </c>
      <c r="B6" s="788">
        <f>kWh_PV_kleiner_dan_10kW</f>
        <v>4653.143403059963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43280.243403059962</v>
      </c>
      <c r="C8" s="21">
        <f>C5</f>
        <v>0</v>
      </c>
      <c r="D8" s="21">
        <f>D5</f>
        <v>120980.65495626</v>
      </c>
      <c r="E8" s="21">
        <f>E5</f>
        <v>7143.6068959433342</v>
      </c>
      <c r="F8" s="21">
        <f>F5</f>
        <v>0</v>
      </c>
      <c r="G8" s="21"/>
      <c r="H8" s="21"/>
      <c r="I8" s="21"/>
      <c r="J8" s="21">
        <f>J5</f>
        <v>0</v>
      </c>
      <c r="K8" s="21"/>
      <c r="L8" s="21">
        <f>L5</f>
        <v>0</v>
      </c>
      <c r="M8" s="21">
        <f>M5</f>
        <v>0</v>
      </c>
      <c r="N8" s="21">
        <f>N5</f>
        <v>29061.640089301753</v>
      </c>
      <c r="O8" s="21">
        <f>O5</f>
        <v>504.95666666666671</v>
      </c>
      <c r="P8" s="21">
        <f>P5</f>
        <v>400.4</v>
      </c>
    </row>
    <row r="9" spans="1:16">
      <c r="B9" s="19"/>
      <c r="C9" s="19"/>
      <c r="D9" s="258"/>
      <c r="E9" s="19"/>
      <c r="F9" s="19"/>
      <c r="G9" s="19"/>
      <c r="H9" s="19"/>
      <c r="I9" s="19"/>
      <c r="J9" s="19"/>
      <c r="K9" s="19"/>
      <c r="L9" s="19"/>
      <c r="M9" s="19"/>
      <c r="N9" s="19"/>
      <c r="O9" s="19"/>
      <c r="P9" s="19"/>
    </row>
    <row r="10" spans="1:16">
      <c r="A10" s="24" t="s">
        <v>214</v>
      </c>
      <c r="B10" s="25">
        <f ca="1">'EF ele_warmte'!B12</f>
        <v>0.18126297378372316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7845.1056253220149</v>
      </c>
      <c r="C12" s="23">
        <f ca="1">C10*C8</f>
        <v>0</v>
      </c>
      <c r="D12" s="23">
        <f>D8*D10</f>
        <v>24438.092301164521</v>
      </c>
      <c r="E12" s="23">
        <f>E10*E8</f>
        <v>1621.5987653791369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11932</v>
      </c>
      <c r="C28" s="36"/>
      <c r="D28" s="228"/>
    </row>
    <row r="29" spans="1:7" s="15" customFormat="1">
      <c r="A29" s="230" t="s">
        <v>699</v>
      </c>
      <c r="B29" s="37">
        <f>SUM(HH_hh_gas_aantal,HH_rest_gas_aantal)</f>
        <v>9316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9316</v>
      </c>
      <c r="C32" s="167">
        <f>IF(ISERROR(B32/SUM($B$32,$B$34,$B$35,$B$36,$B$38,$B$39)*100),0,B32/SUM($B$32,$B$34,$B$35,$B$36,$B$38,$B$39)*100)</f>
        <v>78.213416169926958</v>
      </c>
      <c r="D32" s="233"/>
      <c r="G32" s="15"/>
    </row>
    <row r="33" spans="1:7">
      <c r="A33" s="171" t="s">
        <v>72</v>
      </c>
      <c r="B33" s="34" t="s">
        <v>111</v>
      </c>
      <c r="C33" s="167"/>
      <c r="D33" s="233"/>
      <c r="G33" s="15"/>
    </row>
    <row r="34" spans="1:7">
      <c r="A34" s="171" t="s">
        <v>73</v>
      </c>
      <c r="B34" s="33">
        <f>IF((($B$28-$B$32-$B$39-$B$77-$B$38)*C20/100)&lt;0,0,($B$28-$B$32-$B$39-$B$77-$B$38)*C20/100)</f>
        <v>315.83881578947364</v>
      </c>
      <c r="C34" s="167">
        <f>IF(ISERROR(B34/SUM($B$32,$B$34,$B$35,$B$36,$B$38,$B$39)*100),0,B34/SUM($B$32,$B$34,$B$35,$B$36,$B$38,$B$39)*100)</f>
        <v>2.6516565845812581</v>
      </c>
      <c r="D34" s="233"/>
      <c r="G34" s="15"/>
    </row>
    <row r="35" spans="1:7">
      <c r="A35" s="171" t="s">
        <v>74</v>
      </c>
      <c r="B35" s="33">
        <f>IF((($B$28-$B$32-$B$39-$B$77-$B$38)*C21/100)&lt;0,0,($B$28-$B$32-$B$39-$B$77-$B$38)*C21/100)</f>
        <v>1826.7434210526314</v>
      </c>
      <c r="C35" s="167">
        <f>IF(ISERROR(B35/SUM($B$32,$B$34,$B$35,$B$36,$B$38,$B$39)*100),0,B35/SUM($B$32,$B$34,$B$35,$B$36,$B$38,$B$39)*100)</f>
        <v>15.336608354064573</v>
      </c>
      <c r="D35" s="233"/>
      <c r="G35" s="15"/>
    </row>
    <row r="36" spans="1:7">
      <c r="A36" s="171" t="s">
        <v>75</v>
      </c>
      <c r="B36" s="33">
        <f>IF((($B$28-$B$32-$B$39-$B$77-$B$38)*C22/100)&lt;0,0,($B$28-$B$32-$B$39-$B$77-$B$38)*C22/100)</f>
        <v>452.41776315789468</v>
      </c>
      <c r="C36" s="167">
        <f>IF(ISERROR(B36/SUM($B$32,$B$34,$B$35,$B$36,$B$38,$B$39)*100),0,B36/SUM($B$32,$B$34,$B$35,$B$36,$B$38,$B$39)*100)</f>
        <v>3.7983188914272077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9316</v>
      </c>
      <c r="C44" s="34" t="s">
        <v>111</v>
      </c>
      <c r="D44" s="174"/>
    </row>
    <row r="45" spans="1:7">
      <c r="A45" s="171" t="s">
        <v>72</v>
      </c>
      <c r="B45" s="33" t="str">
        <f t="shared" si="0"/>
        <v>-</v>
      </c>
      <c r="C45" s="34" t="s">
        <v>111</v>
      </c>
      <c r="D45" s="174"/>
    </row>
    <row r="46" spans="1:7">
      <c r="A46" s="171" t="s">
        <v>73</v>
      </c>
      <c r="B46" s="33">
        <f t="shared" si="0"/>
        <v>315.83881578947364</v>
      </c>
      <c r="C46" s="34" t="s">
        <v>111</v>
      </c>
      <c r="D46" s="174"/>
    </row>
    <row r="47" spans="1:7">
      <c r="A47" s="171" t="s">
        <v>74</v>
      </c>
      <c r="B47" s="33">
        <f t="shared" si="0"/>
        <v>1826.7434210526314</v>
      </c>
      <c r="C47" s="34" t="s">
        <v>111</v>
      </c>
      <c r="D47" s="174"/>
    </row>
    <row r="48" spans="1:7">
      <c r="A48" s="171" t="s">
        <v>75</v>
      </c>
      <c r="B48" s="33">
        <f t="shared" si="0"/>
        <v>452.41776315789468</v>
      </c>
      <c r="C48" s="33">
        <f>B48*10</f>
        <v>4524.1776315789466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35107.775999999998</v>
      </c>
      <c r="C5" s="17">
        <f>IF(ISERROR('Eigen informatie GS &amp; warmtenet'!B58),0,'Eigen informatie GS &amp; warmtenet'!B58)</f>
        <v>0</v>
      </c>
      <c r="D5" s="30">
        <f>SUM(D6:D12)</f>
        <v>32785.449267813005</v>
      </c>
      <c r="E5" s="17">
        <f>SUM(E6:E12)</f>
        <v>695.11290521287253</v>
      </c>
      <c r="F5" s="17">
        <f>SUM(F6:F12)</f>
        <v>8407.766142529661</v>
      </c>
      <c r="G5" s="18"/>
      <c r="H5" s="17"/>
      <c r="I5" s="17"/>
      <c r="J5" s="17">
        <f>SUM(J6:J12)</f>
        <v>0</v>
      </c>
      <c r="K5" s="17"/>
      <c r="L5" s="17"/>
      <c r="M5" s="17"/>
      <c r="N5" s="17">
        <f>SUM(N6:N12)</f>
        <v>2279.1425415942517</v>
      </c>
      <c r="O5" s="17">
        <f>B38*B39*B40</f>
        <v>4.6900000000000004</v>
      </c>
      <c r="P5" s="17">
        <f>B46*B47*B48/1000-B46*B47*B48/1000/B49</f>
        <v>57.2</v>
      </c>
      <c r="R5" s="32"/>
    </row>
    <row r="6" spans="1:18">
      <c r="A6" s="32" t="s">
        <v>54</v>
      </c>
      <c r="B6" s="37">
        <f>B26</f>
        <v>7662.692</v>
      </c>
      <c r="C6" s="33"/>
      <c r="D6" s="37">
        <f>IF(ISERROR(TER_kantoor_gas_kWh/1000),0,TER_kantoor_gas_kWh/1000)*0.902</f>
        <v>6919.4153590781998</v>
      </c>
      <c r="E6" s="33">
        <f>$C$26*'E Balans VL '!I12/100/3.6*1000000</f>
        <v>100.31407734784119</v>
      </c>
      <c r="F6" s="33">
        <f>$C$26*('E Balans VL '!L12+'E Balans VL '!N12)/100/3.6*1000000</f>
        <v>1953.9072766987563</v>
      </c>
      <c r="G6" s="34"/>
      <c r="H6" s="33"/>
      <c r="I6" s="33"/>
      <c r="J6" s="33">
        <f>$C$26*('E Balans VL '!D12+'E Balans VL '!E12)/100/3.6*1000000</f>
        <v>0</v>
      </c>
      <c r="K6" s="33"/>
      <c r="L6" s="33"/>
      <c r="M6" s="33"/>
      <c r="N6" s="33">
        <f>$C$26*'E Balans VL '!Y12/100/3.6*1000000</f>
        <v>7.6884957048746898</v>
      </c>
      <c r="O6" s="33"/>
      <c r="P6" s="33"/>
      <c r="R6" s="32"/>
    </row>
    <row r="7" spans="1:18">
      <c r="A7" s="32" t="s">
        <v>53</v>
      </c>
      <c r="B7" s="37">
        <f t="shared" ref="B7:B12" si="0">B27</f>
        <v>2795.0390000000002</v>
      </c>
      <c r="C7" s="33"/>
      <c r="D7" s="37">
        <f>IF(ISERROR(TER_horeca_gas_kWh/1000),0,TER_horeca_gas_kWh/1000)*0.902</f>
        <v>3467.6809249104003</v>
      </c>
      <c r="E7" s="33">
        <f>$C$27*'E Balans VL '!I9/100/3.6*1000000</f>
        <v>92.498789248099399</v>
      </c>
      <c r="F7" s="33">
        <f>$C$27*('E Balans VL '!L9+'E Balans VL '!N9)/100/3.6*1000000</f>
        <v>1201.8560581130398</v>
      </c>
      <c r="G7" s="34"/>
      <c r="H7" s="33"/>
      <c r="I7" s="33"/>
      <c r="J7" s="33">
        <f>$C$27*('E Balans VL '!D9+'E Balans VL '!E9)/100/3.6*1000000</f>
        <v>0</v>
      </c>
      <c r="K7" s="33"/>
      <c r="L7" s="33"/>
      <c r="M7" s="33"/>
      <c r="N7" s="33">
        <f>$C$27*'E Balans VL '!Y9/100/3.6*1000000</f>
        <v>0.67280647572048902</v>
      </c>
      <c r="O7" s="33"/>
      <c r="P7" s="33"/>
      <c r="R7" s="32"/>
    </row>
    <row r="8" spans="1:18">
      <c r="A8" s="6" t="s">
        <v>52</v>
      </c>
      <c r="B8" s="37">
        <f t="shared" si="0"/>
        <v>15701.589</v>
      </c>
      <c r="C8" s="33"/>
      <c r="D8" s="37">
        <f>IF(ISERROR(TER_handel_gas_kWh/1000),0,TER_handel_gas_kWh/1000)*0.902</f>
        <v>6018.3353944780001</v>
      </c>
      <c r="E8" s="33">
        <f>$C$28*'E Balans VL '!I13/100/3.6*1000000</f>
        <v>495.56614015385253</v>
      </c>
      <c r="F8" s="33">
        <f>$C$28*('E Balans VL '!L13+'E Balans VL '!N13)/100/3.6*1000000</f>
        <v>3079.3580907164041</v>
      </c>
      <c r="G8" s="34"/>
      <c r="H8" s="33"/>
      <c r="I8" s="33"/>
      <c r="J8" s="33">
        <f>$C$28*('E Balans VL '!D13+'E Balans VL '!E13)/100/3.6*1000000</f>
        <v>0</v>
      </c>
      <c r="K8" s="33"/>
      <c r="L8" s="33"/>
      <c r="M8" s="33"/>
      <c r="N8" s="33">
        <f>$C$28*'E Balans VL '!Y13/100/3.6*1000000</f>
        <v>18.634737716919549</v>
      </c>
      <c r="O8" s="33"/>
      <c r="P8" s="33"/>
      <c r="R8" s="32"/>
    </row>
    <row r="9" spans="1:18">
      <c r="A9" s="32" t="s">
        <v>51</v>
      </c>
      <c r="B9" s="37">
        <f t="shared" si="0"/>
        <v>5088.5540000000001</v>
      </c>
      <c r="C9" s="33"/>
      <c r="D9" s="37">
        <f>IF(ISERROR(TER_gezond_gas_kWh/1000),0,TER_gezond_gas_kWh/1000)*0.902</f>
        <v>1864.2644899361999</v>
      </c>
      <c r="E9" s="33">
        <f>$C$29*'E Balans VL '!I10/100/3.6*1000000</f>
        <v>0.65148377434429361</v>
      </c>
      <c r="F9" s="33">
        <f>$C$29*('E Balans VL '!L10+'E Balans VL '!N10)/100/3.6*1000000</f>
        <v>1060.1590790439179</v>
      </c>
      <c r="G9" s="34"/>
      <c r="H9" s="33"/>
      <c r="I9" s="33"/>
      <c r="J9" s="33">
        <f>$C$29*('E Balans VL '!D10+'E Balans VL '!E10)/100/3.6*1000000</f>
        <v>0</v>
      </c>
      <c r="K9" s="33"/>
      <c r="L9" s="33"/>
      <c r="M9" s="33"/>
      <c r="N9" s="33">
        <f>$C$29*'E Balans VL '!Y10/100/3.6*1000000</f>
        <v>59.767471896817632</v>
      </c>
      <c r="O9" s="33"/>
      <c r="P9" s="33"/>
      <c r="R9" s="32"/>
    </row>
    <row r="10" spans="1:18">
      <c r="A10" s="32" t="s">
        <v>50</v>
      </c>
      <c r="B10" s="37">
        <f t="shared" si="0"/>
        <v>2779.415</v>
      </c>
      <c r="C10" s="33"/>
      <c r="D10" s="37">
        <f>IF(ISERROR(TER_ander_gas_kWh/1000),0,TER_ander_gas_kWh/1000)*0.902</f>
        <v>4761.523399140201</v>
      </c>
      <c r="E10" s="33">
        <f>$C$30*'E Balans VL '!I14/100/3.6*1000000</f>
        <v>4.1795865372374497</v>
      </c>
      <c r="F10" s="33">
        <f>$C$30*('E Balans VL '!L14+'E Balans VL '!N14)/100/3.6*1000000</f>
        <v>613.60523867761378</v>
      </c>
      <c r="G10" s="34"/>
      <c r="H10" s="33"/>
      <c r="I10" s="33"/>
      <c r="J10" s="33">
        <f>$C$30*('E Balans VL '!D14+'E Balans VL '!E14)/100/3.6*1000000</f>
        <v>0</v>
      </c>
      <c r="K10" s="33"/>
      <c r="L10" s="33"/>
      <c r="M10" s="33"/>
      <c r="N10" s="33">
        <f>$C$30*'E Balans VL '!Y14/100/3.6*1000000</f>
        <v>2190.3660675771039</v>
      </c>
      <c r="O10" s="33"/>
      <c r="P10" s="33"/>
      <c r="R10" s="32"/>
    </row>
    <row r="11" spans="1:18">
      <c r="A11" s="32" t="s">
        <v>55</v>
      </c>
      <c r="B11" s="37">
        <f t="shared" si="0"/>
        <v>1080.4870000000001</v>
      </c>
      <c r="C11" s="33"/>
      <c r="D11" s="37">
        <f>IF(ISERROR(TER_onderwijs_gas_kWh/1000),0,TER_onderwijs_gas_kWh/1000)*0.902</f>
        <v>4159.9301507786004</v>
      </c>
      <c r="E11" s="33">
        <f>$C$31*'E Balans VL '!I11/100/3.6*1000000</f>
        <v>1.9028281514976204</v>
      </c>
      <c r="F11" s="33">
        <f>$C$31*('E Balans VL '!L11+'E Balans VL '!N11)/100/3.6*1000000</f>
        <v>498.8803992799285</v>
      </c>
      <c r="G11" s="34"/>
      <c r="H11" s="33"/>
      <c r="I11" s="33"/>
      <c r="J11" s="33">
        <f>$C$31*('E Balans VL '!D11+'E Balans VL '!E11)/100/3.6*1000000</f>
        <v>0</v>
      </c>
      <c r="K11" s="33"/>
      <c r="L11" s="33"/>
      <c r="M11" s="33"/>
      <c r="N11" s="33">
        <f>$C$31*'E Balans VL '!Y11/100/3.6*1000000</f>
        <v>2.0129622228156228</v>
      </c>
      <c r="O11" s="33"/>
      <c r="P11" s="33"/>
      <c r="R11" s="32"/>
    </row>
    <row r="12" spans="1:18">
      <c r="A12" s="32" t="s">
        <v>260</v>
      </c>
      <c r="B12" s="37">
        <f t="shared" si="0"/>
        <v>0</v>
      </c>
      <c r="C12" s="33"/>
      <c r="D12" s="37">
        <f>IF(ISERROR(TER_rest_gas_kWh/1000),0,TER_rest_gas_kWh/1000)*0.902</f>
        <v>5594.2995494914003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35107.775999999998</v>
      </c>
      <c r="C16" s="21">
        <f t="shared" ca="1" si="1"/>
        <v>0</v>
      </c>
      <c r="D16" s="21">
        <f t="shared" ca="1" si="1"/>
        <v>32785.449267813005</v>
      </c>
      <c r="E16" s="21">
        <f t="shared" si="1"/>
        <v>695.11290521287253</v>
      </c>
      <c r="F16" s="21">
        <f t="shared" ca="1" si="1"/>
        <v>8407.766142529661</v>
      </c>
      <c r="G16" s="21">
        <f t="shared" si="1"/>
        <v>0</v>
      </c>
      <c r="H16" s="21">
        <f t="shared" si="1"/>
        <v>0</v>
      </c>
      <c r="I16" s="21">
        <f t="shared" si="1"/>
        <v>0</v>
      </c>
      <c r="J16" s="21">
        <f t="shared" si="1"/>
        <v>0</v>
      </c>
      <c r="K16" s="21">
        <f t="shared" si="1"/>
        <v>0</v>
      </c>
      <c r="L16" s="21">
        <f t="shared" ca="1" si="1"/>
        <v>0</v>
      </c>
      <c r="M16" s="21">
        <f t="shared" si="1"/>
        <v>0</v>
      </c>
      <c r="N16" s="21">
        <f t="shared" ca="1" si="1"/>
        <v>2279.1425415942517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0.18126297378372316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6363.739880692825</v>
      </c>
      <c r="C20" s="23">
        <f t="shared" ref="C20:P20" ca="1" si="2">C16*C18</f>
        <v>0</v>
      </c>
      <c r="D20" s="23">
        <f t="shared" ca="1" si="2"/>
        <v>6622.660752098227</v>
      </c>
      <c r="E20" s="23">
        <f t="shared" si="2"/>
        <v>157.79062948332208</v>
      </c>
      <c r="F20" s="23">
        <f t="shared" ca="1" si="2"/>
        <v>2244.8735600554196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7662.692</v>
      </c>
      <c r="C26" s="39">
        <f>IF(ISERROR(B26*3.6/1000000/'E Balans VL '!Z12*100),0,B26*3.6/1000000/'E Balans VL '!Z12*100)</f>
        <v>0.16414081555361115</v>
      </c>
      <c r="D26" s="237" t="s">
        <v>660</v>
      </c>
      <c r="F26" s="6"/>
    </row>
    <row r="27" spans="1:18">
      <c r="A27" s="231" t="s">
        <v>53</v>
      </c>
      <c r="B27" s="33">
        <f>IF(ISERROR(TER_horeca_ele_kWh/1000),0,TER_horeca_ele_kWh/1000)</f>
        <v>2795.0390000000002</v>
      </c>
      <c r="C27" s="39">
        <f>IF(ISERROR(B27*3.6/1000000/'E Balans VL '!Z9*100),0,B27*3.6/1000000/'E Balans VL '!Z9*100)</f>
        <v>0.22429216429360327</v>
      </c>
      <c r="D27" s="237" t="s">
        <v>660</v>
      </c>
      <c r="F27" s="6"/>
    </row>
    <row r="28" spans="1:18">
      <c r="A28" s="171" t="s">
        <v>52</v>
      </c>
      <c r="B28" s="33">
        <f>IF(ISERROR(TER_handel_ele_kWh/1000),0,TER_handel_ele_kWh/1000)</f>
        <v>15701.589</v>
      </c>
      <c r="C28" s="39">
        <f>IF(ISERROR(B28*3.6/1000000/'E Balans VL '!Z13*100),0,B28*3.6/1000000/'E Balans VL '!Z13*100)</f>
        <v>0.46310681477772636</v>
      </c>
      <c r="D28" s="237" t="s">
        <v>660</v>
      </c>
      <c r="F28" s="6"/>
    </row>
    <row r="29" spans="1:18">
      <c r="A29" s="231" t="s">
        <v>51</v>
      </c>
      <c r="B29" s="33">
        <f>IF(ISERROR(TER_gezond_ele_kWh/1000),0,TER_gezond_ele_kWh/1000)</f>
        <v>5088.5540000000001</v>
      </c>
      <c r="C29" s="39">
        <f>IF(ISERROR(B29*3.6/1000000/'E Balans VL '!Z10*100),0,B29*3.6/1000000/'E Balans VL '!Z10*100)</f>
        <v>0.54332113795120529</v>
      </c>
      <c r="D29" s="237" t="s">
        <v>660</v>
      </c>
      <c r="F29" s="6"/>
    </row>
    <row r="30" spans="1:18">
      <c r="A30" s="231" t="s">
        <v>50</v>
      </c>
      <c r="B30" s="33">
        <f>IF(ISERROR(TER_ander_ele_kWh/1000),0,TER_ander_ele_kWh/1000)</f>
        <v>2779.415</v>
      </c>
      <c r="C30" s="39">
        <f>IF(ISERROR(B30*3.6/1000000/'E Balans VL '!Z14*100),0,B30*3.6/1000000/'E Balans VL '!Z14*100)</f>
        <v>0.20994012927245753</v>
      </c>
      <c r="D30" s="237" t="s">
        <v>660</v>
      </c>
      <c r="F30" s="6"/>
    </row>
    <row r="31" spans="1:18">
      <c r="A31" s="231" t="s">
        <v>55</v>
      </c>
      <c r="B31" s="33">
        <f>IF(ISERROR(TER_onderwijs_ele_kWh/1000),0,TER_onderwijs_ele_kWh/1000)</f>
        <v>1080.4870000000001</v>
      </c>
      <c r="C31" s="39">
        <f>IF(ISERROR(B31*3.6/1000000/'E Balans VL '!Z11*100),0,B31*3.6/1000000/'E Balans VL '!Z11*100)</f>
        <v>0.21818639474257637</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80174.930999999997</v>
      </c>
      <c r="C5" s="17">
        <f>IF(ISERROR('Eigen informatie GS &amp; warmtenet'!B59),0,'Eigen informatie GS &amp; warmtenet'!B59)</f>
        <v>0</v>
      </c>
      <c r="D5" s="30">
        <f>SUM(D6:D15)</f>
        <v>41697.885593907398</v>
      </c>
      <c r="E5" s="17">
        <f>SUM(E6:E15)</f>
        <v>5769.9928627019772</v>
      </c>
      <c r="F5" s="17">
        <f>SUM(F6:F15)</f>
        <v>30536.497307199879</v>
      </c>
      <c r="G5" s="18"/>
      <c r="H5" s="17"/>
      <c r="I5" s="17"/>
      <c r="J5" s="17">
        <f>SUM(J6:J15)</f>
        <v>23.053619594453249</v>
      </c>
      <c r="K5" s="17"/>
      <c r="L5" s="17"/>
      <c r="M5" s="17"/>
      <c r="N5" s="17">
        <f>SUM(N6:N15)</f>
        <v>21877.200479770476</v>
      </c>
      <c r="O5" s="17">
        <f>B43*B44*B45</f>
        <v>0</v>
      </c>
      <c r="P5" s="17">
        <f>B51*B52*B53/1000-B51*B52*B53/1000/B54</f>
        <v>0</v>
      </c>
      <c r="R5" s="32"/>
    </row>
    <row r="6" spans="1:18">
      <c r="A6" s="6" t="s">
        <v>35</v>
      </c>
      <c r="B6" s="37">
        <f>IF( ISERROR(IND_ijzer_ele_kWh/1000),0,IND_ijzer_ele_kWh/1000)</f>
        <v>191.74100000000001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15884.263000000001</v>
      </c>
      <c r="C8" s="33"/>
      <c r="D8" s="37">
        <f>IF( ISERROR(IND_metaal_Gas_kWH/1000),0,IND_metaal_Gas_kWH/1000)*0.902</f>
        <v>386.11057706143998</v>
      </c>
      <c r="E8" s="33">
        <f>C30*'E Balans VL '!I18/100/3.6*1000000</f>
        <v>571.56383589300242</v>
      </c>
      <c r="F8" s="33">
        <f>C30*'E Balans VL '!L18/100/3.6*1000000+C30*'E Balans VL '!N18/100/3.6*1000000</f>
        <v>6936.1427396928984</v>
      </c>
      <c r="G8" s="34"/>
      <c r="H8" s="33"/>
      <c r="I8" s="33"/>
      <c r="J8" s="40">
        <f>C30*'E Balans VL '!D18/100/3.6*1000000+C30*'E Balans VL '!E18/100/3.6*1000000</f>
        <v>0</v>
      </c>
      <c r="K8" s="33"/>
      <c r="L8" s="33"/>
      <c r="M8" s="33"/>
      <c r="N8" s="33">
        <f>C30*'E Balans VL '!Y18/100/3.6*1000000</f>
        <v>796.10846705951053</v>
      </c>
      <c r="O8" s="33"/>
      <c r="P8" s="33"/>
      <c r="R8" s="32"/>
    </row>
    <row r="9" spans="1:18">
      <c r="A9" s="6" t="s">
        <v>33</v>
      </c>
      <c r="B9" s="37">
        <f t="shared" si="0"/>
        <v>16174.477000000001</v>
      </c>
      <c r="C9" s="33"/>
      <c r="D9" s="37">
        <f>IF( ISERROR(IND_andere_gas_kWh/1000),0,IND_andere_gas_kWh/1000)*0.902</f>
        <v>8000.4395925981999</v>
      </c>
      <c r="E9" s="33">
        <f>C31*'E Balans VL '!I19/100/3.6*1000000</f>
        <v>4127.3605726077785</v>
      </c>
      <c r="F9" s="33">
        <f>C31*'E Balans VL '!L19/100/3.6*1000000+C31*'E Balans VL '!N19/100/3.6*1000000</f>
        <v>13925.008976045508</v>
      </c>
      <c r="G9" s="34"/>
      <c r="H9" s="33"/>
      <c r="I9" s="33"/>
      <c r="J9" s="40">
        <f>C31*'E Balans VL '!D19/100/3.6*1000000+C31*'E Balans VL '!E19/100/3.6*1000000</f>
        <v>0</v>
      </c>
      <c r="K9" s="33"/>
      <c r="L9" s="33"/>
      <c r="M9" s="33"/>
      <c r="N9" s="33">
        <f>C31*'E Balans VL '!Y19/100/3.6*1000000</f>
        <v>5058.3128758867315</v>
      </c>
      <c r="O9" s="33"/>
      <c r="P9" s="33"/>
      <c r="R9" s="32"/>
    </row>
    <row r="10" spans="1:18">
      <c r="A10" s="6" t="s">
        <v>41</v>
      </c>
      <c r="B10" s="37">
        <f t="shared" si="0"/>
        <v>41039.667000000001</v>
      </c>
      <c r="C10" s="33"/>
      <c r="D10" s="37">
        <f>IF( ISERROR(IND_voed_gas_kWh/1000),0,IND_voed_gas_kWh/1000)*0.902</f>
        <v>1938.3344488683999</v>
      </c>
      <c r="E10" s="33">
        <f>C32*'E Balans VL '!I20/100/3.6*1000000</f>
        <v>1043.284687220749</v>
      </c>
      <c r="F10" s="33">
        <f>C32*'E Balans VL '!L20/100/3.6*1000000+C32*'E Balans VL '!N20/100/3.6*1000000</f>
        <v>9286.6605835694081</v>
      </c>
      <c r="G10" s="34"/>
      <c r="H10" s="33"/>
      <c r="I10" s="33"/>
      <c r="J10" s="40">
        <f>C32*'E Balans VL '!D20/100/3.6*1000000+C32*'E Balans VL '!E20/100/3.6*1000000</f>
        <v>0</v>
      </c>
      <c r="K10" s="33"/>
      <c r="L10" s="33"/>
      <c r="M10" s="33"/>
      <c r="N10" s="33">
        <f>C32*'E Balans VL '!Y20/100/3.6*1000000</f>
        <v>15390.987548929743</v>
      </c>
      <c r="O10" s="33"/>
      <c r="P10" s="33"/>
      <c r="R10" s="32"/>
    </row>
    <row r="11" spans="1:18">
      <c r="A11" s="6" t="s">
        <v>40</v>
      </c>
      <c r="B11" s="37">
        <f t="shared" si="0"/>
        <v>5699.2489999999998</v>
      </c>
      <c r="C11" s="33"/>
      <c r="D11" s="37">
        <f>IF( ISERROR(IND_textiel_gas_kWh/1000),0,IND_textiel_gas_kWh/1000)*0.902</f>
        <v>0</v>
      </c>
      <c r="E11" s="33">
        <f>C33*'E Balans VL '!I21/100/3.6*1000000</f>
        <v>15.645971163284997</v>
      </c>
      <c r="F11" s="33">
        <f>C33*'E Balans VL '!L21/100/3.6*1000000+C33*'E Balans VL '!N21/100/3.6*1000000</f>
        <v>302.15043014889983</v>
      </c>
      <c r="G11" s="34"/>
      <c r="H11" s="33"/>
      <c r="I11" s="33"/>
      <c r="J11" s="40">
        <f>C33*'E Balans VL '!D21/100/3.6*1000000+C33*'E Balans VL '!E21/100/3.6*1000000</f>
        <v>0</v>
      </c>
      <c r="K11" s="33"/>
      <c r="L11" s="33"/>
      <c r="M11" s="33"/>
      <c r="N11" s="33">
        <f>C33*'E Balans VL '!Y21/100/3.6*1000000</f>
        <v>11.454547363421774</v>
      </c>
      <c r="O11" s="33"/>
      <c r="P11" s="33"/>
      <c r="R11" s="32"/>
    </row>
    <row r="12" spans="1:18">
      <c r="A12" s="6" t="s">
        <v>37</v>
      </c>
      <c r="B12" s="37">
        <f t="shared" si="0"/>
        <v>459.38400000000001</v>
      </c>
      <c r="C12" s="33"/>
      <c r="D12" s="37">
        <f>IF( ISERROR(IND_min_gas_kWh/1000),0,IND_min_gas_kWh/1000)*0.902</f>
        <v>33.53365964652</v>
      </c>
      <c r="E12" s="33">
        <f>C34*'E Balans VL '!I22/100/3.6*1000000</f>
        <v>9.7607586816139964</v>
      </c>
      <c r="F12" s="33">
        <f>C34*'E Balans VL '!L22/100/3.6*1000000+C34*'E Balans VL '!N22/100/3.6*1000000</f>
        <v>74.952414515750391</v>
      </c>
      <c r="G12" s="34"/>
      <c r="H12" s="33"/>
      <c r="I12" s="33"/>
      <c r="J12" s="40">
        <f>C34*'E Balans VL '!D22/100/3.6*1000000+C34*'E Balans VL '!E22/100/3.6*1000000</f>
        <v>0.53522522995006183</v>
      </c>
      <c r="K12" s="33"/>
      <c r="L12" s="33"/>
      <c r="M12" s="33"/>
      <c r="N12" s="33">
        <f>C34*'E Balans VL '!Y22/100/3.6*1000000</f>
        <v>0</v>
      </c>
      <c r="O12" s="33"/>
      <c r="P12" s="33"/>
      <c r="R12" s="32"/>
    </row>
    <row r="13" spans="1:18">
      <c r="A13" s="6" t="s">
        <v>39</v>
      </c>
      <c r="B13" s="37">
        <f t="shared" si="0"/>
        <v>336.37400000000002</v>
      </c>
      <c r="C13" s="33"/>
      <c r="D13" s="37">
        <f>IF( ISERROR(IND_papier_gas_kWh/1000),0,IND_papier_gas_kWh/1000)*0.902</f>
        <v>339.19585020683996</v>
      </c>
      <c r="E13" s="33">
        <f>C35*'E Balans VL '!I23/100/3.6*1000000</f>
        <v>1.4426102288214688</v>
      </c>
      <c r="F13" s="33">
        <f>C35*'E Balans VL '!L23/100/3.6*1000000+C35*'E Balans VL '!N23/100/3.6*1000000</f>
        <v>8.4541226584324694</v>
      </c>
      <c r="G13" s="34"/>
      <c r="H13" s="33"/>
      <c r="I13" s="33"/>
      <c r="J13" s="40">
        <f>C35*'E Balans VL '!D23/100/3.6*1000000+C35*'E Balans VL '!E23/100/3.6*1000000</f>
        <v>22.518394364503187</v>
      </c>
      <c r="K13" s="33"/>
      <c r="L13" s="33"/>
      <c r="M13" s="33"/>
      <c r="N13" s="33">
        <f>C35*'E Balans VL '!Y23/100/3.6*1000000</f>
        <v>612.28067278911419</v>
      </c>
      <c r="O13" s="33"/>
      <c r="P13" s="33"/>
      <c r="R13" s="32"/>
    </row>
    <row r="14" spans="1:18">
      <c r="A14" s="6" t="s">
        <v>34</v>
      </c>
      <c r="B14" s="37">
        <f t="shared" si="0"/>
        <v>389.77600000000001</v>
      </c>
      <c r="C14" s="33"/>
      <c r="D14" s="37">
        <f>IF( ISERROR(IND_chemie_gas_kWh/1000),0,IND_chemie_gas_kWh/1000)*0.902</f>
        <v>0</v>
      </c>
      <c r="E14" s="33">
        <f>C36*'E Balans VL '!I24/100/3.6*1000000</f>
        <v>0.93442690672637063</v>
      </c>
      <c r="F14" s="33">
        <f>C36*'E Balans VL '!L24/100/3.6*1000000+C36*'E Balans VL '!N24/100/3.6*1000000</f>
        <v>3.1280405689795665</v>
      </c>
      <c r="G14" s="34"/>
      <c r="H14" s="33"/>
      <c r="I14" s="33"/>
      <c r="J14" s="40">
        <f>C36*'E Balans VL '!D24/100/3.6*1000000+C36*'E Balans VL '!E24/100/3.6*1000000</f>
        <v>0</v>
      </c>
      <c r="K14" s="33"/>
      <c r="L14" s="33"/>
      <c r="M14" s="33"/>
      <c r="N14" s="33">
        <f>C36*'E Balans VL '!Y24/100/3.6*1000000</f>
        <v>8.0563677419551265</v>
      </c>
      <c r="O14" s="33"/>
      <c r="P14" s="33"/>
      <c r="R14" s="32"/>
    </row>
    <row r="15" spans="1:18">
      <c r="A15" s="6" t="s">
        <v>270</v>
      </c>
      <c r="B15" s="37">
        <f t="shared" si="0"/>
        <v>0</v>
      </c>
      <c r="C15" s="33"/>
      <c r="D15" s="37">
        <f>IF( ISERROR(IND_rest_gas_kWh/1000),0,IND_rest_gas_kWh/1000)*0.902</f>
        <v>31000.271465526002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80174.930999999997</v>
      </c>
      <c r="C18" s="21">
        <f>C5+C16</f>
        <v>0</v>
      </c>
      <c r="D18" s="21">
        <f>MAX((D5+D16),0)</f>
        <v>41697.885593907398</v>
      </c>
      <c r="E18" s="21">
        <f>MAX((E5+E16),0)</f>
        <v>5769.9928627019772</v>
      </c>
      <c r="F18" s="21">
        <f>MAX((F5+F16),0)</f>
        <v>30536.497307199879</v>
      </c>
      <c r="G18" s="21"/>
      <c r="H18" s="21"/>
      <c r="I18" s="21"/>
      <c r="J18" s="21">
        <f>MAX((J5+J16),0)</f>
        <v>23.053619594453249</v>
      </c>
      <c r="K18" s="21"/>
      <c r="L18" s="21">
        <f>MAX((L5+L16),0)</f>
        <v>0</v>
      </c>
      <c r="M18" s="21"/>
      <c r="N18" s="21">
        <f>MAX((N5+N16),0)</f>
        <v>21877.200479770476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0.18126297378372316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14532.746415964813</v>
      </c>
      <c r="C22" s="23">
        <f ca="1">C18*C20</f>
        <v>0</v>
      </c>
      <c r="D22" s="23">
        <f>D18*D20</f>
        <v>8422.9728899692946</v>
      </c>
      <c r="E22" s="23">
        <f>E18*E20</f>
        <v>1309.7883798333489</v>
      </c>
      <c r="F22" s="23">
        <f>F18*F20</f>
        <v>8153.2447810223684</v>
      </c>
      <c r="G22" s="23"/>
      <c r="H22" s="23"/>
      <c r="I22" s="23"/>
      <c r="J22" s="23">
        <f>J18*J20</f>
        <v>8.1609813364364499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15884.263000000001</v>
      </c>
      <c r="C30" s="39">
        <f>IF(ISERROR(B30*3.6/1000000/'E Balans VL '!Z18*100),0,B30*3.6/1000000/'E Balans VL '!Z18*100)</f>
        <v>3.3655347800766502</v>
      </c>
      <c r="D30" s="237" t="s">
        <v>660</v>
      </c>
    </row>
    <row r="31" spans="1:18">
      <c r="A31" s="6" t="s">
        <v>33</v>
      </c>
      <c r="B31" s="37">
        <f>IF( ISERROR(IND_ander_ele_kWh/1000),0,IND_ander_ele_kWh/1000)</f>
        <v>16174.477000000001</v>
      </c>
      <c r="C31" s="39">
        <f>IF(ISERROR(B31*3.6/1000000/'E Balans VL '!Z19*100),0,B31*3.6/1000000/'E Balans VL '!Z19*100)</f>
        <v>0.68082046375102012</v>
      </c>
      <c r="D31" s="237" t="s">
        <v>660</v>
      </c>
    </row>
    <row r="32" spans="1:18">
      <c r="A32" s="171" t="s">
        <v>41</v>
      </c>
      <c r="B32" s="37">
        <f>IF( ISERROR(IND_voed_ele_kWh/1000),0,IND_voed_ele_kWh/1000)</f>
        <v>41039.667000000001</v>
      </c>
      <c r="C32" s="39">
        <f>IF(ISERROR(B32*3.6/1000000/'E Balans VL '!Z20*100),0,B32*3.6/1000000/'E Balans VL '!Z20*100)</f>
        <v>6.8561407042469034</v>
      </c>
      <c r="D32" s="237" t="s">
        <v>660</v>
      </c>
    </row>
    <row r="33" spans="1:5">
      <c r="A33" s="171" t="s">
        <v>40</v>
      </c>
      <c r="B33" s="37">
        <f>IF( ISERROR(IND_textiel_ele_kWh/1000),0,IND_textiel_ele_kWh/1000)</f>
        <v>5699.2489999999998</v>
      </c>
      <c r="C33" s="39">
        <f>IF(ISERROR(B33*3.6/1000000/'E Balans VL '!Z21*100),0,B33*3.6/1000000/'E Balans VL '!Z21*100)</f>
        <v>0.33273921171886051</v>
      </c>
      <c r="D33" s="237" t="s">
        <v>660</v>
      </c>
    </row>
    <row r="34" spans="1:5">
      <c r="A34" s="171" t="s">
        <v>37</v>
      </c>
      <c r="B34" s="37">
        <f>IF( ISERROR(IND_min_ele_kWh/1000),0,IND_min_ele_kWh/1000)</f>
        <v>459.38400000000001</v>
      </c>
      <c r="C34" s="39">
        <f>IF(ISERROR(B34*3.6/1000000/'E Balans VL '!Z22*100),0,B34*3.6/1000000/'E Balans VL '!Z22*100)</f>
        <v>5.8229399450594937E-2</v>
      </c>
      <c r="D34" s="237" t="s">
        <v>660</v>
      </c>
    </row>
    <row r="35" spans="1:5">
      <c r="A35" s="171" t="s">
        <v>39</v>
      </c>
      <c r="B35" s="37">
        <f>IF( ISERROR(IND_papier_ele_kWh/1000),0,IND_papier_ele_kWh/1000)</f>
        <v>336.37400000000002</v>
      </c>
      <c r="C35" s="39">
        <f>IF(ISERROR(B35*3.6/1000000/'E Balans VL '!Z22*100),0,B35*3.6/1000000/'E Balans VL '!Z22*100)</f>
        <v>4.263721855962424E-2</v>
      </c>
      <c r="D35" s="237" t="s">
        <v>660</v>
      </c>
    </row>
    <row r="36" spans="1:5">
      <c r="A36" s="171" t="s">
        <v>34</v>
      </c>
      <c r="B36" s="37">
        <f>IF( ISERROR(IND_chemie_ele_kWh/1000),0,IND_chemie_ele_kWh/1000)</f>
        <v>389.77600000000001</v>
      </c>
      <c r="C36" s="39">
        <f>IF(ISERROR(B36*3.6/1000000/'E Balans VL '!Z24*100),0,B36*3.6/1000000/'E Balans VL '!Z24*100)</f>
        <v>1.2659937049386583E-2</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1987.848</v>
      </c>
      <c r="C5" s="17">
        <f>'Eigen informatie GS &amp; warmtenet'!B60</f>
        <v>0</v>
      </c>
      <c r="D5" s="30">
        <f>IF(ISERROR(SUM(LB_lb_gas_kWh,LB_rest_gas_kWh)/1000),0,SUM(LB_lb_gas_kWh,LB_rest_gas_kWh)/1000)*0.902</f>
        <v>7367.2647745099039</v>
      </c>
      <c r="E5" s="17">
        <f>B17*'E Balans VL '!I25/3.6*1000000/100</f>
        <v>51.258967466104302</v>
      </c>
      <c r="F5" s="17">
        <f>B17*('E Balans VL '!L25/3.6*1000000+'E Balans VL '!N25/3.6*1000000)/100</f>
        <v>7265.9630072618847</v>
      </c>
      <c r="G5" s="18"/>
      <c r="H5" s="17"/>
      <c r="I5" s="17"/>
      <c r="J5" s="17">
        <f>('E Balans VL '!D25+'E Balans VL '!E25)/3.6*1000000*landbouw!B17/100</f>
        <v>286.17698571730858</v>
      </c>
      <c r="K5" s="17"/>
      <c r="L5" s="17">
        <f>L6*(-1)</f>
        <v>0</v>
      </c>
      <c r="M5" s="17"/>
      <c r="N5" s="17">
        <f>N6*(-1)</f>
        <v>0</v>
      </c>
      <c r="O5" s="17"/>
      <c r="P5" s="17"/>
      <c r="R5" s="32"/>
    </row>
    <row r="6" spans="1:18">
      <c r="A6" s="16" t="s">
        <v>491</v>
      </c>
      <c r="B6" s="17" t="s">
        <v>211</v>
      </c>
      <c r="C6" s="17">
        <f>'lokale energieproductie'!O92+'lokale energieproductie'!O61</f>
        <v>5361.4285714285716</v>
      </c>
      <c r="D6" s="310">
        <f>('lokale energieproductie'!P61+'lokale energieproductie'!P92)*(-1)</f>
        <v>-10722.857142857143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1987.848</v>
      </c>
      <c r="C8" s="21">
        <f>C5+C6</f>
        <v>5361.4285714285716</v>
      </c>
      <c r="D8" s="21">
        <f>MAX((D5+D6),0)</f>
        <v>0</v>
      </c>
      <c r="E8" s="21">
        <f>MAX((E5+E6),0)</f>
        <v>51.258967466104302</v>
      </c>
      <c r="F8" s="21">
        <f>MAX((F5+F6),0)</f>
        <v>7265.9630072618847</v>
      </c>
      <c r="G8" s="21"/>
      <c r="H8" s="21"/>
      <c r="I8" s="21"/>
      <c r="J8" s="21">
        <f>MAX((J5+J6),0)</f>
        <v>286.17698571730858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0.18126297378372316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360.32323991002653</v>
      </c>
      <c r="C12" s="23">
        <f ca="1">C8*C10</f>
        <v>1274.127731092437</v>
      </c>
      <c r="D12" s="23">
        <f>D8*D10</f>
        <v>0</v>
      </c>
      <c r="E12" s="23">
        <f>E8*E10</f>
        <v>11.635785614805677</v>
      </c>
      <c r="F12" s="23">
        <f>F8*F10</f>
        <v>1940.0121229389233</v>
      </c>
      <c r="G12" s="23"/>
      <c r="H12" s="23"/>
      <c r="I12" s="23"/>
      <c r="J12" s="23">
        <f>J8*J10</f>
        <v>101.30665294392723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0.28029973520990531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78.310710031406515</v>
      </c>
      <c r="C26" s="247">
        <f>B26*'GWP N2O_CH4'!B5</f>
        <v>1644.5249106595368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101.78187451886882</v>
      </c>
      <c r="C27" s="247">
        <f>B27*'GWP N2O_CH4'!B5</f>
        <v>2137.419364896245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1.3356340394020312</v>
      </c>
      <c r="C28" s="247">
        <f>B28*'GWP N2O_CH4'!B4</f>
        <v>414.04655221462968</v>
      </c>
      <c r="D28" s="50"/>
    </row>
    <row r="29" spans="1:4">
      <c r="A29" s="41" t="s">
        <v>277</v>
      </c>
      <c r="B29" s="247">
        <f>B34*'ha_N2O bodem landbouw'!B4</f>
        <v>5.8929082309309138</v>
      </c>
      <c r="C29" s="247">
        <f>B29*'GWP N2O_CH4'!B4</f>
        <v>1826.8015515885832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1.3262245819080198E-3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1.1477293198008389E-4</v>
      </c>
      <c r="C5" s="463" t="s">
        <v>211</v>
      </c>
      <c r="D5" s="448">
        <f>SUM(D6:D11)</f>
        <v>2.8809508976262923E-4</v>
      </c>
      <c r="E5" s="448">
        <f>SUM(E6:E11)</f>
        <v>1.170103992875993E-3</v>
      </c>
      <c r="F5" s="461" t="s">
        <v>211</v>
      </c>
      <c r="G5" s="448">
        <f>SUM(G6:G11)</f>
        <v>0.44236111211431001</v>
      </c>
      <c r="H5" s="448">
        <f>SUM(H6:H11)</f>
        <v>7.786301426806122E-2</v>
      </c>
      <c r="I5" s="463" t="s">
        <v>211</v>
      </c>
      <c r="J5" s="463" t="s">
        <v>211</v>
      </c>
      <c r="K5" s="463" t="s">
        <v>211</v>
      </c>
      <c r="L5" s="463" t="s">
        <v>211</v>
      </c>
      <c r="M5" s="448">
        <f>SUM(M6:M11)</f>
        <v>1.6269198681354347E-2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4.0682905211296079E-5</v>
      </c>
      <c r="C6" s="449"/>
      <c r="D6" s="892">
        <f>vkm_2011_GW_PW*SUMIFS(TableVerdeelsleutelVkm[CNG],TableVerdeelsleutelVkm[Voertuigtype],"Lichte voertuigen")*SUMIFS(TableECFTransport[EnergieConsumptieFactor (PJ per km)],TableECFTransport[Index],CONCATENATE($A6,"_CNG_CNG"))</f>
        <v>8.0837645278356436E-5</v>
      </c>
      <c r="E6" s="892">
        <f>vkm_2011_GW_PW*SUMIFS(TableVerdeelsleutelVkm[LPG],TableVerdeelsleutelVkm[Voertuigtype],"Lichte voertuigen")*SUMIFS(TableECFTransport[EnergieConsumptieFactor (PJ per km)],TableECFTransport[Index],CONCATENATE($A6,"_LPG_LPG"))</f>
        <v>3.181251122938353E-4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7.563923619436938E-2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2.1885182523644065E-2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3.0389509426182533E-3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6.335196291182002E-2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2.0465390005078737E-5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1.9961234180292725E-3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3.6951469192591733E-5</v>
      </c>
      <c r="C8" s="449"/>
      <c r="D8" s="451">
        <f>vkm_2011_NGW_PW*SUMIFS(TableVerdeelsleutelVkm[CNG],TableVerdeelsleutelVkm[Voertuigtype],"Lichte voertuigen")*SUMIFS(TableECFTransport[EnergieConsumptieFactor (PJ per km)],TableECFTransport[Index],CONCATENATE($A8,"_CNG_CNG"))</f>
        <v>1.3000573242780204E-4</v>
      </c>
      <c r="E8" s="451">
        <f>vkm_2011_NGW_PW*SUMIFS(TableVerdeelsleutelVkm[LPG],TableVerdeelsleutelVkm[Voertuigtype],"Lichte voertuigen")*SUMIFS(TableECFTransport[EnergieConsumptieFactor (PJ per km)],TableECFTransport[Index],CONCATENATE($A8,"_LPG_LPG"))</f>
        <v>4.7315733852965649E-4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0.10505423009062696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3.4128408479281322E-2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4.3327012282165676E-3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4.6798320850683944E-2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1.4297283827776735E-5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1.4745188733913557E-3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3.7138557576196086E-5</v>
      </c>
      <c r="C10" s="449"/>
      <c r="D10" s="451">
        <f>vkm_2011_SW_PW*SUMIFS(TableVerdeelsleutelVkm[CNG],TableVerdeelsleutelVkm[Voertuigtype],"Lichte voertuigen")*SUMIFS(TableECFTransport[EnergieConsumptieFactor (PJ per km)],TableECFTransport[Index],CONCATENATE($A10,"_CNG_CNG"))</f>
        <v>7.7251712056470762E-5</v>
      </c>
      <c r="E10" s="451">
        <f>vkm_2011_SW_PW*SUMIFS(TableVerdeelsleutelVkm[LPG],TableVerdeelsleutelVkm[Voertuigtype],"Lichte voertuigen")*SUMIFS(TableECFTransport[EnergieConsumptieFactor (PJ per km)],TableECFTransport[Index],CONCATENATE($A10,"_LPG_LPG"))</f>
        <v>3.7882154205250124E-4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8.0684638970772007E-2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2.1790006660661641E-2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3.1950203477335952E-3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7.0832723096037706E-2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2.4653930641336807E-5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2.2318838713653029E-3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31.881369994467747</v>
      </c>
      <c r="C14" s="21"/>
      <c r="D14" s="21">
        <f t="shared" ref="D14:M14" si="0">((D5)*10^9/3600)+D12</f>
        <v>80.026413822952563</v>
      </c>
      <c r="E14" s="21">
        <f t="shared" si="0"/>
        <v>325.02888690999805</v>
      </c>
      <c r="F14" s="21"/>
      <c r="G14" s="21">
        <f t="shared" si="0"/>
        <v>122878.08669841946</v>
      </c>
      <c r="H14" s="21">
        <f t="shared" si="0"/>
        <v>21628.61507446145</v>
      </c>
      <c r="I14" s="21"/>
      <c r="J14" s="21"/>
      <c r="K14" s="21"/>
      <c r="L14" s="21"/>
      <c r="M14" s="21">
        <f t="shared" si="0"/>
        <v>4519.2218559317625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0.18126297378372316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5.7789119334963859</v>
      </c>
      <c r="C18" s="23"/>
      <c r="D18" s="23">
        <f t="shared" ref="D18:M18" si="1">D14*D16</f>
        <v>16.165335592236417</v>
      </c>
      <c r="E18" s="23">
        <f t="shared" si="1"/>
        <v>73.781557328569562</v>
      </c>
      <c r="F18" s="23"/>
      <c r="G18" s="23">
        <f t="shared" si="1"/>
        <v>32808.449148477994</v>
      </c>
      <c r="H18" s="23">
        <f t="shared" si="1"/>
        <v>5385.5251535409006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2.3637591485469278E-3</v>
      </c>
      <c r="H50" s="321">
        <f t="shared" si="2"/>
        <v>0</v>
      </c>
      <c r="I50" s="321">
        <f t="shared" si="2"/>
        <v>0</v>
      </c>
      <c r="J50" s="321">
        <f t="shared" si="2"/>
        <v>0</v>
      </c>
      <c r="K50" s="321">
        <f t="shared" si="2"/>
        <v>0</v>
      </c>
      <c r="L50" s="321">
        <f t="shared" si="2"/>
        <v>0</v>
      </c>
      <c r="M50" s="321">
        <f t="shared" si="2"/>
        <v>7.3318520628297911E-5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2.3637591485469278E-3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7.3318520628297911E-5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656.59976348525765</v>
      </c>
      <c r="H54" s="21">
        <f t="shared" si="3"/>
        <v>0</v>
      </c>
      <c r="I54" s="21">
        <f t="shared" si="3"/>
        <v>0</v>
      </c>
      <c r="J54" s="21">
        <f t="shared" si="3"/>
        <v>0</v>
      </c>
      <c r="K54" s="21">
        <f t="shared" si="3"/>
        <v>0</v>
      </c>
      <c r="L54" s="21">
        <f t="shared" si="3"/>
        <v>0</v>
      </c>
      <c r="M54" s="21">
        <f t="shared" si="3"/>
        <v>20.366255730082752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0.18126297378372316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175.3121368505638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37317.050999999999</v>
      </c>
      <c r="D10" s="1012">
        <f ca="1">tertiair!C16</f>
        <v>0</v>
      </c>
      <c r="E10" s="1012">
        <f ca="1">tertiair!D16</f>
        <v>32785.449267813005</v>
      </c>
      <c r="F10" s="1012">
        <f>tertiair!E16</f>
        <v>695.11290521287253</v>
      </c>
      <c r="G10" s="1012">
        <f ca="1">tertiair!F16</f>
        <v>8407.766142529661</v>
      </c>
      <c r="H10" s="1012">
        <f>tertiair!G16</f>
        <v>0</v>
      </c>
      <c r="I10" s="1012">
        <f>tertiair!H16</f>
        <v>0</v>
      </c>
      <c r="J10" s="1012">
        <f>tertiair!I16</f>
        <v>0</v>
      </c>
      <c r="K10" s="1012">
        <f>tertiair!J16</f>
        <v>0</v>
      </c>
      <c r="L10" s="1012">
        <f>tertiair!K16</f>
        <v>0</v>
      </c>
      <c r="M10" s="1012">
        <f ca="1">tertiair!L16</f>
        <v>0</v>
      </c>
      <c r="N10" s="1012">
        <f>tertiair!M16</f>
        <v>0</v>
      </c>
      <c r="O10" s="1012">
        <f ca="1">tertiair!N16</f>
        <v>2279.1425415942517</v>
      </c>
      <c r="P10" s="1012">
        <f>tertiair!O16</f>
        <v>4.6900000000000004</v>
      </c>
      <c r="Q10" s="1013">
        <f>tertiair!P16</f>
        <v>57.2</v>
      </c>
      <c r="R10" s="700">
        <f ca="1">SUM(C10:Q10)</f>
        <v>81546.411857149782</v>
      </c>
      <c r="S10" s="67"/>
    </row>
    <row r="11" spans="1:19" s="473" customFormat="1">
      <c r="A11" s="809" t="s">
        <v>225</v>
      </c>
      <c r="B11" s="814"/>
      <c r="C11" s="1012">
        <f>huishoudens!B8</f>
        <v>43280.243403059962</v>
      </c>
      <c r="D11" s="1012">
        <f>huishoudens!C8</f>
        <v>0</v>
      </c>
      <c r="E11" s="1012">
        <f>huishoudens!D8</f>
        <v>120980.65495626</v>
      </c>
      <c r="F11" s="1012">
        <f>huishoudens!E8</f>
        <v>7143.6068959433342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29061.640089301753</v>
      </c>
      <c r="P11" s="1012">
        <f>huishoudens!O8</f>
        <v>504.95666666666671</v>
      </c>
      <c r="Q11" s="1013">
        <f>huishoudens!P8</f>
        <v>400.4</v>
      </c>
      <c r="R11" s="700">
        <f>SUM(C11:Q11)</f>
        <v>201371.5020112317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80174.930999999997</v>
      </c>
      <c r="D13" s="1012">
        <f>industrie!C18</f>
        <v>0</v>
      </c>
      <c r="E13" s="1012">
        <f>industrie!D18</f>
        <v>41697.885593907398</v>
      </c>
      <c r="F13" s="1012">
        <f>industrie!E18</f>
        <v>5769.9928627019772</v>
      </c>
      <c r="G13" s="1012">
        <f>industrie!F18</f>
        <v>30536.497307199879</v>
      </c>
      <c r="H13" s="1012">
        <f>industrie!G18</f>
        <v>0</v>
      </c>
      <c r="I13" s="1012">
        <f>industrie!H18</f>
        <v>0</v>
      </c>
      <c r="J13" s="1012">
        <f>industrie!I18</f>
        <v>0</v>
      </c>
      <c r="K13" s="1012">
        <f>industrie!J18</f>
        <v>23.053619594453249</v>
      </c>
      <c r="L13" s="1012">
        <f>industrie!K18</f>
        <v>0</v>
      </c>
      <c r="M13" s="1012">
        <f>industrie!L18</f>
        <v>0</v>
      </c>
      <c r="N13" s="1012">
        <f>industrie!M18</f>
        <v>0</v>
      </c>
      <c r="O13" s="1012">
        <f>industrie!N18</f>
        <v>21877.200479770476</v>
      </c>
      <c r="P13" s="1012">
        <f>industrie!O18</f>
        <v>0</v>
      </c>
      <c r="Q13" s="1013">
        <f>industrie!P18</f>
        <v>0</v>
      </c>
      <c r="R13" s="700">
        <f>SUM(C13:Q13)</f>
        <v>180079.56086317421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160772.22540305997</v>
      </c>
      <c r="D16" s="732">
        <f t="shared" ref="D16:R16" ca="1" si="0">SUM(D9:D15)</f>
        <v>0</v>
      </c>
      <c r="E16" s="732">
        <f t="shared" ca="1" si="0"/>
        <v>195463.98981798039</v>
      </c>
      <c r="F16" s="732">
        <f t="shared" si="0"/>
        <v>13608.712663858183</v>
      </c>
      <c r="G16" s="732">
        <f t="shared" ca="1" si="0"/>
        <v>38944.263449729537</v>
      </c>
      <c r="H16" s="732">
        <f t="shared" si="0"/>
        <v>0</v>
      </c>
      <c r="I16" s="732">
        <f t="shared" si="0"/>
        <v>0</v>
      </c>
      <c r="J16" s="732">
        <f t="shared" si="0"/>
        <v>0</v>
      </c>
      <c r="K16" s="732">
        <f t="shared" si="0"/>
        <v>23.053619594453249</v>
      </c>
      <c r="L16" s="732">
        <f t="shared" si="0"/>
        <v>0</v>
      </c>
      <c r="M16" s="732">
        <f t="shared" ca="1" si="0"/>
        <v>0</v>
      </c>
      <c r="N16" s="732">
        <f t="shared" si="0"/>
        <v>0</v>
      </c>
      <c r="O16" s="732">
        <f t="shared" ca="1" si="0"/>
        <v>53217.983110666479</v>
      </c>
      <c r="P16" s="732">
        <f t="shared" si="0"/>
        <v>509.6466666666667</v>
      </c>
      <c r="Q16" s="732">
        <f t="shared" si="0"/>
        <v>457.59999999999997</v>
      </c>
      <c r="R16" s="732">
        <f t="shared" ca="1" si="0"/>
        <v>462997.47473155567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656.59976348525765</v>
      </c>
      <c r="I19" s="1012">
        <f>transport!H54</f>
        <v>0</v>
      </c>
      <c r="J19" s="1012">
        <f>transport!I54</f>
        <v>0</v>
      </c>
      <c r="K19" s="1012">
        <f>transport!J54</f>
        <v>0</v>
      </c>
      <c r="L19" s="1012">
        <f>transport!K54</f>
        <v>0</v>
      </c>
      <c r="M19" s="1012">
        <f>transport!L54</f>
        <v>0</v>
      </c>
      <c r="N19" s="1012">
        <f>transport!M54</f>
        <v>20.366255730082752</v>
      </c>
      <c r="O19" s="1012">
        <f>transport!N54</f>
        <v>0</v>
      </c>
      <c r="P19" s="1012">
        <f>transport!O54</f>
        <v>0</v>
      </c>
      <c r="Q19" s="1013">
        <f>transport!P54</f>
        <v>0</v>
      </c>
      <c r="R19" s="700">
        <f>SUM(C19:Q19)</f>
        <v>676.96601921534045</v>
      </c>
      <c r="S19" s="67"/>
    </row>
    <row r="20" spans="1:19" s="473" customFormat="1">
      <c r="A20" s="809" t="s">
        <v>307</v>
      </c>
      <c r="B20" s="814"/>
      <c r="C20" s="1012">
        <f>transport!B14</f>
        <v>31.881369994467747</v>
      </c>
      <c r="D20" s="1012">
        <f>transport!C14</f>
        <v>0</v>
      </c>
      <c r="E20" s="1012">
        <f>transport!D14</f>
        <v>80.026413822952563</v>
      </c>
      <c r="F20" s="1012">
        <f>transport!E14</f>
        <v>325.02888690999805</v>
      </c>
      <c r="G20" s="1012">
        <f>transport!F14</f>
        <v>0</v>
      </c>
      <c r="H20" s="1012">
        <f>transport!G14</f>
        <v>122878.08669841946</v>
      </c>
      <c r="I20" s="1012">
        <f>transport!H14</f>
        <v>21628.61507446145</v>
      </c>
      <c r="J20" s="1012">
        <f>transport!I14</f>
        <v>0</v>
      </c>
      <c r="K20" s="1012">
        <f>transport!J14</f>
        <v>0</v>
      </c>
      <c r="L20" s="1012">
        <f>transport!K14</f>
        <v>0</v>
      </c>
      <c r="M20" s="1012">
        <f>transport!L14</f>
        <v>0</v>
      </c>
      <c r="N20" s="1012">
        <f>transport!M14</f>
        <v>4519.2218559317625</v>
      </c>
      <c r="O20" s="1012">
        <f>transport!N14</f>
        <v>0</v>
      </c>
      <c r="P20" s="1012">
        <f>transport!O14</f>
        <v>0</v>
      </c>
      <c r="Q20" s="1013">
        <f>transport!P14</f>
        <v>0</v>
      </c>
      <c r="R20" s="700">
        <f>SUM(C20:Q20)</f>
        <v>149462.8602995401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31.881369994467747</v>
      </c>
      <c r="D22" s="812">
        <f t="shared" ref="D22:R22" si="1">SUM(D18:D21)</f>
        <v>0</v>
      </c>
      <c r="E22" s="812">
        <f t="shared" si="1"/>
        <v>80.026413822952563</v>
      </c>
      <c r="F22" s="812">
        <f t="shared" si="1"/>
        <v>325.02888690999805</v>
      </c>
      <c r="G22" s="812">
        <f t="shared" si="1"/>
        <v>0</v>
      </c>
      <c r="H22" s="812">
        <f t="shared" si="1"/>
        <v>123534.68646190471</v>
      </c>
      <c r="I22" s="812">
        <f t="shared" si="1"/>
        <v>21628.61507446145</v>
      </c>
      <c r="J22" s="812">
        <f t="shared" si="1"/>
        <v>0</v>
      </c>
      <c r="K22" s="812">
        <f t="shared" si="1"/>
        <v>0</v>
      </c>
      <c r="L22" s="812">
        <f t="shared" si="1"/>
        <v>0</v>
      </c>
      <c r="M22" s="812">
        <f t="shared" si="1"/>
        <v>0</v>
      </c>
      <c r="N22" s="812">
        <f t="shared" si="1"/>
        <v>4539.5881116618457</v>
      </c>
      <c r="O22" s="812">
        <f t="shared" si="1"/>
        <v>0</v>
      </c>
      <c r="P22" s="812">
        <f t="shared" si="1"/>
        <v>0</v>
      </c>
      <c r="Q22" s="812">
        <f t="shared" si="1"/>
        <v>0</v>
      </c>
      <c r="R22" s="812">
        <f t="shared" si="1"/>
        <v>150139.82631875545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1987.848</v>
      </c>
      <c r="D24" s="1012">
        <f>+landbouw!C8</f>
        <v>5361.4285714285716</v>
      </c>
      <c r="E24" s="1012">
        <f>+landbouw!D8</f>
        <v>0</v>
      </c>
      <c r="F24" s="1012">
        <f>+landbouw!E8</f>
        <v>51.258967466104302</v>
      </c>
      <c r="G24" s="1012">
        <f>+landbouw!F8</f>
        <v>7265.9630072618847</v>
      </c>
      <c r="H24" s="1012">
        <f>+landbouw!G8</f>
        <v>0</v>
      </c>
      <c r="I24" s="1012">
        <f>+landbouw!H8</f>
        <v>0</v>
      </c>
      <c r="J24" s="1012">
        <f>+landbouw!I8</f>
        <v>0</v>
      </c>
      <c r="K24" s="1012">
        <f>+landbouw!J8</f>
        <v>286.17698571730858</v>
      </c>
      <c r="L24" s="1012">
        <f>+landbouw!K8</f>
        <v>0</v>
      </c>
      <c r="M24" s="1012">
        <f>+landbouw!L8</f>
        <v>0</v>
      </c>
      <c r="N24" s="1012">
        <f>+landbouw!M8</f>
        <v>0</v>
      </c>
      <c r="O24" s="1012">
        <f>+landbouw!N8</f>
        <v>0</v>
      </c>
      <c r="P24" s="1012">
        <f>+landbouw!O8</f>
        <v>0</v>
      </c>
      <c r="Q24" s="1013">
        <f>+landbouw!P8</f>
        <v>0</v>
      </c>
      <c r="R24" s="700">
        <f>SUM(C24:Q24)</f>
        <v>14952.675531873869</v>
      </c>
      <c r="S24" s="67"/>
    </row>
    <row r="25" spans="1:19" s="473" customFormat="1" ht="15" thickBot="1">
      <c r="A25" s="831" t="s">
        <v>848</v>
      </c>
      <c r="B25" s="1015"/>
      <c r="C25" s="1016">
        <f>IF(Onbekend_ele_kWh="---",0,Onbekend_ele_kWh)/1000+IF(REST_rest_ele_kWh="---",0,REST_rest_ele_kWh)/1000</f>
        <v>1329.89</v>
      </c>
      <c r="D25" s="1016"/>
      <c r="E25" s="1016">
        <f>IF(onbekend_gas_kWh="---",0,onbekend_gas_kWh)/1000+IF(REST_rest_gas_kWh="---",0,REST_rest_gas_kWh)/1000</f>
        <v>8482.0184809000002</v>
      </c>
      <c r="F25" s="1016"/>
      <c r="G25" s="1016"/>
      <c r="H25" s="1016"/>
      <c r="I25" s="1016"/>
      <c r="J25" s="1016"/>
      <c r="K25" s="1016"/>
      <c r="L25" s="1016"/>
      <c r="M25" s="1016"/>
      <c r="N25" s="1016"/>
      <c r="O25" s="1016"/>
      <c r="P25" s="1016"/>
      <c r="Q25" s="1017"/>
      <c r="R25" s="700">
        <f>SUM(C25:Q25)</f>
        <v>9811.9084808999996</v>
      </c>
      <c r="S25" s="67"/>
    </row>
    <row r="26" spans="1:19" s="473" customFormat="1" ht="15.75" thickBot="1">
      <c r="A26" s="705" t="s">
        <v>849</v>
      </c>
      <c r="B26" s="817"/>
      <c r="C26" s="812">
        <f>SUM(C24:C25)</f>
        <v>3317.7380000000003</v>
      </c>
      <c r="D26" s="812">
        <f t="shared" ref="D26:R26" si="2">SUM(D24:D25)</f>
        <v>5361.4285714285716</v>
      </c>
      <c r="E26" s="812">
        <f t="shared" si="2"/>
        <v>8482.0184809000002</v>
      </c>
      <c r="F26" s="812">
        <f t="shared" si="2"/>
        <v>51.258967466104302</v>
      </c>
      <c r="G26" s="812">
        <f t="shared" si="2"/>
        <v>7265.9630072618847</v>
      </c>
      <c r="H26" s="812">
        <f t="shared" si="2"/>
        <v>0</v>
      </c>
      <c r="I26" s="812">
        <f t="shared" si="2"/>
        <v>0</v>
      </c>
      <c r="J26" s="812">
        <f t="shared" si="2"/>
        <v>0</v>
      </c>
      <c r="K26" s="812">
        <f t="shared" si="2"/>
        <v>286.17698571730858</v>
      </c>
      <c r="L26" s="812">
        <f t="shared" si="2"/>
        <v>0</v>
      </c>
      <c r="M26" s="812">
        <f t="shared" si="2"/>
        <v>0</v>
      </c>
      <c r="N26" s="812">
        <f t="shared" si="2"/>
        <v>0</v>
      </c>
      <c r="O26" s="812">
        <f t="shared" si="2"/>
        <v>0</v>
      </c>
      <c r="P26" s="812">
        <f t="shared" si="2"/>
        <v>0</v>
      </c>
      <c r="Q26" s="812">
        <f t="shared" si="2"/>
        <v>0</v>
      </c>
      <c r="R26" s="812">
        <f t="shared" si="2"/>
        <v>24764.58401277387</v>
      </c>
      <c r="S26" s="67"/>
    </row>
    <row r="27" spans="1:19" s="473" customFormat="1" ht="17.25" thickTop="1" thickBot="1">
      <c r="A27" s="706" t="s">
        <v>116</v>
      </c>
      <c r="B27" s="805"/>
      <c r="C27" s="707">
        <f ca="1">C22+C16+C26</f>
        <v>164121.84477305444</v>
      </c>
      <c r="D27" s="707">
        <f t="shared" ref="D27:R27" ca="1" si="3">D22+D16+D26</f>
        <v>5361.4285714285716</v>
      </c>
      <c r="E27" s="707">
        <f t="shared" ca="1" si="3"/>
        <v>204026.03471270335</v>
      </c>
      <c r="F27" s="707">
        <f t="shared" si="3"/>
        <v>13985.000518234287</v>
      </c>
      <c r="G27" s="707">
        <f t="shared" ca="1" si="3"/>
        <v>46210.226456991419</v>
      </c>
      <c r="H27" s="707">
        <f t="shared" si="3"/>
        <v>123534.68646190471</v>
      </c>
      <c r="I27" s="707">
        <f t="shared" si="3"/>
        <v>21628.61507446145</v>
      </c>
      <c r="J27" s="707">
        <f t="shared" si="3"/>
        <v>0</v>
      </c>
      <c r="K27" s="707">
        <f t="shared" si="3"/>
        <v>309.23060531176185</v>
      </c>
      <c r="L27" s="707">
        <f t="shared" si="3"/>
        <v>0</v>
      </c>
      <c r="M27" s="707">
        <f t="shared" ca="1" si="3"/>
        <v>0</v>
      </c>
      <c r="N27" s="707">
        <f t="shared" si="3"/>
        <v>4539.5881116618457</v>
      </c>
      <c r="O27" s="707">
        <f t="shared" ca="1" si="3"/>
        <v>53217.983110666479</v>
      </c>
      <c r="P27" s="707">
        <f t="shared" si="3"/>
        <v>509.6466666666667</v>
      </c>
      <c r="Q27" s="707">
        <f t="shared" si="3"/>
        <v>457.59999999999997</v>
      </c>
      <c r="R27" s="707">
        <f t="shared" ca="1" si="3"/>
        <v>637901.88506308501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6764.19963709886</v>
      </c>
      <c r="D40" s="1012">
        <f ca="1">tertiair!C20</f>
        <v>0</v>
      </c>
      <c r="E40" s="1012">
        <f ca="1">tertiair!D20</f>
        <v>6622.660752098227</v>
      </c>
      <c r="F40" s="1012">
        <f>tertiair!E20</f>
        <v>157.79062948332208</v>
      </c>
      <c r="G40" s="1012">
        <f ca="1">tertiair!F20</f>
        <v>2244.8735600554196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15789.524578735829</v>
      </c>
    </row>
    <row r="41" spans="1:18">
      <c r="A41" s="822" t="s">
        <v>225</v>
      </c>
      <c r="B41" s="829"/>
      <c r="C41" s="1012">
        <f ca="1">huishoudens!B12</f>
        <v>7845.1056253220149</v>
      </c>
      <c r="D41" s="1012">
        <f ca="1">huishoudens!C12</f>
        <v>0</v>
      </c>
      <c r="E41" s="1012">
        <f>huishoudens!D12</f>
        <v>24438.092301164521</v>
      </c>
      <c r="F41" s="1012">
        <f>huishoudens!E12</f>
        <v>1621.5987653791369</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33904.796691865675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14532.746415964813</v>
      </c>
      <c r="D43" s="1012">
        <f ca="1">industrie!C22</f>
        <v>0</v>
      </c>
      <c r="E43" s="1012">
        <f>industrie!D22</f>
        <v>8422.9728899692946</v>
      </c>
      <c r="F43" s="1012">
        <f>industrie!E22</f>
        <v>1309.7883798333489</v>
      </c>
      <c r="G43" s="1012">
        <f>industrie!F22</f>
        <v>8153.2447810223684</v>
      </c>
      <c r="H43" s="1012">
        <f>industrie!G22</f>
        <v>0</v>
      </c>
      <c r="I43" s="1012">
        <f>industrie!H22</f>
        <v>0</v>
      </c>
      <c r="J43" s="1012">
        <f>industrie!I22</f>
        <v>0</v>
      </c>
      <c r="K43" s="1012">
        <f>industrie!J22</f>
        <v>8.1609813364364499</v>
      </c>
      <c r="L43" s="1012">
        <f>industrie!K22</f>
        <v>0</v>
      </c>
      <c r="M43" s="1012">
        <f>industrie!L22</f>
        <v>0</v>
      </c>
      <c r="N43" s="1012">
        <f>industrie!M22</f>
        <v>0</v>
      </c>
      <c r="O43" s="1012">
        <f>industrie!N22</f>
        <v>0</v>
      </c>
      <c r="P43" s="1012">
        <f>industrie!O22</f>
        <v>0</v>
      </c>
      <c r="Q43" s="774">
        <f>industrie!P22</f>
        <v>0</v>
      </c>
      <c r="R43" s="849">
        <f t="shared" ca="1" si="4"/>
        <v>32426.913448126263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29142.051678385687</v>
      </c>
      <c r="D46" s="732">
        <f t="shared" ref="D46:Q46" ca="1" si="5">SUM(D39:D45)</f>
        <v>0</v>
      </c>
      <c r="E46" s="732">
        <f t="shared" ca="1" si="5"/>
        <v>39483.725943232042</v>
      </c>
      <c r="F46" s="732">
        <f t="shared" si="5"/>
        <v>3089.1777746958078</v>
      </c>
      <c r="G46" s="732">
        <f t="shared" ca="1" si="5"/>
        <v>10398.118341077789</v>
      </c>
      <c r="H46" s="732">
        <f t="shared" si="5"/>
        <v>0</v>
      </c>
      <c r="I46" s="732">
        <f t="shared" si="5"/>
        <v>0</v>
      </c>
      <c r="J46" s="732">
        <f t="shared" si="5"/>
        <v>0</v>
      </c>
      <c r="K46" s="732">
        <f t="shared" si="5"/>
        <v>8.1609813364364499</v>
      </c>
      <c r="L46" s="732">
        <f t="shared" si="5"/>
        <v>0</v>
      </c>
      <c r="M46" s="732">
        <f t="shared" ca="1" si="5"/>
        <v>0</v>
      </c>
      <c r="N46" s="732">
        <f t="shared" si="5"/>
        <v>0</v>
      </c>
      <c r="O46" s="732">
        <f t="shared" ca="1" si="5"/>
        <v>0</v>
      </c>
      <c r="P46" s="732">
        <f t="shared" si="5"/>
        <v>0</v>
      </c>
      <c r="Q46" s="732">
        <f t="shared" si="5"/>
        <v>0</v>
      </c>
      <c r="R46" s="732">
        <f ca="1">SUM(R39:R45)</f>
        <v>82121.234718727763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175.3121368505638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175.3121368505638</v>
      </c>
    </row>
    <row r="50" spans="1:18">
      <c r="A50" s="825" t="s">
        <v>307</v>
      </c>
      <c r="B50" s="835"/>
      <c r="C50" s="703">
        <f ca="1">transport!B18</f>
        <v>5.7789119334963859</v>
      </c>
      <c r="D50" s="703">
        <f>transport!C18</f>
        <v>0</v>
      </c>
      <c r="E50" s="703">
        <f>transport!D18</f>
        <v>16.165335592236417</v>
      </c>
      <c r="F50" s="703">
        <f>transport!E18</f>
        <v>73.781557328569562</v>
      </c>
      <c r="G50" s="703">
        <f>transport!F18</f>
        <v>0</v>
      </c>
      <c r="H50" s="703">
        <f>transport!G18</f>
        <v>32808.449148477994</v>
      </c>
      <c r="I50" s="703">
        <f>transport!H18</f>
        <v>5385.5251535409006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38289.700106873192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5.7789119334963859</v>
      </c>
      <c r="D52" s="732">
        <f t="shared" ref="D52:Q52" ca="1" si="6">SUM(D48:D51)</f>
        <v>0</v>
      </c>
      <c r="E52" s="732">
        <f t="shared" si="6"/>
        <v>16.165335592236417</v>
      </c>
      <c r="F52" s="732">
        <f t="shared" si="6"/>
        <v>73.781557328569562</v>
      </c>
      <c r="G52" s="732">
        <f t="shared" si="6"/>
        <v>0</v>
      </c>
      <c r="H52" s="732">
        <f t="shared" si="6"/>
        <v>32983.761285328561</v>
      </c>
      <c r="I52" s="732">
        <f t="shared" si="6"/>
        <v>5385.5251535409006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38465.012243723759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360.32323991002653</v>
      </c>
      <c r="D54" s="703">
        <f ca="1">+landbouw!C12</f>
        <v>1274.127731092437</v>
      </c>
      <c r="E54" s="703">
        <f>+landbouw!D12</f>
        <v>0</v>
      </c>
      <c r="F54" s="703">
        <f>+landbouw!E12</f>
        <v>11.635785614805677</v>
      </c>
      <c r="G54" s="703">
        <f>+landbouw!F12</f>
        <v>1940.0121229389233</v>
      </c>
      <c r="H54" s="703">
        <f>+landbouw!G12</f>
        <v>0</v>
      </c>
      <c r="I54" s="703">
        <f>+landbouw!H12</f>
        <v>0</v>
      </c>
      <c r="J54" s="703">
        <f>+landbouw!I12</f>
        <v>0</v>
      </c>
      <c r="K54" s="703">
        <f>+landbouw!J12</f>
        <v>101.30665294392723</v>
      </c>
      <c r="L54" s="703">
        <f>+landbouw!K12</f>
        <v>0</v>
      </c>
      <c r="M54" s="703">
        <f>+landbouw!L12</f>
        <v>0</v>
      </c>
      <c r="N54" s="703">
        <f>+landbouw!M12</f>
        <v>0</v>
      </c>
      <c r="O54" s="703">
        <f>+landbouw!N12</f>
        <v>0</v>
      </c>
      <c r="P54" s="703">
        <f>+landbouw!O12</f>
        <v>0</v>
      </c>
      <c r="Q54" s="704">
        <f>+landbouw!P12</f>
        <v>0</v>
      </c>
      <c r="R54" s="731">
        <f ca="1">SUM(C54:Q54)</f>
        <v>3687.4055325001195</v>
      </c>
    </row>
    <row r="55" spans="1:18" ht="15" thickBot="1">
      <c r="A55" s="825" t="s">
        <v>848</v>
      </c>
      <c r="B55" s="835"/>
      <c r="C55" s="703">
        <f ca="1">C25*'EF ele_warmte'!B12</f>
        <v>241.05981620523562</v>
      </c>
      <c r="D55" s="703"/>
      <c r="E55" s="703">
        <f>E25*EF_CO2_aardgas</f>
        <v>1713.3677331418</v>
      </c>
      <c r="F55" s="703"/>
      <c r="G55" s="703"/>
      <c r="H55" s="703"/>
      <c r="I55" s="703"/>
      <c r="J55" s="703"/>
      <c r="K55" s="703"/>
      <c r="L55" s="703"/>
      <c r="M55" s="703"/>
      <c r="N55" s="703"/>
      <c r="O55" s="703"/>
      <c r="P55" s="703"/>
      <c r="Q55" s="704"/>
      <c r="R55" s="731">
        <f ca="1">SUM(C55:Q55)</f>
        <v>1954.4275493470357</v>
      </c>
    </row>
    <row r="56" spans="1:18" ht="15.75" thickBot="1">
      <c r="A56" s="823" t="s">
        <v>849</v>
      </c>
      <c r="B56" s="836"/>
      <c r="C56" s="732">
        <f ca="1">SUM(C54:C55)</f>
        <v>601.38305611526221</v>
      </c>
      <c r="D56" s="732">
        <f t="shared" ref="D56:Q56" ca="1" si="7">SUM(D54:D55)</f>
        <v>1274.127731092437</v>
      </c>
      <c r="E56" s="732">
        <f t="shared" si="7"/>
        <v>1713.3677331418</v>
      </c>
      <c r="F56" s="732">
        <f t="shared" si="7"/>
        <v>11.635785614805677</v>
      </c>
      <c r="G56" s="732">
        <f t="shared" si="7"/>
        <v>1940.0121229389233</v>
      </c>
      <c r="H56" s="732">
        <f t="shared" si="7"/>
        <v>0</v>
      </c>
      <c r="I56" s="732">
        <f t="shared" si="7"/>
        <v>0</v>
      </c>
      <c r="J56" s="732">
        <f t="shared" si="7"/>
        <v>0</v>
      </c>
      <c r="K56" s="732">
        <f t="shared" si="7"/>
        <v>101.30665294392723</v>
      </c>
      <c r="L56" s="732">
        <f t="shared" si="7"/>
        <v>0</v>
      </c>
      <c r="M56" s="732">
        <f t="shared" si="7"/>
        <v>0</v>
      </c>
      <c r="N56" s="732">
        <f t="shared" si="7"/>
        <v>0</v>
      </c>
      <c r="O56" s="732">
        <f t="shared" si="7"/>
        <v>0</v>
      </c>
      <c r="P56" s="732">
        <f t="shared" si="7"/>
        <v>0</v>
      </c>
      <c r="Q56" s="733">
        <f t="shared" si="7"/>
        <v>0</v>
      </c>
      <c r="R56" s="734">
        <f ca="1">SUM(R54:R55)</f>
        <v>5641.833081847155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29749.213646434444</v>
      </c>
      <c r="D61" s="740">
        <f t="shared" ref="D61:Q61" ca="1" si="8">D46+D52+D56</f>
        <v>1274.127731092437</v>
      </c>
      <c r="E61" s="740">
        <f t="shared" ca="1" si="8"/>
        <v>41213.259011966082</v>
      </c>
      <c r="F61" s="740">
        <f t="shared" si="8"/>
        <v>3174.5951176391832</v>
      </c>
      <c r="G61" s="740">
        <f t="shared" ca="1" si="8"/>
        <v>12338.130464016711</v>
      </c>
      <c r="H61" s="740">
        <f t="shared" si="8"/>
        <v>32983.761285328561</v>
      </c>
      <c r="I61" s="740">
        <f t="shared" si="8"/>
        <v>5385.5251535409006</v>
      </c>
      <c r="J61" s="740">
        <f t="shared" si="8"/>
        <v>0</v>
      </c>
      <c r="K61" s="740">
        <f t="shared" si="8"/>
        <v>109.46763428036368</v>
      </c>
      <c r="L61" s="740">
        <f t="shared" si="8"/>
        <v>0</v>
      </c>
      <c r="M61" s="740">
        <f t="shared" ca="1" si="8"/>
        <v>0</v>
      </c>
      <c r="N61" s="740">
        <f t="shared" si="8"/>
        <v>0</v>
      </c>
      <c r="O61" s="740">
        <f t="shared" ca="1" si="8"/>
        <v>0</v>
      </c>
      <c r="P61" s="740">
        <f t="shared" si="8"/>
        <v>0</v>
      </c>
      <c r="Q61" s="740">
        <f t="shared" si="8"/>
        <v>0</v>
      </c>
      <c r="R61" s="740">
        <f ca="1">R46+R52+R56</f>
        <v>126228.08004429868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0.18126297378372314</v>
      </c>
      <c r="D63" s="781">
        <f t="shared" ca="1" si="9"/>
        <v>0.23764705882352941</v>
      </c>
      <c r="E63" s="1023">
        <f t="shared" ca="1" si="9"/>
        <v>0.20200000000000004</v>
      </c>
      <c r="F63" s="781">
        <f t="shared" si="9"/>
        <v>0.22700000000000001</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22224.526317281263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7568.1906970865602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3753</v>
      </c>
      <c r="D76" s="1033">
        <f>'lokale energieproductie'!C8</f>
        <v>4415.2941176470586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891.88941176470587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29792.717014367823</v>
      </c>
      <c r="C78" s="755">
        <f>SUM(C72:C77)</f>
        <v>3753</v>
      </c>
      <c r="D78" s="756">
        <f t="shared" ref="D78:H78" si="10">SUM(D76:D77)</f>
        <v>4415.2941176470586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891.88941176470587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5361.4285714285716</v>
      </c>
      <c r="D87" s="777">
        <f>'lokale energieproductie'!C17</f>
        <v>6307.5630252100837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1274.127731092437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5361.4285714285716</v>
      </c>
      <c r="D90" s="755">
        <f t="shared" ref="D90:H90" si="12">SUM(D87:D89)</f>
        <v>6307.5630252100837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1274.127731092437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22224.526317281263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7568.1906970865602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3753</v>
      </c>
      <c r="C8" s="570">
        <f>B101</f>
        <v>4415.2941176470586</v>
      </c>
      <c r="D8" s="1043"/>
      <c r="E8" s="1043">
        <f>E101</f>
        <v>0</v>
      </c>
      <c r="F8" s="1044"/>
      <c r="G8" s="571"/>
      <c r="H8" s="1043">
        <f>I101</f>
        <v>0</v>
      </c>
      <c r="I8" s="1043">
        <f>G101+F101</f>
        <v>0</v>
      </c>
      <c r="J8" s="1043">
        <f>H101+D101+C101</f>
        <v>0</v>
      </c>
      <c r="K8" s="1043"/>
      <c r="L8" s="1043"/>
      <c r="M8" s="1043"/>
      <c r="N8" s="572"/>
      <c r="O8" s="573">
        <f>C8*$C$12+D8*$D$12+E8*$E$12+F8*$F$12+G8*$G$12+H8*$H$12+I8*$I$12+J8*$J$12</f>
        <v>891.88941176470587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33545.717014367823</v>
      </c>
      <c r="C10" s="583">
        <f t="shared" ref="C10:L10" si="0">SUM(C8:C9)</f>
        <v>4415.2941176470586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891.88941176470587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5361.4285714285716</v>
      </c>
      <c r="C17" s="595">
        <f>B102</f>
        <v>6307.5630252100837</v>
      </c>
      <c r="D17" s="596"/>
      <c r="E17" s="596">
        <f>E102</f>
        <v>0</v>
      </c>
      <c r="F17" s="1049"/>
      <c r="G17" s="597"/>
      <c r="H17" s="595">
        <f>I102</f>
        <v>0</v>
      </c>
      <c r="I17" s="596">
        <f>G102+F102</f>
        <v>0</v>
      </c>
      <c r="J17" s="596">
        <f>H102+D102+C102</f>
        <v>0</v>
      </c>
      <c r="K17" s="596"/>
      <c r="L17" s="596"/>
      <c r="M17" s="596"/>
      <c r="N17" s="1050"/>
      <c r="O17" s="598">
        <f>C17*$C$22+E17*$E$22+H17*$H$22+I17*$I$22+J17*$J$22+D17*$D$22+F17*$F$22+G17*$G$22+K17*$K$22+L17*$L$22</f>
        <v>1274.127731092437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5361.4285714285716</v>
      </c>
      <c r="C20" s="582">
        <f>SUM(C17:C19)</f>
        <v>6307.5630252100837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1274.127731092437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36008</v>
      </c>
      <c r="C28" s="796">
        <v>8870</v>
      </c>
      <c r="D28" s="653" t="s">
        <v>890</v>
      </c>
      <c r="E28" s="652" t="s">
        <v>891</v>
      </c>
      <c r="F28" s="652" t="s">
        <v>892</v>
      </c>
      <c r="G28" s="652" t="s">
        <v>893</v>
      </c>
      <c r="H28" s="652" t="s">
        <v>894</v>
      </c>
      <c r="I28" s="652" t="s">
        <v>895</v>
      </c>
      <c r="J28" s="795">
        <v>41264</v>
      </c>
      <c r="K28" s="795">
        <v>41689</v>
      </c>
      <c r="L28" s="652" t="s">
        <v>896</v>
      </c>
      <c r="M28" s="652">
        <v>834</v>
      </c>
      <c r="N28" s="652">
        <v>3753</v>
      </c>
      <c r="O28" s="652">
        <v>5361.4285714285716</v>
      </c>
      <c r="P28" s="652">
        <v>10722.857142857143</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834</v>
      </c>
      <c r="N58" s="610">
        <f>SUM(N28:N57)</f>
        <v>3753</v>
      </c>
      <c r="O58" s="610">
        <f t="shared" ref="O58:W58" si="2">SUM(O28:O57)</f>
        <v>5361.4285714285716</v>
      </c>
      <c r="P58" s="610">
        <f t="shared" si="2"/>
        <v>10722.857142857143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834</v>
      </c>
      <c r="N61" s="615">
        <f t="shared" si="4"/>
        <v>3753</v>
      </c>
      <c r="O61" s="615">
        <f t="shared" si="4"/>
        <v>5361.4285714285716</v>
      </c>
      <c r="P61" s="615">
        <f t="shared" si="4"/>
        <v>10722.857142857143</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4415.2941176470586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6307.5630252100837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43280.243403059962</v>
      </c>
      <c r="C4" s="477">
        <f>huishoudens!C8</f>
        <v>0</v>
      </c>
      <c r="D4" s="477">
        <f>huishoudens!D8</f>
        <v>120980.65495626</v>
      </c>
      <c r="E4" s="477">
        <f>huishoudens!E8</f>
        <v>7143.6068959433342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29061.640089301753</v>
      </c>
      <c r="O4" s="477">
        <f>huishoudens!O8</f>
        <v>504.95666666666671</v>
      </c>
      <c r="P4" s="478">
        <f>huishoudens!P8</f>
        <v>400.4</v>
      </c>
      <c r="Q4" s="479">
        <f>SUM(B4:P4)</f>
        <v>201371.5020112317</v>
      </c>
    </row>
    <row r="5" spans="1:17">
      <c r="A5" s="476" t="s">
        <v>156</v>
      </c>
      <c r="B5" s="477">
        <f ca="1">tertiair!B16</f>
        <v>35107.775999999998</v>
      </c>
      <c r="C5" s="477">
        <f ca="1">tertiair!C16</f>
        <v>0</v>
      </c>
      <c r="D5" s="477">
        <f ca="1">tertiair!D16</f>
        <v>32785.449267813005</v>
      </c>
      <c r="E5" s="477">
        <f>tertiair!E16</f>
        <v>695.11290521287253</v>
      </c>
      <c r="F5" s="477">
        <f ca="1">tertiair!F16</f>
        <v>8407.766142529661</v>
      </c>
      <c r="G5" s="477">
        <f>tertiair!G16</f>
        <v>0</v>
      </c>
      <c r="H5" s="477">
        <f>tertiair!H16</f>
        <v>0</v>
      </c>
      <c r="I5" s="477">
        <f>tertiair!I16</f>
        <v>0</v>
      </c>
      <c r="J5" s="477">
        <f>tertiair!J16</f>
        <v>0</v>
      </c>
      <c r="K5" s="477">
        <f>tertiair!K16</f>
        <v>0</v>
      </c>
      <c r="L5" s="477">
        <f ca="1">tertiair!L16</f>
        <v>0</v>
      </c>
      <c r="M5" s="477">
        <f>tertiair!M16</f>
        <v>0</v>
      </c>
      <c r="N5" s="477">
        <f ca="1">tertiair!N16</f>
        <v>2279.1425415942517</v>
      </c>
      <c r="O5" s="477">
        <f>tertiair!O16</f>
        <v>4.6900000000000004</v>
      </c>
      <c r="P5" s="478">
        <f>tertiair!P16</f>
        <v>57.2</v>
      </c>
      <c r="Q5" s="476">
        <f t="shared" ref="Q5:Q14" ca="1" si="0">SUM(B5:P5)</f>
        <v>79337.136857149788</v>
      </c>
    </row>
    <row r="6" spans="1:17">
      <c r="A6" s="476" t="s">
        <v>194</v>
      </c>
      <c r="B6" s="477">
        <f>'openbare verlichting'!B8</f>
        <v>2209.2750000000001</v>
      </c>
      <c r="C6" s="477"/>
      <c r="D6" s="477"/>
      <c r="E6" s="477"/>
      <c r="F6" s="477"/>
      <c r="G6" s="477"/>
      <c r="H6" s="477"/>
      <c r="I6" s="477"/>
      <c r="J6" s="477"/>
      <c r="K6" s="477"/>
      <c r="L6" s="477"/>
      <c r="M6" s="477"/>
      <c r="N6" s="477"/>
      <c r="O6" s="477"/>
      <c r="P6" s="478"/>
      <c r="Q6" s="476">
        <f t="shared" si="0"/>
        <v>2209.2750000000001</v>
      </c>
    </row>
    <row r="7" spans="1:17">
      <c r="A7" s="476" t="s">
        <v>112</v>
      </c>
      <c r="B7" s="477">
        <f>landbouw!B8</f>
        <v>1987.848</v>
      </c>
      <c r="C7" s="477">
        <f>landbouw!C8</f>
        <v>5361.4285714285716</v>
      </c>
      <c r="D7" s="477">
        <f>landbouw!D8</f>
        <v>0</v>
      </c>
      <c r="E7" s="477">
        <f>landbouw!E8</f>
        <v>51.258967466104302</v>
      </c>
      <c r="F7" s="477">
        <f>landbouw!F8</f>
        <v>7265.9630072618847</v>
      </c>
      <c r="G7" s="477">
        <f>landbouw!G8</f>
        <v>0</v>
      </c>
      <c r="H7" s="477">
        <f>landbouw!H8</f>
        <v>0</v>
      </c>
      <c r="I7" s="477">
        <f>landbouw!I8</f>
        <v>0</v>
      </c>
      <c r="J7" s="477">
        <f>landbouw!J8</f>
        <v>286.17698571730858</v>
      </c>
      <c r="K7" s="477">
        <f>landbouw!K8</f>
        <v>0</v>
      </c>
      <c r="L7" s="477">
        <f>landbouw!L8</f>
        <v>0</v>
      </c>
      <c r="M7" s="477">
        <f>landbouw!M8</f>
        <v>0</v>
      </c>
      <c r="N7" s="477">
        <f>landbouw!N8</f>
        <v>0</v>
      </c>
      <c r="O7" s="477">
        <f>landbouw!O8</f>
        <v>0</v>
      </c>
      <c r="P7" s="478">
        <f>landbouw!P8</f>
        <v>0</v>
      </c>
      <c r="Q7" s="476">
        <f t="shared" si="0"/>
        <v>14952.675531873869</v>
      </c>
    </row>
    <row r="8" spans="1:17">
      <c r="A8" s="476" t="s">
        <v>638</v>
      </c>
      <c r="B8" s="477">
        <f>industrie!B18</f>
        <v>80174.930999999997</v>
      </c>
      <c r="C8" s="477">
        <f>industrie!C18</f>
        <v>0</v>
      </c>
      <c r="D8" s="477">
        <f>industrie!D18</f>
        <v>41697.885593907398</v>
      </c>
      <c r="E8" s="477">
        <f>industrie!E18</f>
        <v>5769.9928627019772</v>
      </c>
      <c r="F8" s="477">
        <f>industrie!F18</f>
        <v>30536.497307199879</v>
      </c>
      <c r="G8" s="477">
        <f>industrie!G18</f>
        <v>0</v>
      </c>
      <c r="H8" s="477">
        <f>industrie!H18</f>
        <v>0</v>
      </c>
      <c r="I8" s="477">
        <f>industrie!I18</f>
        <v>0</v>
      </c>
      <c r="J8" s="477">
        <f>industrie!J18</f>
        <v>23.053619594453249</v>
      </c>
      <c r="K8" s="477">
        <f>industrie!K18</f>
        <v>0</v>
      </c>
      <c r="L8" s="477">
        <f>industrie!L18</f>
        <v>0</v>
      </c>
      <c r="M8" s="477">
        <f>industrie!M18</f>
        <v>0</v>
      </c>
      <c r="N8" s="477">
        <f>industrie!N18</f>
        <v>21877.200479770476</v>
      </c>
      <c r="O8" s="477">
        <f>industrie!O18</f>
        <v>0</v>
      </c>
      <c r="P8" s="478">
        <f>industrie!P18</f>
        <v>0</v>
      </c>
      <c r="Q8" s="476">
        <f t="shared" si="0"/>
        <v>180079.56086317421</v>
      </c>
    </row>
    <row r="9" spans="1:17" s="482" customFormat="1">
      <c r="A9" s="480" t="s">
        <v>564</v>
      </c>
      <c r="B9" s="481">
        <f>transport!B14</f>
        <v>31.881369994467747</v>
      </c>
      <c r="C9" s="481">
        <f>transport!C14</f>
        <v>0</v>
      </c>
      <c r="D9" s="481">
        <f>transport!D14</f>
        <v>80.026413822952563</v>
      </c>
      <c r="E9" s="481">
        <f>transport!E14</f>
        <v>325.02888690999805</v>
      </c>
      <c r="F9" s="481">
        <f>transport!F14</f>
        <v>0</v>
      </c>
      <c r="G9" s="481">
        <f>transport!G14</f>
        <v>122878.08669841946</v>
      </c>
      <c r="H9" s="481">
        <f>transport!H14</f>
        <v>21628.61507446145</v>
      </c>
      <c r="I9" s="481">
        <f>transport!I14</f>
        <v>0</v>
      </c>
      <c r="J9" s="481">
        <f>transport!J14</f>
        <v>0</v>
      </c>
      <c r="K9" s="481">
        <f>transport!K14</f>
        <v>0</v>
      </c>
      <c r="L9" s="481">
        <f>transport!L14</f>
        <v>0</v>
      </c>
      <c r="M9" s="481">
        <f>transport!M14</f>
        <v>4519.2218559317625</v>
      </c>
      <c r="N9" s="481">
        <f>transport!N14</f>
        <v>0</v>
      </c>
      <c r="O9" s="481">
        <f>transport!O14</f>
        <v>0</v>
      </c>
      <c r="P9" s="481">
        <f>transport!P14</f>
        <v>0</v>
      </c>
      <c r="Q9" s="480">
        <f>SUM(B9:P9)</f>
        <v>149462.8602995401</v>
      </c>
    </row>
    <row r="10" spans="1:17">
      <c r="A10" s="476" t="s">
        <v>554</v>
      </c>
      <c r="B10" s="477">
        <f>transport!B54</f>
        <v>0</v>
      </c>
      <c r="C10" s="477">
        <f>transport!C54</f>
        <v>0</v>
      </c>
      <c r="D10" s="477">
        <f>transport!D54</f>
        <v>0</v>
      </c>
      <c r="E10" s="477">
        <f>transport!E54</f>
        <v>0</v>
      </c>
      <c r="F10" s="477">
        <f>transport!F54</f>
        <v>0</v>
      </c>
      <c r="G10" s="477">
        <f>transport!G54</f>
        <v>656.59976348525765</v>
      </c>
      <c r="H10" s="477">
        <f>transport!H54</f>
        <v>0</v>
      </c>
      <c r="I10" s="477">
        <f>transport!I54</f>
        <v>0</v>
      </c>
      <c r="J10" s="477">
        <f>transport!J54</f>
        <v>0</v>
      </c>
      <c r="K10" s="477">
        <f>transport!K54</f>
        <v>0</v>
      </c>
      <c r="L10" s="477">
        <f>transport!L54</f>
        <v>0</v>
      </c>
      <c r="M10" s="477">
        <f>transport!M54</f>
        <v>20.366255730082752</v>
      </c>
      <c r="N10" s="477">
        <f>transport!N54</f>
        <v>0</v>
      </c>
      <c r="O10" s="477">
        <f>transport!O54</f>
        <v>0</v>
      </c>
      <c r="P10" s="478">
        <f>transport!P54</f>
        <v>0</v>
      </c>
      <c r="Q10" s="476">
        <f t="shared" si="0"/>
        <v>676.96601921534045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1329.89</v>
      </c>
      <c r="C14" s="484"/>
      <c r="D14" s="484">
        <f>'SEAP template'!E25</f>
        <v>8482.0184809000002</v>
      </c>
      <c r="E14" s="484"/>
      <c r="F14" s="484"/>
      <c r="G14" s="484"/>
      <c r="H14" s="484"/>
      <c r="I14" s="484"/>
      <c r="J14" s="484"/>
      <c r="K14" s="484"/>
      <c r="L14" s="484"/>
      <c r="M14" s="484"/>
      <c r="N14" s="484"/>
      <c r="O14" s="484"/>
      <c r="P14" s="485"/>
      <c r="Q14" s="476">
        <f t="shared" si="0"/>
        <v>9811.9084808999996</v>
      </c>
    </row>
    <row r="15" spans="1:17" s="486" customFormat="1">
      <c r="A15" s="1038" t="s">
        <v>558</v>
      </c>
      <c r="B15" s="978">
        <f ca="1">SUM(B4:B14)</f>
        <v>164121.84477305444</v>
      </c>
      <c r="C15" s="978">
        <f t="shared" ref="C15:Q15" ca="1" si="1">SUM(C4:C14)</f>
        <v>5361.4285714285716</v>
      </c>
      <c r="D15" s="978">
        <f t="shared" ca="1" si="1"/>
        <v>204026.03471270335</v>
      </c>
      <c r="E15" s="978">
        <f t="shared" si="1"/>
        <v>13985.000518234287</v>
      </c>
      <c r="F15" s="978">
        <f t="shared" ca="1" si="1"/>
        <v>46210.226456991426</v>
      </c>
      <c r="G15" s="978">
        <f t="shared" si="1"/>
        <v>123534.68646190471</v>
      </c>
      <c r="H15" s="978">
        <f t="shared" si="1"/>
        <v>21628.61507446145</v>
      </c>
      <c r="I15" s="978">
        <f t="shared" si="1"/>
        <v>0</v>
      </c>
      <c r="J15" s="978">
        <f t="shared" si="1"/>
        <v>309.23060531176185</v>
      </c>
      <c r="K15" s="978">
        <f t="shared" si="1"/>
        <v>0</v>
      </c>
      <c r="L15" s="978">
        <f t="shared" ca="1" si="1"/>
        <v>0</v>
      </c>
      <c r="M15" s="978">
        <f t="shared" si="1"/>
        <v>4539.5881116618457</v>
      </c>
      <c r="N15" s="978">
        <f t="shared" ca="1" si="1"/>
        <v>53217.983110666479</v>
      </c>
      <c r="O15" s="978">
        <f t="shared" si="1"/>
        <v>509.6466666666667</v>
      </c>
      <c r="P15" s="978">
        <f t="shared" si="1"/>
        <v>457.59999999999997</v>
      </c>
      <c r="Q15" s="978">
        <f t="shared" ca="1" si="1"/>
        <v>637901.88506308501</v>
      </c>
    </row>
    <row r="17" spans="1:17">
      <c r="A17" s="487" t="s">
        <v>559</v>
      </c>
      <c r="B17" s="786">
        <f ca="1">huishoudens!B10</f>
        <v>0.18126297378372316</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7845.1056253220149</v>
      </c>
      <c r="C22" s="477">
        <f t="shared" ref="C22:C32" ca="1" si="3">C4*$C$17</f>
        <v>0</v>
      </c>
      <c r="D22" s="477">
        <f t="shared" ref="D22:D32" si="4">D4*$D$17</f>
        <v>24438.092301164521</v>
      </c>
      <c r="E22" s="477">
        <f t="shared" ref="E22:E32" si="5">E4*$E$17</f>
        <v>1621.5987653791369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33904.796691865675</v>
      </c>
    </row>
    <row r="23" spans="1:17">
      <c r="A23" s="476" t="s">
        <v>156</v>
      </c>
      <c r="B23" s="477">
        <f t="shared" ca="1" si="2"/>
        <v>6363.739880692825</v>
      </c>
      <c r="C23" s="477">
        <f t="shared" ca="1" si="3"/>
        <v>0</v>
      </c>
      <c r="D23" s="477">
        <f t="shared" ca="1" si="4"/>
        <v>6622.660752098227</v>
      </c>
      <c r="E23" s="477">
        <f t="shared" si="5"/>
        <v>157.79062948332208</v>
      </c>
      <c r="F23" s="477">
        <f t="shared" ca="1" si="6"/>
        <v>2244.8735600554196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15389.064822329794</v>
      </c>
    </row>
    <row r="24" spans="1:17">
      <c r="A24" s="476" t="s">
        <v>194</v>
      </c>
      <c r="B24" s="477">
        <f t="shared" ca="1" si="2"/>
        <v>400.45975640603501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400.45975640603501</v>
      </c>
    </row>
    <row r="25" spans="1:17">
      <c r="A25" s="476" t="s">
        <v>112</v>
      </c>
      <c r="B25" s="477">
        <f t="shared" ca="1" si="2"/>
        <v>360.32323991002653</v>
      </c>
      <c r="C25" s="477">
        <f t="shared" ca="1" si="3"/>
        <v>1274.127731092437</v>
      </c>
      <c r="D25" s="477">
        <f t="shared" si="4"/>
        <v>0</v>
      </c>
      <c r="E25" s="477">
        <f t="shared" si="5"/>
        <v>11.635785614805677</v>
      </c>
      <c r="F25" s="477">
        <f t="shared" si="6"/>
        <v>1940.0121229389233</v>
      </c>
      <c r="G25" s="477">
        <f t="shared" si="7"/>
        <v>0</v>
      </c>
      <c r="H25" s="477">
        <f t="shared" si="8"/>
        <v>0</v>
      </c>
      <c r="I25" s="477">
        <f t="shared" si="9"/>
        <v>0</v>
      </c>
      <c r="J25" s="477">
        <f t="shared" si="10"/>
        <v>101.30665294392723</v>
      </c>
      <c r="K25" s="477">
        <f t="shared" si="11"/>
        <v>0</v>
      </c>
      <c r="L25" s="477">
        <f t="shared" si="12"/>
        <v>0</v>
      </c>
      <c r="M25" s="477">
        <f t="shared" si="13"/>
        <v>0</v>
      </c>
      <c r="N25" s="477">
        <f t="shared" si="14"/>
        <v>0</v>
      </c>
      <c r="O25" s="477">
        <f t="shared" si="15"/>
        <v>0</v>
      </c>
      <c r="P25" s="478">
        <f t="shared" si="16"/>
        <v>0</v>
      </c>
      <c r="Q25" s="476">
        <f t="shared" ca="1" si="17"/>
        <v>3687.4055325001195</v>
      </c>
    </row>
    <row r="26" spans="1:17">
      <c r="A26" s="476" t="s">
        <v>638</v>
      </c>
      <c r="B26" s="477">
        <f t="shared" ca="1" si="2"/>
        <v>14532.746415964813</v>
      </c>
      <c r="C26" s="477">
        <f t="shared" ca="1" si="3"/>
        <v>0</v>
      </c>
      <c r="D26" s="477">
        <f t="shared" si="4"/>
        <v>8422.9728899692946</v>
      </c>
      <c r="E26" s="477">
        <f t="shared" si="5"/>
        <v>1309.7883798333489</v>
      </c>
      <c r="F26" s="477">
        <f t="shared" si="6"/>
        <v>8153.2447810223684</v>
      </c>
      <c r="G26" s="477">
        <f t="shared" si="7"/>
        <v>0</v>
      </c>
      <c r="H26" s="477">
        <f t="shared" si="8"/>
        <v>0</v>
      </c>
      <c r="I26" s="477">
        <f t="shared" si="9"/>
        <v>0</v>
      </c>
      <c r="J26" s="477">
        <f t="shared" si="10"/>
        <v>8.1609813364364499</v>
      </c>
      <c r="K26" s="477">
        <f t="shared" si="11"/>
        <v>0</v>
      </c>
      <c r="L26" s="477">
        <f t="shared" si="12"/>
        <v>0</v>
      </c>
      <c r="M26" s="477">
        <f t="shared" si="13"/>
        <v>0</v>
      </c>
      <c r="N26" s="477">
        <f t="shared" si="14"/>
        <v>0</v>
      </c>
      <c r="O26" s="477">
        <f t="shared" si="15"/>
        <v>0</v>
      </c>
      <c r="P26" s="478">
        <f t="shared" si="16"/>
        <v>0</v>
      </c>
      <c r="Q26" s="476">
        <f t="shared" ca="1" si="17"/>
        <v>32426.913448126263</v>
      </c>
    </row>
    <row r="27" spans="1:17" s="482" customFormat="1">
      <c r="A27" s="480" t="s">
        <v>564</v>
      </c>
      <c r="B27" s="780">
        <f t="shared" ca="1" si="2"/>
        <v>5.7789119334963859</v>
      </c>
      <c r="C27" s="481">
        <f t="shared" ca="1" si="3"/>
        <v>0</v>
      </c>
      <c r="D27" s="481">
        <f t="shared" si="4"/>
        <v>16.165335592236417</v>
      </c>
      <c r="E27" s="481">
        <f t="shared" si="5"/>
        <v>73.781557328569562</v>
      </c>
      <c r="F27" s="481">
        <f t="shared" si="6"/>
        <v>0</v>
      </c>
      <c r="G27" s="481">
        <f t="shared" si="7"/>
        <v>32808.449148477994</v>
      </c>
      <c r="H27" s="481">
        <f t="shared" si="8"/>
        <v>5385.5251535409006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38289.700106873192</v>
      </c>
    </row>
    <row r="28" spans="1:17">
      <c r="A28" s="476" t="s">
        <v>554</v>
      </c>
      <c r="B28" s="477">
        <f t="shared" ca="1" si="2"/>
        <v>0</v>
      </c>
      <c r="C28" s="477">
        <f t="shared" ca="1" si="3"/>
        <v>0</v>
      </c>
      <c r="D28" s="477">
        <f t="shared" si="4"/>
        <v>0</v>
      </c>
      <c r="E28" s="477">
        <f t="shared" si="5"/>
        <v>0</v>
      </c>
      <c r="F28" s="477">
        <f t="shared" si="6"/>
        <v>0</v>
      </c>
      <c r="G28" s="477">
        <f t="shared" si="7"/>
        <v>175.3121368505638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175.3121368505638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241.05981620523562</v>
      </c>
      <c r="C32" s="477">
        <f t="shared" ca="1" si="3"/>
        <v>0</v>
      </c>
      <c r="D32" s="477">
        <f t="shared" si="4"/>
        <v>1713.3677331418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1954.4275493470357</v>
      </c>
    </row>
    <row r="33" spans="1:17" s="486" customFormat="1">
      <c r="A33" s="1038" t="s">
        <v>558</v>
      </c>
      <c r="B33" s="978">
        <f ca="1">SUM(B22:B32)</f>
        <v>29749.213646434451</v>
      </c>
      <c r="C33" s="978">
        <f t="shared" ref="C33:Q33" ca="1" si="18">SUM(C22:C32)</f>
        <v>1274.127731092437</v>
      </c>
      <c r="D33" s="978">
        <f t="shared" ca="1" si="18"/>
        <v>41213.259011966082</v>
      </c>
      <c r="E33" s="978">
        <f t="shared" si="18"/>
        <v>3174.5951176391836</v>
      </c>
      <c r="F33" s="978">
        <f t="shared" ca="1" si="18"/>
        <v>12338.130464016711</v>
      </c>
      <c r="G33" s="978">
        <f t="shared" si="18"/>
        <v>32983.761285328561</v>
      </c>
      <c r="H33" s="978">
        <f t="shared" si="18"/>
        <v>5385.5251535409006</v>
      </c>
      <c r="I33" s="978">
        <f t="shared" si="18"/>
        <v>0</v>
      </c>
      <c r="J33" s="978">
        <f t="shared" si="18"/>
        <v>109.46763428036368</v>
      </c>
      <c r="K33" s="978">
        <f t="shared" si="18"/>
        <v>0</v>
      </c>
      <c r="L33" s="978">
        <f t="shared" ca="1" si="18"/>
        <v>0</v>
      </c>
      <c r="M33" s="978">
        <f t="shared" si="18"/>
        <v>0</v>
      </c>
      <c r="N33" s="978">
        <f t="shared" ca="1" si="18"/>
        <v>0</v>
      </c>
      <c r="O33" s="978">
        <f t="shared" si="18"/>
        <v>0</v>
      </c>
      <c r="P33" s="978">
        <f t="shared" si="18"/>
        <v>0</v>
      </c>
      <c r="Q33" s="978">
        <f t="shared" ca="1" si="18"/>
        <v>126228.08004429868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22224.526317281263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7568.1906970865602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3753</v>
      </c>
      <c r="D8" s="1055">
        <f>'SEAP template'!D76</f>
        <v>4415.2941176470586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891.88941176470587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29792.717014367823</v>
      </c>
      <c r="C10" s="1059">
        <f>SUM(C4:C9)</f>
        <v>3753</v>
      </c>
      <c r="D10" s="1059">
        <f t="shared" ref="D10:H10" si="0">SUM(D8:D9)</f>
        <v>4415.2941176470586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891.88941176470587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0.18126297378372316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5361.4285714285716</v>
      </c>
      <c r="D17" s="1056">
        <f>'SEAP template'!D87</f>
        <v>6307.5630252100837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1274.127731092437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5361.4285714285716</v>
      </c>
      <c r="D20" s="1059">
        <f t="shared" ref="D20:H20" si="2">SUM(D17:D19)</f>
        <v>6307.5630252100837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1274.127731092437</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0.18126297378372316</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2019-08-12T08:24:46Z</dcterms:modified>
</cp:coreProperties>
</file>